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1.xml" ContentType="application/vnd.openxmlformats-officedocument.spreadsheetml.table+xml"/>
  <Override PartName="/xl/tables/table11.xml" ContentType="application/vnd.openxmlformats-officedocument.spreadsheetml.table+xml"/>
  <Override PartName="/xl/tables/table9.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480" windowHeight="8505" tabRatio="712" activeTab="0"/>
  </bookViews>
  <sheets>
    <sheet name="Front page" sheetId="1" r:id="rId1"/>
    <sheet name="Introduction" sheetId="2" r:id="rId2"/>
    <sheet name="Recommendations" sheetId="3" r:id="rId3"/>
    <sheet name="Complex social factors" sheetId="4" r:id="rId4"/>
    <sheet name="Appointments" sheetId="5" r:id="rId5"/>
    <sheet name="Mortality and morbidity" sheetId="6" r:id="rId6"/>
    <sheet name="Combined data" sheetId="7" r:id="rId7"/>
    <sheet name="Charts" sheetId="8" r:id="rId8"/>
    <sheet name="Demographics" sheetId="9" r:id="rId9"/>
    <sheet name="Action plan" sheetId="10" r:id="rId10"/>
  </sheets>
  <definedNames>
    <definedName name="_ftn1" localSheetId="2">'Recommendations'!$A$14</definedName>
    <definedName name="_ftn3" localSheetId="2">'Recommendations'!$A$16</definedName>
    <definedName name="_ftnref1" localSheetId="2">'Recommendations'!$A$4</definedName>
    <definedName name="_ftnref2" localSheetId="2">'Recommendations'!$A$9</definedName>
    <definedName name="_ftnref3" localSheetId="2">'Recommendations'!$A$10</definedName>
    <definedName name="_xlfn.COUNTIFS" hidden="1">#NAME?</definedName>
    <definedName name="abuse">'Complex social factors'!$J$7:$J$47</definedName>
    <definedName name="Age">'Complex social factors'!$B$6:$B$47</definedName>
    <definedName name="asylum">'Complex social factors'!$H$7:$H$47</definedName>
    <definedName name="attend">'Appointments'!#REF!</definedName>
    <definedName name="attendall">'Appointments'!$G$6:$G$46</definedName>
    <definedName name="attended">'Appointments'!$E$6:$E$46</definedName>
    <definedName name="babymorb">'Mortality and morbidity'!$H$6:$H$46</definedName>
    <definedName name="babymort">'Mortality and morbidity'!$F$6:$F$46</definedName>
    <definedName name="booking">'Appointments'!$A$7:$A$46</definedName>
    <definedName name="confenq">'Mortality and morbidity'!$J$5:$J$46</definedName>
    <definedName name="english">'Complex social factors'!$I$7:$I$47</definedName>
    <definedName name="Ethnicity">'Complex social factors'!$C$6:$C$47</definedName>
    <definedName name="Homelessness">'Complex social factors'!$E$6:$E$47</definedName>
    <definedName name="migrant">'Complex social factors'!$G$7:$G$47</definedName>
    <definedName name="miss">'Appointments'!$F$5:$F$46</definedName>
    <definedName name="missed">'Appointments'!$F$6:$F$46</definedName>
    <definedName name="noofappts">'Appointments'!#REF!</definedName>
    <definedName name="Other">'Complex social factors'!$L$6:$L$47</definedName>
    <definedName name="Poverty">'Complex social factors'!$D$7:$D$47</definedName>
    <definedName name="scheduled">'Appointments'!$D$6:$D$46</definedName>
    <definedName name="Sex">'Complex social factors'!#REF!</definedName>
    <definedName name="Substancemisuse">'Complex social factors'!$F$7:$F$47</definedName>
    <definedName name="totalcsf">'Complex social factors'!$N$6:$N$47</definedName>
    <definedName name="traveller">'Complex social factors'!#REF!</definedName>
    <definedName name="under20">'Complex social factors'!#REF!</definedName>
    <definedName name="weeks">'Appointments'!$B$6:$B$46</definedName>
    <definedName name="womanmorb">'Mortality and morbidity'!$D$6:$D$46</definedName>
    <definedName name="womanmort">'Mortality and morbidity'!$B$6:$B$46</definedName>
    <definedName name="Z_79C81E81_6904_4512_B802_63A951D0CE27_.wvu.Rows" localSheetId="1" hidden="1">'Introduction'!$17:$17</definedName>
  </definedNames>
  <calcPr fullCalcOnLoad="1"/>
  <pivotCaches>
    <pivotCache cacheId="1" r:id="rId11"/>
  </pivotCaches>
</workbook>
</file>

<file path=xl/comments4.xml><?xml version="1.0" encoding="utf-8"?>
<comments xmlns="http://schemas.openxmlformats.org/spreadsheetml/2006/main">
  <authors>
    <author>NICE Administrator</author>
  </authors>
  <commentList>
    <comment ref="A47" authorId="0">
      <text>
        <r>
          <rPr>
            <b/>
            <sz val="8"/>
            <rFont val="Tahoma"/>
            <family val="2"/>
          </rPr>
          <t>NICE Administrator:</t>
        </r>
        <r>
          <rPr>
            <sz val="8"/>
            <rFont val="Tahoma"/>
            <family val="2"/>
          </rPr>
          <t xml:space="preserve">
To add a new row press Ctrl + N.</t>
        </r>
      </text>
    </comment>
  </commentList>
</comments>
</file>

<file path=xl/comments5.xml><?xml version="1.0" encoding="utf-8"?>
<comments xmlns="http://schemas.openxmlformats.org/spreadsheetml/2006/main">
  <authors>
    <author>NICE Administrator</author>
  </authors>
  <commentList>
    <comment ref="A46" authorId="0">
      <text>
        <r>
          <rPr>
            <b/>
            <sz val="8"/>
            <rFont val="Tahoma"/>
            <family val="2"/>
          </rPr>
          <t>NICE Administrator:</t>
        </r>
        <r>
          <rPr>
            <sz val="8"/>
            <rFont val="Tahoma"/>
            <family val="2"/>
          </rPr>
          <t xml:space="preserve">
To add a new row press Ctrl + R</t>
        </r>
      </text>
    </comment>
  </commentList>
</comments>
</file>

<file path=xl/comments6.xml><?xml version="1.0" encoding="utf-8"?>
<comments xmlns="http://schemas.openxmlformats.org/spreadsheetml/2006/main">
  <authors>
    <author>NICE Administrator</author>
  </authors>
  <commentList>
    <comment ref="A46" authorId="0">
      <text>
        <r>
          <rPr>
            <b/>
            <sz val="8"/>
            <rFont val="Tahoma"/>
            <family val="2"/>
          </rPr>
          <t>NICE Administrator:</t>
        </r>
        <r>
          <rPr>
            <sz val="8"/>
            <rFont val="Tahoma"/>
            <family val="2"/>
          </rPr>
          <t xml:space="preserve">
To add a new row press Ctrl + R</t>
        </r>
      </text>
    </comment>
  </commentList>
</comments>
</file>

<file path=xl/comments7.xml><?xml version="1.0" encoding="utf-8"?>
<comments xmlns="http://schemas.openxmlformats.org/spreadsheetml/2006/main">
  <authors>
    <author>kmacleansteel</author>
  </authors>
  <commentList>
    <comment ref="G3" authorId="0">
      <text>
        <r>
          <rPr>
            <b/>
            <sz val="8"/>
            <rFont val="Tahoma"/>
            <family val="2"/>
          </rPr>
          <t>kmacleansteel:</t>
        </r>
        <r>
          <rPr>
            <sz val="8"/>
            <rFont val="Tahoma"/>
            <family val="2"/>
          </rPr>
          <t xml:space="preserve">
To generate a list of other social factors from the Complex social factors sheet, right click on the table below and select Refresh.</t>
        </r>
      </text>
    </comment>
  </commentList>
</comments>
</file>

<file path=xl/sharedStrings.xml><?xml version="1.0" encoding="utf-8"?>
<sst xmlns="http://schemas.openxmlformats.org/spreadsheetml/2006/main" count="248" uniqueCount="179">
  <si>
    <t>Patient ID</t>
  </si>
  <si>
    <t>Ethnicity</t>
  </si>
  <si>
    <t>Yes</t>
  </si>
  <si>
    <t>No</t>
  </si>
  <si>
    <t>Total</t>
  </si>
  <si>
    <t>Percentage</t>
  </si>
  <si>
    <t>Demographic breakdown of sample</t>
  </si>
  <si>
    <t>A : White</t>
  </si>
  <si>
    <t>B : Mixed</t>
  </si>
  <si>
    <t>C : Asian or Asian British</t>
  </si>
  <si>
    <t>1 British</t>
  </si>
  <si>
    <t>2 Irish</t>
  </si>
  <si>
    <t>3 White and Asian</t>
  </si>
  <si>
    <t>1 Indian</t>
  </si>
  <si>
    <t>2 Pakistani</t>
  </si>
  <si>
    <t>3 Bangladeshi</t>
  </si>
  <si>
    <t>1 Caribbean</t>
  </si>
  <si>
    <t>2 African</t>
  </si>
  <si>
    <t>1 Chinese</t>
  </si>
  <si>
    <t xml:space="preserve">2 Any other </t>
  </si>
  <si>
    <t>Ethnic categories:</t>
  </si>
  <si>
    <t>Z Not stated</t>
  </si>
  <si>
    <t>Action plan</t>
  </si>
  <si>
    <t>Action needed?</t>
  </si>
  <si>
    <t>Using the spreadsheet</t>
  </si>
  <si>
    <t>Instructions for using the workbook</t>
  </si>
  <si>
    <t>A1 White British</t>
  </si>
  <si>
    <t>A2 White Irish</t>
  </si>
  <si>
    <t xml:space="preserve">A3 Any other White background </t>
  </si>
  <si>
    <t>B1 Mixed White and Black Caribbean</t>
  </si>
  <si>
    <t>B2 Mixed White and Black African</t>
  </si>
  <si>
    <t>B3 Mixed White and Asian</t>
  </si>
  <si>
    <t xml:space="preserve">B4 Any other mixed background </t>
  </si>
  <si>
    <t>C1 Asian or Asian British Indian</t>
  </si>
  <si>
    <t>C2 Asian or Asian British Pakistani</t>
  </si>
  <si>
    <t>C3 Asian or Asian British Bangladeshi</t>
  </si>
  <si>
    <t xml:space="preserve">C4 Any other Asian background </t>
  </si>
  <si>
    <t>D1 Black or Black British Caribbean</t>
  </si>
  <si>
    <t>D2 Black or Black British African</t>
  </si>
  <si>
    <t xml:space="preserve">D3 Any other Black background </t>
  </si>
  <si>
    <t>E1 Chinese</t>
  </si>
  <si>
    <t xml:space="preserve">E2 Any other ethnic group </t>
  </si>
  <si>
    <t>Using the spreadsheet with multiple users</t>
  </si>
  <si>
    <t>Lead</t>
  </si>
  <si>
    <t>Deadline</t>
  </si>
  <si>
    <t>Age range:</t>
  </si>
  <si>
    <t>Date of data collection</t>
  </si>
  <si>
    <t>Poverty</t>
  </si>
  <si>
    <t>Substance misuse</t>
  </si>
  <si>
    <t>Recent arrival as a migrant</t>
  </si>
  <si>
    <t>Asylum seeker or refugee status</t>
  </si>
  <si>
    <t>Difficulty speaking or understanding English</t>
  </si>
  <si>
    <t>Aged under 20</t>
  </si>
  <si>
    <t>Other</t>
  </si>
  <si>
    <t>How many appointments were scheduled for the woman?</t>
  </si>
  <si>
    <t>How many appointments did the woman attend?</t>
  </si>
  <si>
    <t>How many appointments did the woman miss?</t>
  </si>
  <si>
    <t>Did the woman experience mortality?</t>
  </si>
  <si>
    <t>Did the baby experience mortality?</t>
  </si>
  <si>
    <t>If there was a death, was it reported to the Confidential Enquiry?</t>
  </si>
  <si>
    <t>Guideline ref: 1.1.1</t>
  </si>
  <si>
    <t>Guideline ref: 1.1.2</t>
  </si>
  <si>
    <t>Did the woman experience significant morbidity?</t>
  </si>
  <si>
    <t>Did the baby experience significant morbidity?</t>
  </si>
  <si>
    <t>If yes, please give details</t>
  </si>
  <si>
    <t>Age</t>
  </si>
  <si>
    <t>Total number of complex social factors</t>
  </si>
  <si>
    <t>Column1</t>
  </si>
  <si>
    <t>7 appointments:</t>
  </si>
  <si>
    <t>10 appointments:</t>
  </si>
  <si>
    <t>More than 14</t>
  </si>
  <si>
    <t>Number of scheduled appointments</t>
  </si>
  <si>
    <t>Column2</t>
  </si>
  <si>
    <t>Number of women</t>
  </si>
  <si>
    <t>Number of appointments attended</t>
  </si>
  <si>
    <t>Number of appointments missed</t>
  </si>
  <si>
    <t>More than 7</t>
  </si>
  <si>
    <t>Number of complex social factors</t>
  </si>
  <si>
    <t>Difficulty speaking/understanding English</t>
  </si>
  <si>
    <t>Data item</t>
  </si>
  <si>
    <t>Attending for booking</t>
  </si>
  <si>
    <t>Attend appointments</t>
  </si>
  <si>
    <t>Women's mortality</t>
  </si>
  <si>
    <t>Women's morbidity</t>
  </si>
  <si>
    <t>Babies' mortality</t>
  </si>
  <si>
    <t>Babies' morbidity</t>
  </si>
  <si>
    <t>Reporting to Confidential Enquiry</t>
  </si>
  <si>
    <t>[3] Significant morbidity is morbidity that has a lasting impact on either the woman or the child.</t>
  </si>
  <si>
    <t>Number of complex social factors experienced by women</t>
  </si>
  <si>
    <t>Number of appointments scheduled</t>
  </si>
  <si>
    <t>Mortality and morbidity</t>
  </si>
  <si>
    <t xml:space="preserve"> </t>
  </si>
  <si>
    <r>
      <t>1.  If your organisation uses a shared network</t>
    </r>
    <r>
      <rPr>
        <sz val="12"/>
        <color indexed="10"/>
        <rFont val="Arial"/>
        <family val="2"/>
      </rPr>
      <t>,</t>
    </r>
    <r>
      <rPr>
        <sz val="12"/>
        <color indexed="8"/>
        <rFont val="Arial"/>
        <family val="2"/>
      </rPr>
      <t xml:space="preserve"> data can be entered by more than one person at the same time.  When one user saves the document all data entered by all users will be saved.</t>
    </r>
  </si>
  <si>
    <t>Homelessness</t>
  </si>
  <si>
    <t>Age under 20</t>
  </si>
  <si>
    <r>
      <t xml:space="preserve">• charts, containing </t>
    </r>
    <r>
      <rPr>
        <sz val="12"/>
        <color indexed="8"/>
        <rFont val="Arial"/>
        <family val="2"/>
      </rPr>
      <t>charts of the results that can be copied into local clinical audit and governance reports.</t>
    </r>
  </si>
  <si>
    <t>• a page to help you start developing an action plan.</t>
  </si>
  <si>
    <t>• data collection sheets for the re-audit (purple tabs). The results of the re-audit will automatically be entered into the results page.</t>
  </si>
  <si>
    <r>
      <t xml:space="preserve">• a sheet containing demographic information </t>
    </r>
    <r>
      <rPr>
        <sz val="12"/>
        <color indexed="10"/>
        <rFont val="Calibri"/>
        <family val="2"/>
      </rPr>
      <t>–</t>
    </r>
    <r>
      <rPr>
        <sz val="12"/>
        <color indexed="10"/>
        <rFont val="Arial"/>
        <family val="2"/>
      </rPr>
      <t xml:space="preserve"> </t>
    </r>
    <r>
      <rPr>
        <sz val="12"/>
        <color indexed="8"/>
        <rFont val="Arial"/>
        <family val="2"/>
      </rPr>
      <t>a breakdown of the sample by ethnic category and the mean age</t>
    </r>
    <r>
      <rPr>
        <sz val="12"/>
        <color indexed="8"/>
        <rFont val="Arial"/>
        <family val="2"/>
      </rPr>
      <t xml:space="preserve">. </t>
    </r>
  </si>
  <si>
    <t>Enter your results into the data entry worksheets (green tabs). Data should be entered into the yellow cells only.</t>
  </si>
  <si>
    <t>In some instances several people will be collecting data at the same time. This spreadsheet can still be used by one of two methods:</t>
  </si>
  <si>
    <r>
      <t xml:space="preserve">Data collection for NICE </t>
    </r>
    <r>
      <rPr>
        <b/>
        <sz val="18"/>
        <rFont val="Calibri"/>
        <family val="2"/>
      </rPr>
      <t>guideline on 'Pregnancy and complex social factors' (2010)</t>
    </r>
  </si>
  <si>
    <t>This spreadsheet comprises:</t>
  </si>
  <si>
    <r>
      <t xml:space="preserve">Each case should be allocated </t>
    </r>
    <r>
      <rPr>
        <sz val="12"/>
        <color indexed="8"/>
        <rFont val="Arial"/>
        <family val="2"/>
      </rPr>
      <t>an ID number. If using a paper data collection tool, this number should also be recorded on the top</t>
    </r>
    <r>
      <rPr>
        <sz val="12"/>
        <rFont val="Arial"/>
        <family val="2"/>
      </rPr>
      <t xml:space="preserve"> lefthand</t>
    </r>
    <r>
      <rPr>
        <sz val="12"/>
        <color indexed="8"/>
        <rFont val="Arial"/>
        <family val="2"/>
      </rPr>
      <t xml:space="preserve"> corner of the data collection form.</t>
    </r>
  </si>
  <si>
    <r>
      <t xml:space="preserve">If there are instructions for a particular column, these have been put in the red triangle comment for the title cell: just place the </t>
    </r>
    <r>
      <rPr>
        <sz val="12"/>
        <rFont val="Arial"/>
        <family val="2"/>
      </rPr>
      <t>cursor o</t>
    </r>
    <r>
      <rPr>
        <sz val="12"/>
        <color indexed="8"/>
        <rFont val="Arial"/>
        <family val="2"/>
      </rPr>
      <t>ver the triangle to view it or go to View, Comments to show all</t>
    </r>
    <r>
      <rPr>
        <sz val="12"/>
        <rFont val="Arial"/>
        <family val="2"/>
      </rPr>
      <t>.</t>
    </r>
  </si>
  <si>
    <r>
      <t xml:space="preserve">Once you have inserted your data the results </t>
    </r>
    <r>
      <rPr>
        <sz val="12"/>
        <rFont val="Arial"/>
        <family val="2"/>
      </rPr>
      <t>will a</t>
    </r>
    <r>
      <rPr>
        <sz val="12"/>
        <color indexed="8"/>
        <rFont val="Arial"/>
        <family val="2"/>
      </rPr>
      <t xml:space="preserve">utomatically be calculated at the end of the column. They will also be displayed in the </t>
    </r>
    <r>
      <rPr>
        <sz val="12"/>
        <color indexed="10"/>
        <rFont val="Arial"/>
        <family val="2"/>
      </rPr>
      <t>'</t>
    </r>
    <r>
      <rPr>
        <sz val="12"/>
        <color indexed="8"/>
        <rFont val="Arial"/>
        <family val="2"/>
      </rPr>
      <t>Results</t>
    </r>
    <r>
      <rPr>
        <sz val="12"/>
        <color indexed="10"/>
        <rFont val="Arial"/>
        <family val="2"/>
      </rPr>
      <t>'</t>
    </r>
    <r>
      <rPr>
        <sz val="12"/>
        <color indexed="8"/>
        <rFont val="Arial"/>
        <family val="2"/>
      </rPr>
      <t xml:space="preserve"> sheet. C</t>
    </r>
    <r>
      <rPr>
        <sz val="12"/>
        <rFont val="Arial"/>
        <family val="2"/>
      </rPr>
      <t xml:space="preserve">harts will also be produced in the </t>
    </r>
    <r>
      <rPr>
        <sz val="12"/>
        <color indexed="10"/>
        <rFont val="Arial"/>
        <family val="2"/>
      </rPr>
      <t>'</t>
    </r>
    <r>
      <rPr>
        <sz val="12"/>
        <rFont val="Arial"/>
        <family val="2"/>
      </rPr>
      <t>Charts</t>
    </r>
    <r>
      <rPr>
        <sz val="12"/>
        <color indexed="10"/>
        <rFont val="Arial"/>
        <family val="2"/>
      </rPr>
      <t>'</t>
    </r>
    <r>
      <rPr>
        <sz val="12"/>
        <rFont val="Arial"/>
        <family val="2"/>
      </rPr>
      <t xml:space="preserve"> sheet </t>
    </r>
    <r>
      <rPr>
        <sz val="12"/>
        <color indexed="8"/>
        <rFont val="Arial"/>
        <family val="2"/>
      </rPr>
      <t xml:space="preserve">and demographic details will be presented in the </t>
    </r>
    <r>
      <rPr>
        <sz val="12"/>
        <color indexed="10"/>
        <rFont val="Arial"/>
        <family val="2"/>
      </rPr>
      <t>'</t>
    </r>
    <r>
      <rPr>
        <sz val="12"/>
        <color indexed="8"/>
        <rFont val="Arial"/>
        <family val="2"/>
      </rPr>
      <t>Demographics</t>
    </r>
    <r>
      <rPr>
        <sz val="12"/>
        <color indexed="10"/>
        <rFont val="Arial"/>
        <family val="2"/>
      </rPr>
      <t>'</t>
    </r>
    <r>
      <rPr>
        <sz val="12"/>
        <color indexed="8"/>
        <rFont val="Arial"/>
        <family val="2"/>
      </rPr>
      <t xml:space="preserve"> sheet.  </t>
    </r>
  </si>
  <si>
    <t>2.  If data are being collected by users who cannot access a network but can enter data directly into the spreadsheet, data should be collected as normal and then copied and pasted into one copy of the spreadsheet.  Rows should be copied from one file and pasted into another at or above the row containing the text 'Add new patient'.  This will update all the relevant formulae and ensure that all data are included in the results.</t>
  </si>
  <si>
    <r>
      <t>Recommendation</t>
    </r>
    <r>
      <rPr>
        <b/>
        <sz val="16"/>
        <rFont val="Calibri"/>
        <family val="2"/>
      </rPr>
      <t>s from 'Pregnancy and complex social factors'</t>
    </r>
  </si>
  <si>
    <r>
      <t xml:space="preserve">Data collection for </t>
    </r>
    <r>
      <rPr>
        <b/>
        <sz val="16"/>
        <rFont val="Calibri"/>
        <family val="2"/>
      </rPr>
      <t>'Pregnancy and complex social factors'</t>
    </r>
  </si>
  <si>
    <t>Domestic abuse</t>
  </si>
  <si>
    <t>Did the woman attend the number of scheduled appointments?</t>
  </si>
  <si>
    <r>
      <rPr>
        <sz val="11"/>
        <rFont val="Calibri"/>
        <family val="2"/>
      </rPr>
      <t>Fewer</t>
    </r>
    <r>
      <rPr>
        <sz val="11"/>
        <rFont val="Calibri"/>
        <family val="2"/>
      </rPr>
      <t xml:space="preserve"> than 7</t>
    </r>
  </si>
  <si>
    <t>How many antenatal appointments should the woman have attended according to CG62 'Antenatal care'?</t>
  </si>
  <si>
    <t>Asylum seeker or regufee status</t>
  </si>
  <si>
    <r>
      <t xml:space="preserve">Complex social </t>
    </r>
    <r>
      <rPr>
        <b/>
        <sz val="11"/>
        <color indexed="9"/>
        <rFont val="Calibri"/>
        <family val="2"/>
      </rPr>
      <t>factor</t>
    </r>
  </si>
  <si>
    <r>
      <rPr>
        <sz val="11"/>
        <rFont val="Calibri"/>
        <family val="2"/>
      </rPr>
      <t xml:space="preserve">Fewer  </t>
    </r>
    <r>
      <rPr>
        <sz val="11"/>
        <rFont val="Calibri"/>
        <family val="2"/>
      </rPr>
      <t>than 7</t>
    </r>
  </si>
  <si>
    <r>
      <rPr>
        <sz val="11"/>
        <rFont val="Calibri"/>
        <family val="2"/>
      </rPr>
      <t>N</t>
    </r>
    <r>
      <rPr>
        <sz val="11"/>
        <rFont val="Calibri"/>
        <family val="2"/>
      </rPr>
      <t>umber of women who experienced mortality:</t>
    </r>
  </si>
  <si>
    <r>
      <rPr>
        <sz val="11"/>
        <rFont val="Calibri"/>
        <family val="2"/>
      </rPr>
      <t>N</t>
    </r>
    <r>
      <rPr>
        <sz val="11"/>
        <rFont val="Calibri"/>
        <family val="2"/>
      </rPr>
      <t>umber of women who experienced significant morbidity:</t>
    </r>
  </si>
  <si>
    <r>
      <rPr>
        <sz val="11"/>
        <rFont val="Calibri"/>
        <family val="2"/>
      </rPr>
      <t>N</t>
    </r>
    <r>
      <rPr>
        <sz val="11"/>
        <rFont val="Calibri"/>
        <family val="2"/>
      </rPr>
      <t>umber of babies who experienced mortality:</t>
    </r>
  </si>
  <si>
    <r>
      <rPr>
        <sz val="11"/>
        <rFont val="Calibri"/>
        <family val="2"/>
      </rPr>
      <t>N</t>
    </r>
    <r>
      <rPr>
        <sz val="11"/>
        <rFont val="Calibri"/>
        <family val="2"/>
      </rPr>
      <t>umber of babies who experienced significant morbidity:</t>
    </r>
  </si>
  <si>
    <r>
      <rPr>
        <sz val="11"/>
        <rFont val="Calibri"/>
        <family val="2"/>
      </rPr>
      <t>N</t>
    </r>
    <r>
      <rPr>
        <sz val="11"/>
        <rFont val="Calibri"/>
        <family val="2"/>
      </rPr>
      <t>umber of deaths reported to the Confidential Enquiry</t>
    </r>
    <r>
      <rPr>
        <sz val="11"/>
        <rFont val="Calibri"/>
        <family val="2"/>
      </rPr>
      <t>:</t>
    </r>
  </si>
  <si>
    <t>'Pregnancy and complex social factors' - combined data</t>
  </si>
  <si>
    <r>
      <t>3 Any other w</t>
    </r>
    <r>
      <rPr>
        <sz val="10"/>
        <rFont val="Calibri"/>
        <family val="2"/>
      </rPr>
      <t>hite background</t>
    </r>
  </si>
  <si>
    <r>
      <t xml:space="preserve">1 White and </t>
    </r>
    <r>
      <rPr>
        <sz val="10"/>
        <rFont val="Calibri"/>
        <family val="2"/>
      </rPr>
      <t>black Caribbean</t>
    </r>
  </si>
  <si>
    <r>
      <t xml:space="preserve">2 White and </t>
    </r>
    <r>
      <rPr>
        <sz val="10"/>
        <rFont val="Calibri"/>
        <family val="2"/>
      </rPr>
      <t>black African</t>
    </r>
  </si>
  <si>
    <r>
      <t xml:space="preserve">4 Any other mixed </t>
    </r>
    <r>
      <rPr>
        <sz val="10"/>
        <rFont val="Calibri"/>
        <family val="2"/>
      </rPr>
      <t>background</t>
    </r>
  </si>
  <si>
    <r>
      <t xml:space="preserve">4 Any other Asian </t>
    </r>
    <r>
      <rPr>
        <sz val="10"/>
        <rFont val="Calibri"/>
        <family val="2"/>
      </rPr>
      <t>background</t>
    </r>
  </si>
  <si>
    <r>
      <t xml:space="preserve">D : Black or </t>
    </r>
    <r>
      <rPr>
        <b/>
        <sz val="10"/>
        <rFont val="Calibri"/>
        <family val="2"/>
      </rPr>
      <t>black British</t>
    </r>
  </si>
  <si>
    <r>
      <t xml:space="preserve">3 Any other </t>
    </r>
    <r>
      <rPr>
        <sz val="10"/>
        <rFont val="Calibri"/>
        <family val="2"/>
      </rPr>
      <t>black background</t>
    </r>
  </si>
  <si>
    <r>
      <t xml:space="preserve">E : Chinese or other </t>
    </r>
    <r>
      <rPr>
        <b/>
        <sz val="10"/>
        <rFont val="Calibri"/>
        <family val="2"/>
      </rPr>
      <t>background</t>
    </r>
  </si>
  <si>
    <r>
      <t>Z</t>
    </r>
    <r>
      <rPr>
        <b/>
        <sz val="10"/>
        <rFont val="Calibri"/>
        <family val="2"/>
      </rPr>
      <t xml:space="preserve"> : Not stated</t>
    </r>
  </si>
  <si>
    <t>Mean age:</t>
  </si>
  <si>
    <t>MidCity Place, 71 High Holborn, London WC1V 6NA; www.nice.org.uk</t>
  </si>
  <si>
    <t>© National Institute for Health and Clinical Excellence, 2010. All rights reserved. This material may be freely reproduced for educational and not-for-profit purposes. No reproduction by or for commercial organisations, or for commercial purposes, is allowed without the express written permission of NICE.</t>
  </si>
  <si>
    <t>National Institute for Health and Clinical Excellence</t>
  </si>
  <si>
    <t>Number of weeks pregnant at booking</t>
  </si>
  <si>
    <r>
      <t xml:space="preserve"> </t>
    </r>
    <r>
      <rPr>
        <sz val="11"/>
        <color indexed="8"/>
        <rFont val="Calibri"/>
        <family val="2"/>
      </rPr>
      <t xml:space="preserve">≤ </t>
    </r>
    <r>
      <rPr>
        <sz val="11"/>
        <color theme="1"/>
        <rFont val="Calibri"/>
        <family val="2"/>
      </rPr>
      <t>10 weeks</t>
    </r>
  </si>
  <si>
    <t>13 to 20 weeks</t>
  </si>
  <si>
    <t>More than 20 weeks</t>
  </si>
  <si>
    <r>
      <t>10</t>
    </r>
    <r>
      <rPr>
        <vertAlign val="superscript"/>
        <sz val="11"/>
        <color indexed="8"/>
        <rFont val="Calibri"/>
        <family val="2"/>
      </rPr>
      <t>+1</t>
    </r>
    <r>
      <rPr>
        <sz val="11"/>
        <color theme="1"/>
        <rFont val="Calibri"/>
        <family val="2"/>
      </rPr>
      <t xml:space="preserve"> to 12</t>
    </r>
    <r>
      <rPr>
        <vertAlign val="superscript"/>
        <sz val="11"/>
        <color indexed="8"/>
        <rFont val="Calibri"/>
        <family val="2"/>
      </rPr>
      <t>+6</t>
    </r>
    <r>
      <rPr>
        <sz val="11"/>
        <color theme="1"/>
        <rFont val="Calibri"/>
        <family val="2"/>
      </rPr>
      <t xml:space="preserve"> weeks</t>
    </r>
  </si>
  <si>
    <t>Time of booking</t>
  </si>
  <si>
    <t>Week of pregnancy at booking</t>
  </si>
  <si>
    <t>By 10 weeks</t>
  </si>
  <si>
    <t>By 20 weeks</t>
  </si>
  <si>
    <r>
      <t>By 12</t>
    </r>
    <r>
      <rPr>
        <vertAlign val="superscript"/>
        <sz val="11"/>
        <color indexed="8"/>
        <rFont val="Calibri"/>
        <family val="2"/>
      </rPr>
      <t>+6</t>
    </r>
    <r>
      <rPr>
        <sz val="11"/>
        <color theme="1"/>
        <rFont val="Calibri"/>
        <family val="2"/>
      </rPr>
      <t xml:space="preserve"> weeks</t>
    </r>
  </si>
  <si>
    <t>After 20 weeks</t>
  </si>
  <si>
    <t>Number of women with complex social factors</t>
  </si>
  <si>
    <t>If yes to other, please specify</t>
  </si>
  <si>
    <t>The sample for this audit should include pregnant women with complex social factors who are receiving antenatal care. Select an appropriate sample in line with your local clinical audit strategy. We have allowed 40 rows for data but this can be increased. The tool could also be used to collect data for women without complex social factors to enable comparison between the two groups.</t>
  </si>
  <si>
    <t>• a results page, named 'Combined data', which will automatically display results from the data entered into the previous sheets.</t>
  </si>
  <si>
    <t>Add new person</t>
  </si>
  <si>
    <t>Person ID</t>
  </si>
  <si>
    <r>
      <t xml:space="preserve">The NICE clinical guideline on </t>
    </r>
    <r>
      <rPr>
        <sz val="12"/>
        <rFont val="Calibri"/>
        <family val="2"/>
      </rPr>
      <t xml:space="preserve">'Pregnancy and complex social factors' recommends the collection of data about the contact pregnant women with complex social factors have with antenatal services.  </t>
    </r>
  </si>
  <si>
    <r>
      <t>1.1.1</t>
    </r>
    <r>
      <rPr>
        <sz val="12"/>
        <color indexed="8"/>
        <rFont val="Times New Roman"/>
        <family val="1"/>
      </rPr>
      <t>    </t>
    </r>
    <r>
      <rPr>
        <sz val="12"/>
        <color indexed="8"/>
        <rFont val="Calibri"/>
        <family val="2"/>
      </rPr>
      <t>In order to inform mapping of their local population to guide service provision, 
               commissioners should ensure that the following are recorded:</t>
    </r>
  </si>
  <si>
    <r>
      <t xml:space="preserve">               ·</t>
    </r>
    <r>
      <rPr>
        <sz val="12"/>
        <color indexed="8"/>
        <rFont val="Times New Roman"/>
        <family val="1"/>
      </rPr>
      <t>     </t>
    </r>
    <r>
      <rPr>
        <sz val="12"/>
        <color indexed="8"/>
        <rFont val="Calibri"/>
        <family val="2"/>
      </rPr>
      <t xml:space="preserve"> The number of women who:</t>
    </r>
  </si>
  <si>
    <r>
      <t xml:space="preserve">                        -</t>
    </r>
    <r>
      <rPr>
        <sz val="12"/>
        <color indexed="8"/>
        <rFont val="Times New Roman"/>
        <family val="1"/>
      </rPr>
      <t>    </t>
    </r>
    <r>
      <rPr>
        <sz val="12"/>
        <color indexed="8"/>
        <rFont val="Calibri"/>
        <family val="2"/>
      </rPr>
      <t>attend for booking by 10, 12</t>
    </r>
    <r>
      <rPr>
        <vertAlign val="superscript"/>
        <sz val="12"/>
        <color indexed="8"/>
        <rFont val="Calibri"/>
        <family val="2"/>
      </rPr>
      <t>+6</t>
    </r>
    <r>
      <rPr>
        <sz val="12"/>
        <color indexed="8"/>
        <rFont val="Calibri"/>
        <family val="2"/>
      </rPr>
      <t xml:space="preserve"> and 20 weeks</t>
    </r>
    <r>
      <rPr>
        <sz val="12"/>
        <color indexed="10"/>
        <rFont val="Calibri"/>
        <family val="2"/>
      </rPr>
      <t>.</t>
    </r>
  </si>
  <si>
    <r>
      <t xml:space="preserve">               ·</t>
    </r>
    <r>
      <rPr>
        <sz val="12"/>
        <color indexed="8"/>
        <rFont val="Calibri"/>
        <family val="2"/>
      </rPr>
      <t>      The number of appointments each woman attends.</t>
    </r>
  </si>
  <si>
    <r>
      <t xml:space="preserve">               ·</t>
    </r>
    <r>
      <rPr>
        <sz val="12"/>
        <color indexed="8"/>
        <rFont val="Calibri"/>
        <family val="2"/>
      </rPr>
      <t>      The number of scheduled appointments each woman does not attend.</t>
    </r>
  </si>
  <si>
    <r>
      <t xml:space="preserve">[1] Examples of complex social factors </t>
    </r>
    <r>
      <rPr>
        <sz val="12"/>
        <rFont val="Calibri"/>
        <family val="2"/>
      </rPr>
      <t>in pregnancy include: poverty; homelessness; substance misuse; recent arrival as a migrant; asylum seeker or refugee status; difficulty speaking or understanding English;  age under 20; domestic abuse. Complex social factors may vary, both in type and prevalence, across different local populations.</t>
    </r>
  </si>
  <si>
    <r>
      <rPr>
        <u val="single"/>
        <sz val="12"/>
        <rFont val="Calibri"/>
        <family val="2"/>
      </rPr>
      <t xml:space="preserve">[2] </t>
    </r>
    <r>
      <rPr>
        <sz val="12"/>
        <rFont val="Calibri"/>
        <family val="2"/>
      </rPr>
      <t xml:space="preserve">See ‘Antenatal care’. (NICE clinical guideline 62). Available from </t>
    </r>
    <r>
      <rPr>
        <u val="single"/>
        <sz val="12"/>
        <color indexed="12"/>
        <rFont val="Calibri"/>
        <family val="2"/>
      </rPr>
      <t>www.nice.org.uk/guidance/CG62</t>
    </r>
  </si>
  <si>
    <t xml:space="preserve">               ·    The number of women presenting for antenatal care with any complex social factor[1].</t>
  </si>
  <si>
    <r>
      <t xml:space="preserve">               ·</t>
    </r>
    <r>
      <rPr>
        <sz val="12"/>
        <color indexed="8"/>
        <rFont val="Times New Roman"/>
        <family val="1"/>
      </rPr>
      <t>    </t>
    </r>
    <r>
      <rPr>
        <sz val="12"/>
        <color indexed="8"/>
        <rFont val="Calibri"/>
        <family val="2"/>
      </rPr>
      <t>The number of women within each complex social factor grouping identified 
                    locally.</t>
    </r>
  </si>
  <si>
    <r>
      <t>1.1.2</t>
    </r>
    <r>
      <rPr>
        <sz val="12"/>
        <rFont val="Times New Roman"/>
        <family val="1"/>
      </rPr>
      <t>    </t>
    </r>
    <r>
      <rPr>
        <sz val="12"/>
        <rFont val="Calibri"/>
        <family val="2"/>
      </rPr>
      <t>Commissioners should ensure that the following are recorded separately for each 
            complex social factor grouping:</t>
    </r>
  </si>
  <si>
    <t xml:space="preserve">                        -    attend for the recommended number of antenatal appointments, in line  
                             with national guidance[2].</t>
  </si>
  <si>
    <t xml:space="preserve">                        -    experience, or have babies who experience, mortality or significant morbidity[3].</t>
  </si>
  <si>
    <r>
      <t xml:space="preserve">• data collection sheets (green tabs) named </t>
    </r>
    <r>
      <rPr>
        <sz val="12"/>
        <color indexed="10"/>
        <rFont val="Arial"/>
        <family val="2"/>
      </rPr>
      <t>'</t>
    </r>
    <r>
      <rPr>
        <sz val="12"/>
        <color indexed="8"/>
        <rFont val="Arial"/>
        <family val="2"/>
      </rPr>
      <t>Complex social factors</t>
    </r>
    <r>
      <rPr>
        <sz val="12"/>
        <color indexed="10"/>
        <rFont val="Arial"/>
        <family val="2"/>
      </rPr>
      <t>'</t>
    </r>
    <r>
      <rPr>
        <sz val="12"/>
        <color indexed="8"/>
        <rFont val="Arial"/>
        <family val="2"/>
      </rPr>
      <t xml:space="preserve">, </t>
    </r>
    <r>
      <rPr>
        <sz val="12"/>
        <color indexed="10"/>
        <rFont val="Arial"/>
        <family val="2"/>
      </rPr>
      <t>'</t>
    </r>
    <r>
      <rPr>
        <sz val="12"/>
        <color indexed="8"/>
        <rFont val="Arial"/>
        <family val="2"/>
      </rPr>
      <t xml:space="preserve">Appointments' and </t>
    </r>
    <r>
      <rPr>
        <sz val="12"/>
        <color indexed="10"/>
        <rFont val="Arial"/>
        <family val="2"/>
      </rPr>
      <t>'</t>
    </r>
    <r>
      <rPr>
        <sz val="12"/>
        <color indexed="8"/>
        <rFont val="Arial"/>
        <family val="2"/>
      </rPr>
      <t>Mortality and morbidity</t>
    </r>
    <r>
      <rPr>
        <sz val="12"/>
        <color indexed="10"/>
        <rFont val="Arial"/>
        <family val="2"/>
      </rPr>
      <t>'</t>
    </r>
    <r>
      <rPr>
        <sz val="12"/>
        <color indexed="8"/>
        <rFont val="Arial"/>
        <family val="2"/>
      </rPr>
      <t xml:space="preserve">.  Data should be entered in the cells coloured yellow. The data is then automatically entered into tables on the same sheet and in the Combined data sheet.  </t>
    </r>
  </si>
  <si>
    <t>These charts can be used to help present your findings.</t>
  </si>
  <si>
    <t>Data collection for 'Pregnancy and complex social factors'</t>
  </si>
  <si>
    <t>This spreadsheet is intended to help organisations carry out the data collection recommended in the NICE guideline on 'Pregnancy and complex social factors'.  It can be used in conjunction with the National Maternity Data Set.  The data items that are also included in the national data set have been marked with an asterisk.</t>
  </si>
  <si>
    <t>Poverty*</t>
  </si>
  <si>
    <t>Homelessness*</t>
  </si>
  <si>
    <t>Substance misuse*</t>
  </si>
  <si>
    <t>Recent arrival as a migrant*</t>
  </si>
  <si>
    <t>Asylum seeker or refugee status*</t>
  </si>
  <si>
    <t>Domestic abuse*</t>
  </si>
  <si>
    <t>Age under 20*</t>
  </si>
  <si>
    <t>How many weeks pregnant was the woman at booking?*</t>
  </si>
  <si>
    <r>
      <t xml:space="preserve">Number of </t>
    </r>
    <r>
      <rPr>
        <b/>
        <sz val="11"/>
        <rFont val="Calibri"/>
        <family val="2"/>
      </rPr>
      <t>pregnant women with individual complex social factors</t>
    </r>
  </si>
  <si>
    <t>&gt; 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</si>
</sst>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809]dd\ mmmm\ yyyy"/>
  </numFmts>
  <fonts count="89">
    <font>
      <sz val="11"/>
      <color theme="1"/>
      <name val="Calibri"/>
      <family val="2"/>
    </font>
    <font>
      <sz val="11"/>
      <color indexed="8"/>
      <name val="Calibri"/>
      <family val="2"/>
    </font>
    <font>
      <sz val="8"/>
      <name val="Tahoma"/>
      <family val="2"/>
    </font>
    <font>
      <b/>
      <sz val="8"/>
      <name val="Tahoma"/>
      <family val="2"/>
    </font>
    <font>
      <b/>
      <sz val="18"/>
      <name val="Calibri"/>
      <family val="2"/>
    </font>
    <font>
      <sz val="12"/>
      <name val="Arial"/>
      <family val="2"/>
    </font>
    <font>
      <sz val="12"/>
      <color indexed="8"/>
      <name val="Arial"/>
      <family val="2"/>
    </font>
    <font>
      <b/>
      <sz val="12"/>
      <name val="Arial"/>
      <family val="2"/>
    </font>
    <font>
      <sz val="12"/>
      <color indexed="10"/>
      <name val="Arial"/>
      <family val="2"/>
    </font>
    <font>
      <sz val="11"/>
      <name val="Calibri"/>
      <family val="2"/>
    </font>
    <font>
      <sz val="12"/>
      <color indexed="10"/>
      <name val="Calibri"/>
      <family val="2"/>
    </font>
    <font>
      <b/>
      <sz val="16"/>
      <name val="Calibri"/>
      <family val="2"/>
    </font>
    <font>
      <b/>
      <sz val="10"/>
      <name val="Arial"/>
      <family val="2"/>
    </font>
    <font>
      <b/>
      <sz val="11"/>
      <name val="Calibri"/>
      <family val="2"/>
    </font>
    <font>
      <b/>
      <sz val="11"/>
      <color indexed="9"/>
      <name val="Calibri"/>
      <family val="2"/>
    </font>
    <font>
      <sz val="10"/>
      <name val="Calibri"/>
      <family val="2"/>
    </font>
    <font>
      <b/>
      <sz val="10"/>
      <name val="Calibri"/>
      <family val="2"/>
    </font>
    <font>
      <vertAlign val="superscript"/>
      <sz val="11"/>
      <color indexed="8"/>
      <name val="Calibri"/>
      <family val="2"/>
    </font>
    <font>
      <sz val="12"/>
      <name val="Calibri"/>
      <family val="2"/>
    </font>
    <font>
      <sz val="12"/>
      <color indexed="8"/>
      <name val="Calibri"/>
      <family val="2"/>
    </font>
    <font>
      <sz val="12"/>
      <color indexed="8"/>
      <name val="Times New Roman"/>
      <family val="1"/>
    </font>
    <font>
      <sz val="12"/>
      <name val="Times New Roman"/>
      <family val="1"/>
    </font>
    <font>
      <vertAlign val="superscript"/>
      <sz val="12"/>
      <color indexed="8"/>
      <name val="Calibri"/>
      <family val="2"/>
    </font>
    <font>
      <u val="single"/>
      <sz val="12"/>
      <name val="Calibri"/>
      <family val="2"/>
    </font>
    <font>
      <u val="single"/>
      <sz val="12"/>
      <color indexed="12"/>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u val="single"/>
      <sz val="9.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0"/>
      <color indexed="8"/>
      <name val="Arial"/>
      <family val="2"/>
    </font>
    <font>
      <b/>
      <sz val="10"/>
      <color indexed="8"/>
      <name val="Arial"/>
      <family val="2"/>
    </font>
    <font>
      <sz val="10"/>
      <color indexed="10"/>
      <name val="Calibri"/>
      <family val="2"/>
    </font>
    <font>
      <b/>
      <sz val="16"/>
      <color indexed="8"/>
      <name val="Calibri"/>
      <family val="2"/>
    </font>
    <font>
      <b/>
      <sz val="12"/>
      <color indexed="8"/>
      <name val="Arial"/>
      <family val="2"/>
    </font>
    <font>
      <b/>
      <sz val="12"/>
      <color indexed="8"/>
      <name val="Calibri"/>
      <family val="2"/>
    </font>
    <font>
      <sz val="16"/>
      <color indexed="9"/>
      <name val="Arial"/>
      <family val="0"/>
    </font>
    <font>
      <sz val="20"/>
      <color indexed="8"/>
      <name val="Arial"/>
      <family val="0"/>
    </font>
    <font>
      <b/>
      <sz val="28"/>
      <color indexed="21"/>
      <name val="Arial"/>
      <family val="0"/>
    </font>
    <font>
      <sz val="18"/>
      <color indexed="8"/>
      <name val="Arial"/>
      <family val="0"/>
    </font>
    <font>
      <sz val="14"/>
      <color indexed="8"/>
      <name val="Arial"/>
      <family val="0"/>
    </font>
    <font>
      <sz val="14"/>
      <color indexed="9"/>
      <name val="Arial"/>
      <family val="0"/>
    </font>
    <font>
      <b/>
      <sz val="14"/>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0"/>
      <color theme="1"/>
      <name val="Arial"/>
      <family val="2"/>
    </font>
    <font>
      <b/>
      <sz val="10"/>
      <color theme="1"/>
      <name val="Arial"/>
      <family val="2"/>
    </font>
    <font>
      <sz val="10"/>
      <color rgb="FFFF0000"/>
      <name val="Calibri"/>
      <family val="2"/>
    </font>
    <font>
      <b/>
      <sz val="16"/>
      <color theme="1"/>
      <name val="Calibri"/>
      <family val="2"/>
    </font>
    <font>
      <sz val="12"/>
      <color theme="1"/>
      <name val="Arial"/>
      <family val="2"/>
    </font>
    <font>
      <b/>
      <sz val="12"/>
      <color theme="1"/>
      <name val="Arial"/>
      <family val="2"/>
    </font>
    <font>
      <b/>
      <sz val="11"/>
      <color rgb="FF1F497D"/>
      <name val="Calibri"/>
      <family val="2"/>
    </font>
    <font>
      <sz val="12"/>
      <color theme="1"/>
      <name val="Calibri"/>
      <family val="2"/>
    </font>
    <font>
      <u val="single"/>
      <sz val="12"/>
      <color theme="10"/>
      <name val="Calibri"/>
      <family val="2"/>
    </font>
    <font>
      <b/>
      <sz val="1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7" tint="0.5999600291252136"/>
        <bgColor indexed="64"/>
      </patternFill>
    </fill>
    <fill>
      <patternFill patternType="solid">
        <fgColor rgb="FFCCC0DA"/>
        <bgColor indexed="64"/>
      </patternFill>
    </fill>
    <fill>
      <patternFill patternType="solid">
        <fgColor theme="3" tint="0.5999900102615356"/>
        <bgColor indexed="64"/>
      </patternFill>
    </fill>
    <fill>
      <patternFill patternType="solid">
        <fgColor rgb="FF6699FF"/>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color theme="1"/>
      </left>
      <right style="medium">
        <color theme="1"/>
      </right>
      <top style="medium">
        <color theme="1"/>
      </top>
      <bottom style="medium">
        <color theme="1"/>
      </bottom>
    </border>
    <border>
      <left/>
      <right/>
      <top/>
      <bottom style="medium">
        <color theme="1"/>
      </bottom>
    </border>
    <border>
      <left style="medium">
        <color theme="1"/>
      </left>
      <right/>
      <top style="medium">
        <color theme="1"/>
      </top>
      <bottom/>
    </border>
    <border>
      <left style="medium">
        <color theme="1"/>
      </left>
      <right style="medium">
        <color theme="1"/>
      </right>
      <top style="medium">
        <color theme="1"/>
      </top>
      <bottom/>
    </border>
    <border>
      <left/>
      <right style="medium">
        <color theme="1"/>
      </right>
      <top/>
      <bottom/>
    </border>
    <border>
      <left style="medium">
        <color theme="1"/>
      </left>
      <right/>
      <top/>
      <bottom/>
    </border>
    <border>
      <left style="medium"/>
      <right/>
      <top style="medium"/>
      <bottom style="medium"/>
    </border>
    <border>
      <left/>
      <right style="medium">
        <color theme="1"/>
      </right>
      <top style="medium">
        <color theme="1"/>
      </top>
      <bottom style="medium">
        <color theme="1"/>
      </bottom>
    </border>
    <border>
      <left style="medium">
        <color theme="1"/>
      </left>
      <right style="medium">
        <color theme="1"/>
      </right>
      <top/>
      <bottom style="medium">
        <color theme="1"/>
      </bottom>
    </border>
    <border>
      <left/>
      <right/>
      <top style="medium"/>
      <bottom/>
    </border>
    <border>
      <left/>
      <right style="thick">
        <color theme="1" tint="0.04998999834060669"/>
      </right>
      <top style="medium"/>
      <bottom/>
    </border>
    <border>
      <left style="thick">
        <color theme="1" tint="0.04998999834060669"/>
      </left>
      <right style="thick">
        <color theme="1" tint="0.04998999834060669"/>
      </right>
      <top style="thick">
        <color theme="1" tint="0.04998999834060669"/>
      </top>
      <bottom style="thick">
        <color theme="1" tint="0.04998999834060669"/>
      </bottom>
    </border>
    <border>
      <left/>
      <right style="medium">
        <color theme="1"/>
      </right>
      <top style="medium">
        <color theme="1"/>
      </top>
      <bottom/>
    </border>
    <border>
      <left/>
      <right/>
      <top/>
      <bottom style="medium"/>
    </border>
    <border>
      <left style="medium">
        <color theme="1"/>
      </left>
      <right/>
      <top style="medium">
        <color theme="1"/>
      </top>
      <bottom style="medium">
        <color theme="1"/>
      </bottom>
    </border>
    <border>
      <left style="medium">
        <color theme="1"/>
      </left>
      <right/>
      <top/>
      <bottom style="thin">
        <color theme="4" tint="0.39998000860214233"/>
      </bottom>
    </border>
    <border>
      <left style="thin">
        <color theme="4" tint="0.39998000860214233"/>
      </left>
      <right style="medium"/>
      <top style="medium"/>
      <bottom style="medium"/>
    </border>
    <border>
      <left style="medium">
        <color theme="1"/>
      </left>
      <right>
        <color indexed="63"/>
      </right>
      <top/>
      <bottom style="medium">
        <color theme="1"/>
      </bottom>
    </border>
    <border>
      <left style="medium"/>
      <right/>
      <top style="medium"/>
      <bottom/>
    </border>
    <border>
      <left style="medium"/>
      <right style="medium">
        <color theme="1"/>
      </right>
      <top style="medium">
        <color theme="1"/>
      </top>
      <bottom style="medium">
        <color theme="1"/>
      </bottom>
    </border>
    <border>
      <left style="medium">
        <color theme="1"/>
      </left>
      <right style="medium">
        <color theme="1"/>
      </right>
      <top>
        <color indexed="63"/>
      </top>
      <bottom/>
    </border>
    <border>
      <left/>
      <right style="medium"/>
      <top style="medium"/>
      <bottom style="medium"/>
    </border>
    <border>
      <left style="medium"/>
      <right style="medium"/>
      <top style="medium"/>
      <bottom/>
    </border>
    <border>
      <left style="medium"/>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style="thin"/>
      <top>
        <color indexed="63"/>
      </top>
      <bottom>
        <color indexed="63"/>
      </bottom>
    </border>
    <border>
      <left/>
      <right style="medium"/>
      <top style="medium"/>
      <bottom/>
    </border>
    <border>
      <left/>
      <right style="thick"/>
      <top style="thick">
        <color theme="1" tint="0.04998999834060669"/>
      </top>
      <bottom style="thick">
        <color theme="1" tint="0.04998999834060669"/>
      </bottom>
    </border>
    <border>
      <left style="thick"/>
      <right style="thick">
        <color theme="1" tint="0.04998999834060669"/>
      </right>
      <top style="thick">
        <color theme="1" tint="0.04998999834060669"/>
      </top>
      <bottom style="thick">
        <color theme="1" tint="0.04998999834060669"/>
      </bottom>
    </border>
    <border>
      <left style="medium"/>
      <right>
        <color indexed="63"/>
      </right>
      <top>
        <color indexed="63"/>
      </top>
      <bottom>
        <color indexed="63"/>
      </botto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72">
    <xf numFmtId="0" fontId="0" fillId="0" borderId="0" xfId="0" applyFont="1" applyAlignment="1">
      <alignment/>
    </xf>
    <xf numFmtId="0" fontId="0" fillId="0" borderId="10" xfId="0" applyBorder="1" applyAlignment="1">
      <alignment/>
    </xf>
    <xf numFmtId="0" fontId="76" fillId="0" borderId="0" xfId="0" applyFont="1" applyAlignment="1">
      <alignment/>
    </xf>
    <xf numFmtId="0" fontId="76" fillId="2" borderId="11" xfId="0" applyFont="1" applyFill="1" applyBorder="1" applyAlignment="1">
      <alignment/>
    </xf>
    <xf numFmtId="0" fontId="76" fillId="0" borderId="12" xfId="0" applyFont="1" applyBorder="1" applyAlignment="1">
      <alignment/>
    </xf>
    <xf numFmtId="0" fontId="77" fillId="0" borderId="11" xfId="0" applyFont="1" applyBorder="1" applyAlignment="1">
      <alignment/>
    </xf>
    <xf numFmtId="9" fontId="77" fillId="0" borderId="11" xfId="0" applyNumberFormat="1" applyFont="1" applyBorder="1" applyAlignment="1">
      <alignment/>
    </xf>
    <xf numFmtId="0" fontId="76" fillId="33" borderId="13" xfId="0" applyFont="1" applyFill="1" applyBorder="1" applyAlignment="1">
      <alignment/>
    </xf>
    <xf numFmtId="0" fontId="76" fillId="33" borderId="14" xfId="0" applyFont="1" applyFill="1" applyBorder="1" applyAlignment="1">
      <alignment/>
    </xf>
    <xf numFmtId="0" fontId="76" fillId="34" borderId="11" xfId="0" applyFont="1" applyFill="1" applyBorder="1" applyAlignment="1">
      <alignment/>
    </xf>
    <xf numFmtId="0" fontId="76" fillId="0" borderId="0" xfId="0" applyFont="1" applyBorder="1" applyAlignment="1">
      <alignment/>
    </xf>
    <xf numFmtId="0" fontId="76" fillId="0" borderId="10" xfId="0" applyFont="1" applyBorder="1" applyAlignment="1">
      <alignment/>
    </xf>
    <xf numFmtId="0" fontId="74" fillId="2" borderId="10" xfId="0" applyFont="1" applyFill="1" applyBorder="1" applyAlignment="1">
      <alignment/>
    </xf>
    <xf numFmtId="0" fontId="0" fillId="0" borderId="0" xfId="0" applyBorder="1" applyAlignment="1">
      <alignment/>
    </xf>
    <xf numFmtId="0" fontId="77" fillId="0" borderId="15" xfId="0" applyFont="1" applyBorder="1" applyAlignment="1">
      <alignment/>
    </xf>
    <xf numFmtId="0" fontId="77" fillId="0" borderId="13" xfId="0" applyFont="1" applyBorder="1" applyAlignment="1">
      <alignment/>
    </xf>
    <xf numFmtId="0" fontId="77" fillId="0" borderId="16" xfId="0" applyFont="1" applyBorder="1" applyAlignment="1">
      <alignment/>
    </xf>
    <xf numFmtId="0" fontId="76" fillId="32" borderId="11" xfId="0" applyFont="1" applyFill="1" applyBorder="1" applyAlignment="1" applyProtection="1">
      <alignment/>
      <protection locked="0"/>
    </xf>
    <xf numFmtId="0" fontId="78" fillId="0" borderId="0" xfId="0" applyFont="1" applyAlignment="1">
      <alignment/>
    </xf>
    <xf numFmtId="0" fontId="79" fillId="0" borderId="0" xfId="0" applyFont="1" applyAlignment="1">
      <alignment/>
    </xf>
    <xf numFmtId="0" fontId="76" fillId="2" borderId="10" xfId="0" applyFont="1" applyFill="1" applyBorder="1" applyAlignment="1">
      <alignment/>
    </xf>
    <xf numFmtId="0" fontId="76" fillId="0" borderId="17" xfId="0" applyFont="1" applyBorder="1" applyAlignment="1">
      <alignment/>
    </xf>
    <xf numFmtId="0" fontId="76" fillId="32" borderId="18" xfId="0" applyFont="1" applyFill="1" applyBorder="1" applyAlignment="1" applyProtection="1">
      <alignment/>
      <protection locked="0"/>
    </xf>
    <xf numFmtId="0" fontId="80" fillId="32" borderId="18" xfId="0" applyFont="1" applyFill="1" applyBorder="1" applyAlignment="1" applyProtection="1">
      <alignment/>
      <protection locked="0"/>
    </xf>
    <xf numFmtId="0" fontId="76" fillId="34" borderId="19" xfId="0" applyFont="1" applyFill="1" applyBorder="1" applyAlignment="1">
      <alignment/>
    </xf>
    <xf numFmtId="0" fontId="81" fillId="0" borderId="20" xfId="0" applyFont="1" applyFill="1" applyBorder="1" applyAlignment="1">
      <alignment/>
    </xf>
    <xf numFmtId="0" fontId="76" fillId="34" borderId="14" xfId="0" applyFont="1" applyFill="1" applyBorder="1" applyAlignment="1">
      <alignment/>
    </xf>
    <xf numFmtId="0" fontId="76" fillId="11" borderId="11" xfId="0" applyFont="1" applyFill="1" applyBorder="1" applyAlignment="1">
      <alignment/>
    </xf>
    <xf numFmtId="0" fontId="76" fillId="32" borderId="11" xfId="0" applyFont="1" applyFill="1" applyBorder="1" applyAlignment="1" applyProtection="1">
      <alignment/>
      <protection/>
    </xf>
    <xf numFmtId="0" fontId="76" fillId="2" borderId="17" xfId="0" applyFont="1" applyFill="1" applyBorder="1" applyAlignment="1">
      <alignment/>
    </xf>
    <xf numFmtId="0" fontId="81" fillId="0" borderId="0" xfId="0" applyFont="1" applyFill="1" applyBorder="1" applyAlignment="1">
      <alignment/>
    </xf>
    <xf numFmtId="0" fontId="81" fillId="0" borderId="21" xfId="0" applyFont="1" applyFill="1" applyBorder="1" applyAlignment="1">
      <alignment/>
    </xf>
    <xf numFmtId="164" fontId="81" fillId="0" borderId="22" xfId="0" applyNumberFormat="1" applyFont="1" applyFill="1" applyBorder="1" applyAlignment="1">
      <alignment/>
    </xf>
    <xf numFmtId="0" fontId="76" fillId="33" borderId="14" xfId="0" applyFont="1" applyFill="1" applyBorder="1" applyAlignment="1">
      <alignment wrapText="1"/>
    </xf>
    <xf numFmtId="0" fontId="79" fillId="2" borderId="14" xfId="0" applyFont="1" applyFill="1" applyBorder="1" applyAlignment="1">
      <alignment wrapText="1"/>
    </xf>
    <xf numFmtId="1" fontId="77" fillId="0" borderId="11" xfId="0" applyNumberFormat="1" applyFont="1" applyBorder="1" applyAlignment="1">
      <alignment/>
    </xf>
    <xf numFmtId="2" fontId="0" fillId="0" borderId="0" xfId="0" applyNumberFormat="1" applyAlignment="1">
      <alignment/>
    </xf>
    <xf numFmtId="0" fontId="76" fillId="0" borderId="11" xfId="0" applyFont="1" applyBorder="1" applyAlignment="1">
      <alignment/>
    </xf>
    <xf numFmtId="0" fontId="76" fillId="0" borderId="23" xfId="0" applyFont="1" applyBorder="1" applyAlignment="1">
      <alignment/>
    </xf>
    <xf numFmtId="0" fontId="76" fillId="0" borderId="24" xfId="0" applyFont="1" applyBorder="1" applyAlignment="1">
      <alignment/>
    </xf>
    <xf numFmtId="0" fontId="76" fillId="0" borderId="10" xfId="0" applyFont="1" applyBorder="1" applyAlignment="1">
      <alignment horizontal="right"/>
    </xf>
    <xf numFmtId="0" fontId="82" fillId="0" borderId="0" xfId="0" applyFont="1" applyAlignment="1">
      <alignment wrapText="1"/>
    </xf>
    <xf numFmtId="0" fontId="6" fillId="0" borderId="0" xfId="0" applyFont="1" applyAlignment="1">
      <alignment wrapText="1"/>
    </xf>
    <xf numFmtId="0" fontId="7" fillId="0" borderId="10" xfId="0" applyFont="1" applyBorder="1" applyAlignment="1">
      <alignment vertical="top" wrapText="1"/>
    </xf>
    <xf numFmtId="0" fontId="82" fillId="0" borderId="0" xfId="0" applyFont="1" applyBorder="1" applyAlignment="1">
      <alignment vertical="top" wrapText="1"/>
    </xf>
    <xf numFmtId="0" fontId="82" fillId="0" borderId="0" xfId="0" applyFont="1" applyBorder="1" applyAlignment="1">
      <alignment horizontal="left" vertical="top" wrapText="1"/>
    </xf>
    <xf numFmtId="0" fontId="83" fillId="0" borderId="0" xfId="0" applyFont="1" applyBorder="1" applyAlignment="1">
      <alignment vertical="top" wrapText="1"/>
    </xf>
    <xf numFmtId="0" fontId="7" fillId="0" borderId="11" xfId="0" applyFont="1" applyBorder="1" applyAlignment="1">
      <alignment vertical="top" wrapText="1"/>
    </xf>
    <xf numFmtId="0" fontId="76" fillId="32" borderId="25" xfId="0" applyFont="1" applyFill="1" applyBorder="1" applyAlignment="1" applyProtection="1">
      <alignment/>
      <protection locked="0"/>
    </xf>
    <xf numFmtId="0" fontId="77" fillId="0" borderId="25" xfId="0" applyFont="1" applyBorder="1" applyAlignment="1">
      <alignment/>
    </xf>
    <xf numFmtId="9" fontId="77" fillId="0" borderId="25" xfId="0" applyNumberFormat="1" applyFont="1" applyBorder="1" applyAlignment="1">
      <alignment/>
    </xf>
    <xf numFmtId="0" fontId="79" fillId="2" borderId="13" xfId="0" applyFont="1" applyFill="1" applyBorder="1" applyAlignment="1">
      <alignment wrapText="1"/>
    </xf>
    <xf numFmtId="0" fontId="79" fillId="2" borderId="11" xfId="0" applyFont="1" applyFill="1" applyBorder="1" applyAlignment="1">
      <alignment wrapText="1"/>
    </xf>
    <xf numFmtId="0" fontId="76" fillId="32" borderId="11" xfId="0" applyFont="1" applyFill="1" applyBorder="1" applyAlignment="1">
      <alignment/>
    </xf>
    <xf numFmtId="9" fontId="77" fillId="5" borderId="11" xfId="0" applyNumberFormat="1" applyFont="1" applyFill="1" applyBorder="1" applyAlignment="1">
      <alignment/>
    </xf>
    <xf numFmtId="0" fontId="76" fillId="32" borderId="11" xfId="0" applyFont="1" applyFill="1" applyBorder="1" applyAlignment="1">
      <alignment wrapText="1"/>
    </xf>
    <xf numFmtId="0" fontId="77" fillId="0" borderId="11" xfId="0" applyNumberFormat="1" applyFont="1" applyBorder="1" applyAlignment="1">
      <alignment horizontal="left"/>
    </xf>
    <xf numFmtId="0" fontId="77" fillId="0" borderId="11" xfId="0" applyFont="1" applyBorder="1" applyAlignment="1">
      <alignment horizontal="right"/>
    </xf>
    <xf numFmtId="0" fontId="0" fillId="0" borderId="0" xfId="0" applyAlignment="1">
      <alignment horizontal="right"/>
    </xf>
    <xf numFmtId="0" fontId="0" fillId="0" borderId="0" xfId="0" applyAlignment="1">
      <alignment horizontal="left" wrapText="1"/>
    </xf>
    <xf numFmtId="0" fontId="0" fillId="0" borderId="0" xfId="0" applyAlignment="1">
      <alignment wrapText="1"/>
    </xf>
    <xf numFmtId="0" fontId="0" fillId="0" borderId="0" xfId="0" applyFont="1" applyFill="1" applyAlignment="1">
      <alignment/>
    </xf>
    <xf numFmtId="0" fontId="74" fillId="0" borderId="0" xfId="0" applyFont="1" applyAlignment="1">
      <alignment wrapText="1"/>
    </xf>
    <xf numFmtId="0" fontId="0" fillId="0" borderId="0" xfId="0" applyAlignment="1">
      <alignment horizontal="center"/>
    </xf>
    <xf numFmtId="0" fontId="0" fillId="0" borderId="16" xfId="0" applyFont="1" applyFill="1" applyBorder="1" applyAlignment="1">
      <alignment wrapText="1"/>
    </xf>
    <xf numFmtId="0" fontId="0" fillId="0" borderId="0" xfId="0" applyAlignment="1">
      <alignment horizontal="right" wrapText="1"/>
    </xf>
    <xf numFmtId="0" fontId="0" fillId="0" borderId="0" xfId="0" applyAlignment="1">
      <alignment horizontal="center" wrapText="1"/>
    </xf>
    <xf numFmtId="0" fontId="0" fillId="0" borderId="26" xfId="0" applyFont="1" applyFill="1" applyBorder="1" applyAlignment="1">
      <alignment wrapText="1"/>
    </xf>
    <xf numFmtId="0" fontId="0" fillId="0" borderId="27" xfId="0"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wrapText="1"/>
    </xf>
    <xf numFmtId="0" fontId="0" fillId="0" borderId="10" xfId="0" applyBorder="1" applyAlignment="1">
      <alignment wrapText="1"/>
    </xf>
    <xf numFmtId="0" fontId="76" fillId="0" borderId="0" xfId="0" applyFont="1" applyAlignment="1">
      <alignment wrapText="1"/>
    </xf>
    <xf numFmtId="0" fontId="81" fillId="0" borderId="0" xfId="0" applyFont="1" applyAlignment="1">
      <alignment/>
    </xf>
    <xf numFmtId="0" fontId="81" fillId="35" borderId="0" xfId="0" applyFont="1" applyFill="1" applyBorder="1" applyAlignment="1">
      <alignment/>
    </xf>
    <xf numFmtId="0" fontId="76" fillId="34" borderId="25" xfId="0" applyFont="1" applyFill="1" applyBorder="1" applyAlignment="1">
      <alignment/>
    </xf>
    <xf numFmtId="0" fontId="76" fillId="34" borderId="13" xfId="0" applyFont="1" applyFill="1" applyBorder="1" applyAlignment="1">
      <alignment/>
    </xf>
    <xf numFmtId="0" fontId="76" fillId="11" borderId="25" xfId="0" applyFont="1" applyFill="1" applyBorder="1" applyAlignment="1">
      <alignment/>
    </xf>
    <xf numFmtId="0" fontId="76" fillId="34" borderId="28" xfId="0" applyFont="1" applyFill="1" applyBorder="1" applyAlignment="1">
      <alignment/>
    </xf>
    <xf numFmtId="0" fontId="0" fillId="32" borderId="10" xfId="0" applyFill="1" applyBorder="1" applyAlignment="1">
      <alignment/>
    </xf>
    <xf numFmtId="0" fontId="0" fillId="0" borderId="16" xfId="0" applyBorder="1" applyAlignment="1">
      <alignment/>
    </xf>
    <xf numFmtId="0" fontId="0" fillId="0" borderId="29" xfId="0" applyBorder="1" applyAlignment="1">
      <alignment/>
    </xf>
    <xf numFmtId="0" fontId="0" fillId="0" borderId="20" xfId="0" applyBorder="1" applyAlignment="1">
      <alignment/>
    </xf>
    <xf numFmtId="0" fontId="74" fillId="0" borderId="30" xfId="0" applyFont="1" applyBorder="1" applyAlignment="1">
      <alignment/>
    </xf>
    <xf numFmtId="0" fontId="77" fillId="0" borderId="11" xfId="0" applyFont="1" applyFill="1" applyBorder="1" applyAlignment="1" applyProtection="1">
      <alignment/>
      <protection locked="0"/>
    </xf>
    <xf numFmtId="0" fontId="76" fillId="0" borderId="11" xfId="0" applyFont="1" applyFill="1" applyBorder="1" applyAlignment="1" applyProtection="1">
      <alignment/>
      <protection locked="0"/>
    </xf>
    <xf numFmtId="0" fontId="76" fillId="0" borderId="25" xfId="0" applyFont="1" applyFill="1" applyBorder="1" applyAlignment="1" applyProtection="1">
      <alignment/>
      <protection locked="0"/>
    </xf>
    <xf numFmtId="0" fontId="77" fillId="0" borderId="25" xfId="0" applyFont="1" applyFill="1" applyBorder="1" applyAlignment="1">
      <alignment/>
    </xf>
    <xf numFmtId="0" fontId="77" fillId="0" borderId="11" xfId="0" applyFont="1" applyFill="1" applyBorder="1" applyAlignment="1">
      <alignment/>
    </xf>
    <xf numFmtId="0" fontId="77" fillId="0" borderId="25" xfId="0" applyFont="1" applyFill="1" applyBorder="1" applyAlignment="1" applyProtection="1">
      <alignment/>
      <protection locked="0"/>
    </xf>
    <xf numFmtId="0" fontId="0" fillId="0" borderId="0" xfId="0" applyNumberFormat="1" applyAlignment="1">
      <alignment horizontal="center"/>
    </xf>
    <xf numFmtId="0" fontId="74" fillId="0" borderId="0" xfId="0" applyFont="1" applyBorder="1" applyAlignment="1">
      <alignment horizontal="center"/>
    </xf>
    <xf numFmtId="0" fontId="74" fillId="0" borderId="0" xfId="0" applyFont="1" applyAlignment="1">
      <alignment horizontal="center"/>
    </xf>
    <xf numFmtId="164" fontId="81" fillId="0" borderId="0" xfId="0" applyNumberFormat="1" applyFont="1" applyFill="1" applyBorder="1" applyAlignment="1">
      <alignment/>
    </xf>
    <xf numFmtId="0" fontId="0" fillId="0" borderId="10" xfId="0" applyFill="1" applyBorder="1" applyAlignment="1">
      <alignment wrapText="1"/>
    </xf>
    <xf numFmtId="0" fontId="4" fillId="14" borderId="11" xfId="0" applyFont="1" applyFill="1" applyBorder="1" applyAlignment="1">
      <alignment/>
    </xf>
    <xf numFmtId="0" fontId="5" fillId="0" borderId="0" xfId="0" applyFont="1" applyAlignment="1">
      <alignment wrapText="1"/>
    </xf>
    <xf numFmtId="0" fontId="11" fillId="14" borderId="17" xfId="0" applyFont="1" applyFill="1" applyBorder="1" applyAlignment="1">
      <alignment/>
    </xf>
    <xf numFmtId="0" fontId="9" fillId="0" borderId="0" xfId="0" applyFont="1" applyAlignment="1">
      <alignment wrapText="1"/>
    </xf>
    <xf numFmtId="0" fontId="12" fillId="2" borderId="14" xfId="0" applyFont="1" applyFill="1" applyBorder="1" applyAlignment="1">
      <alignment wrapText="1"/>
    </xf>
    <xf numFmtId="0" fontId="12" fillId="2" borderId="31" xfId="0" applyFont="1" applyFill="1" applyBorder="1" applyAlignment="1">
      <alignment wrapText="1"/>
    </xf>
    <xf numFmtId="0" fontId="9" fillId="0" borderId="0" xfId="0" applyFont="1" applyAlignment="1">
      <alignment horizontal="right"/>
    </xf>
    <xf numFmtId="0" fontId="0" fillId="0" borderId="0" xfId="0" applyFill="1" applyAlignment="1">
      <alignment/>
    </xf>
    <xf numFmtId="0" fontId="0" fillId="0" borderId="0" xfId="0" applyFill="1" applyBorder="1" applyAlignment="1">
      <alignment/>
    </xf>
    <xf numFmtId="0" fontId="0" fillId="0" borderId="16" xfId="0" applyFill="1" applyBorder="1" applyAlignment="1">
      <alignment wrapText="1"/>
    </xf>
    <xf numFmtId="0" fontId="61" fillId="0" borderId="0" xfId="0" applyFont="1" applyFill="1" applyAlignment="1">
      <alignment/>
    </xf>
    <xf numFmtId="0" fontId="15" fillId="2" borderId="10" xfId="0" applyFont="1" applyFill="1" applyBorder="1" applyAlignment="1">
      <alignment/>
    </xf>
    <xf numFmtId="0" fontId="16" fillId="2" borderId="10" xfId="0" applyFont="1" applyFill="1" applyBorder="1" applyAlignment="1">
      <alignment/>
    </xf>
    <xf numFmtId="0" fontId="78" fillId="0" borderId="0" xfId="0" applyNumberFormat="1" applyFont="1" applyAlignment="1">
      <alignment wrapText="1"/>
    </xf>
    <xf numFmtId="0" fontId="0" fillId="0" borderId="32" xfId="0" applyFill="1" applyBorder="1" applyAlignment="1">
      <alignment/>
    </xf>
    <xf numFmtId="0" fontId="76" fillId="2" borderId="18" xfId="0" applyFont="1" applyFill="1" applyBorder="1" applyAlignment="1">
      <alignment/>
    </xf>
    <xf numFmtId="0" fontId="12" fillId="2" borderId="23" xfId="0" applyFont="1" applyFill="1" applyBorder="1" applyAlignment="1">
      <alignment wrapText="1"/>
    </xf>
    <xf numFmtId="0" fontId="0" fillId="32" borderId="32" xfId="0" applyFill="1" applyBorder="1" applyAlignment="1">
      <alignment/>
    </xf>
    <xf numFmtId="0" fontId="77" fillId="0" borderId="28" xfId="0" applyFont="1" applyBorder="1" applyAlignment="1">
      <alignment/>
    </xf>
    <xf numFmtId="0" fontId="76" fillId="32" borderId="10" xfId="0" applyFont="1" applyFill="1" applyBorder="1" applyAlignment="1">
      <alignment/>
    </xf>
    <xf numFmtId="0" fontId="74" fillId="0" borderId="0" xfId="0" applyFont="1" applyAlignment="1">
      <alignment horizontal="right"/>
    </xf>
    <xf numFmtId="0" fontId="79" fillId="2" borderId="10" xfId="0" applyFont="1" applyFill="1" applyBorder="1" applyAlignment="1">
      <alignment wrapText="1"/>
    </xf>
    <xf numFmtId="0" fontId="74" fillId="0" borderId="17" xfId="0" applyFont="1" applyBorder="1" applyAlignment="1">
      <alignment/>
    </xf>
    <xf numFmtId="0" fontId="0" fillId="0" borderId="32" xfId="0" applyBorder="1" applyAlignment="1">
      <alignment/>
    </xf>
    <xf numFmtId="0" fontId="0" fillId="0" borderId="0" xfId="0" applyNumberFormat="1" applyAlignment="1">
      <alignment/>
    </xf>
    <xf numFmtId="0" fontId="0" fillId="0" borderId="0" xfId="0" applyNumberFormat="1" applyAlignment="1">
      <alignment wrapText="1"/>
    </xf>
    <xf numFmtId="0" fontId="84" fillId="0" borderId="11" xfId="0" applyFont="1" applyBorder="1" applyAlignment="1">
      <alignment/>
    </xf>
    <xf numFmtId="0" fontId="76" fillId="0" borderId="11" xfId="0" applyFont="1" applyFill="1" applyBorder="1" applyAlignment="1" applyProtection="1">
      <alignment/>
      <protection/>
    </xf>
    <xf numFmtId="0" fontId="18" fillId="0" borderId="0" xfId="0" applyFont="1" applyAlignment="1">
      <alignment wrapText="1"/>
    </xf>
    <xf numFmtId="0" fontId="85" fillId="0" borderId="0" xfId="0" applyFont="1" applyAlignment="1">
      <alignment horizontal="left" wrapText="1"/>
    </xf>
    <xf numFmtId="0" fontId="85" fillId="0" borderId="0" xfId="0" applyFont="1" applyAlignment="1">
      <alignment/>
    </xf>
    <xf numFmtId="0" fontId="85" fillId="0" borderId="0" xfId="0" applyFont="1" applyAlignment="1">
      <alignment horizontal="left" vertical="center" wrapText="1"/>
    </xf>
    <xf numFmtId="0" fontId="18" fillId="0" borderId="0" xfId="0" applyFont="1" applyAlignment="1">
      <alignment horizontal="left" wrapText="1"/>
    </xf>
    <xf numFmtId="0" fontId="85" fillId="0" borderId="0" xfId="0" applyFont="1" applyAlignment="1">
      <alignment wrapText="1"/>
    </xf>
    <xf numFmtId="0" fontId="86" fillId="0" borderId="0" xfId="53" applyFont="1" applyAlignment="1" applyProtection="1">
      <alignment wrapText="1"/>
      <protection/>
    </xf>
    <xf numFmtId="1" fontId="76" fillId="0" borderId="33" xfId="0" applyNumberFormat="1" applyFont="1" applyBorder="1" applyAlignment="1">
      <alignment/>
    </xf>
    <xf numFmtId="0" fontId="87" fillId="0" borderId="0" xfId="0" applyFont="1" applyAlignment="1">
      <alignment/>
    </xf>
    <xf numFmtId="0" fontId="87" fillId="0" borderId="0" xfId="0" applyFont="1" applyFill="1" applyBorder="1" applyAlignment="1">
      <alignment/>
    </xf>
    <xf numFmtId="0" fontId="87" fillId="0" borderId="25" xfId="0" applyFont="1" applyFill="1" applyBorder="1" applyAlignment="1">
      <alignment/>
    </xf>
    <xf numFmtId="0" fontId="87" fillId="0" borderId="18" xfId="0" applyFont="1" applyFill="1" applyBorder="1" applyAlignment="1">
      <alignment/>
    </xf>
    <xf numFmtId="164" fontId="81" fillId="0" borderId="22" xfId="0" applyNumberFormat="1" applyFont="1" applyFill="1" applyBorder="1" applyAlignment="1" applyProtection="1">
      <alignment/>
      <protection locked="0"/>
    </xf>
    <xf numFmtId="0" fontId="0" fillId="0" borderId="34" xfId="0" applyFill="1" applyBorder="1" applyAlignment="1">
      <alignment/>
    </xf>
    <xf numFmtId="0" fontId="0" fillId="0" borderId="34" xfId="0" applyBorder="1" applyAlignment="1">
      <alignment/>
    </xf>
    <xf numFmtId="9" fontId="0" fillId="0" borderId="10" xfId="0" applyNumberFormat="1" applyBorder="1" applyAlignment="1">
      <alignment/>
    </xf>
    <xf numFmtId="0" fontId="0" fillId="0" borderId="10" xfId="0" applyFill="1" applyBorder="1" applyAlignment="1">
      <alignment/>
    </xf>
    <xf numFmtId="164" fontId="81" fillId="0" borderId="11" xfId="0" applyNumberFormat="1" applyFont="1" applyFill="1" applyBorder="1" applyAlignment="1" applyProtection="1">
      <alignment/>
      <protection locked="0"/>
    </xf>
    <xf numFmtId="0" fontId="0" fillId="0" borderId="35" xfId="0" applyBorder="1" applyAlignment="1">
      <alignment/>
    </xf>
    <xf numFmtId="0" fontId="0" fillId="0" borderId="36" xfId="0" applyBorder="1" applyAlignment="1">
      <alignment/>
    </xf>
    <xf numFmtId="0" fontId="0" fillId="0" borderId="0" xfId="0" applyBorder="1" applyAlignment="1">
      <alignment horizontal="center"/>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61" fillId="36" borderId="37" xfId="0" applyFont="1" applyFill="1" applyBorder="1" applyAlignment="1">
      <alignment/>
    </xf>
    <xf numFmtId="0" fontId="11" fillId="35" borderId="29" xfId="0" applyFont="1" applyFill="1" applyBorder="1" applyAlignment="1">
      <alignment/>
    </xf>
    <xf numFmtId="0" fontId="11" fillId="35" borderId="20" xfId="0" applyFont="1" applyFill="1" applyBorder="1" applyAlignment="1">
      <alignment/>
    </xf>
    <xf numFmtId="0" fontId="11" fillId="35" borderId="42" xfId="0" applyFont="1" applyFill="1" applyBorder="1" applyAlignment="1">
      <alignment/>
    </xf>
    <xf numFmtId="0" fontId="87" fillId="0" borderId="43" xfId="0" applyFont="1" applyFill="1" applyBorder="1" applyAlignment="1">
      <alignment/>
    </xf>
    <xf numFmtId="0" fontId="87" fillId="0" borderId="44" xfId="0" applyFont="1" applyFill="1" applyBorder="1" applyAlignment="1">
      <alignment/>
    </xf>
    <xf numFmtId="0" fontId="11" fillId="35" borderId="45" xfId="0" applyFont="1" applyFill="1" applyBorder="1" applyAlignment="1">
      <alignment/>
    </xf>
    <xf numFmtId="0" fontId="11" fillId="35" borderId="0" xfId="0" applyFont="1" applyFill="1" applyBorder="1" applyAlignment="1">
      <alignment/>
    </xf>
    <xf numFmtId="0" fontId="11" fillId="0" borderId="0" xfId="0" applyFont="1" applyAlignment="1" quotePrefix="1">
      <alignment/>
    </xf>
    <xf numFmtId="0" fontId="11" fillId="0" borderId="0" xfId="0" applyFont="1" applyAlignment="1">
      <alignment/>
    </xf>
    <xf numFmtId="0" fontId="74" fillId="0" borderId="17" xfId="0" applyFont="1" applyBorder="1" applyAlignment="1">
      <alignment horizontal="center"/>
    </xf>
    <xf numFmtId="0" fontId="74" fillId="0" borderId="32" xfId="0" applyFont="1" applyBorder="1" applyAlignment="1">
      <alignment horizontal="center"/>
    </xf>
    <xf numFmtId="0" fontId="13" fillId="0" borderId="17" xfId="0" applyFont="1" applyBorder="1" applyAlignment="1">
      <alignment horizontal="left" vertical="center" wrapText="1"/>
    </xf>
    <xf numFmtId="0" fontId="13" fillId="0" borderId="32" xfId="0" applyFont="1" applyBorder="1" applyAlignment="1">
      <alignment horizontal="left" vertical="center" wrapText="1"/>
    </xf>
    <xf numFmtId="0" fontId="74" fillId="0" borderId="17" xfId="0" applyFont="1" applyBorder="1" applyAlignment="1">
      <alignment horizontal="center" wrapText="1"/>
    </xf>
    <xf numFmtId="0" fontId="74" fillId="0" borderId="32" xfId="0" applyFont="1" applyBorder="1" applyAlignment="1">
      <alignment horizontal="center" wrapText="1"/>
    </xf>
    <xf numFmtId="0" fontId="16" fillId="2" borderId="17" xfId="0" applyFont="1" applyFill="1" applyBorder="1" applyAlignment="1">
      <alignment/>
    </xf>
    <xf numFmtId="0" fontId="16" fillId="2" borderId="32" xfId="0" applyFont="1" applyFill="1" applyBorder="1" applyAlignment="1">
      <alignment/>
    </xf>
    <xf numFmtId="0" fontId="81" fillId="14" borderId="17" xfId="0" applyFont="1" applyFill="1" applyBorder="1" applyAlignment="1">
      <alignment/>
    </xf>
    <xf numFmtId="0" fontId="81" fillId="14" borderId="46" xfId="0" applyFont="1" applyFill="1" applyBorder="1" applyAlignment="1">
      <alignment/>
    </xf>
    <xf numFmtId="0" fontId="81" fillId="14" borderId="32" xfId="0" applyFont="1" applyFill="1" applyBorder="1" applyAlignment="1">
      <alignment/>
    </xf>
    <xf numFmtId="0" fontId="77" fillId="2" borderId="17" xfId="0" applyFont="1" applyFill="1" applyBorder="1" applyAlignment="1">
      <alignment/>
    </xf>
    <xf numFmtId="0" fontId="77" fillId="2" borderId="32"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border>
        <top>
          <color rgb="FF000000"/>
        </top>
      </border>
    </dxf>
    <dxf>
      <font>
        <b/>
      </font>
      <border/>
    </dxf>
    <dxf>
      <fill>
        <patternFill patternType="solid">
          <bgColor rgb="FF3366FF"/>
        </patternFill>
      </fill>
      <border/>
    </dxf>
    <dxf>
      <fill>
        <patternFill>
          <bgColor rgb="FF333399"/>
        </patternFill>
      </fill>
      <border/>
    </dxf>
    <dxf>
      <font>
        <color rgb="FFFFFFFF"/>
      </font>
      <border/>
    </dxf>
    <dxf>
      <fill>
        <patternFill>
          <bgColor rgb="FF3366FF"/>
        </patternFill>
      </fill>
      <border/>
    </dxf>
    <dxf>
      <border>
        <right>
          <color rgb="FF000000"/>
        </right>
      </border>
    </dxf>
    <dxf>
      <border>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Did the woman attend all scheduled appointments?</a:t>
            </a:r>
          </a:p>
        </c:rich>
      </c:tx>
      <c:layout>
        <c:manualLayout>
          <c:xMode val="factor"/>
          <c:yMode val="factor"/>
          <c:x val="-0.0045"/>
          <c:y val="-0.0075"/>
        </c:manualLayout>
      </c:layout>
      <c:spPr>
        <a:noFill/>
        <a:ln w="3175">
          <a:noFill/>
        </a:ln>
      </c:spPr>
    </c:title>
    <c:plotArea>
      <c:layout>
        <c:manualLayout>
          <c:xMode val="edge"/>
          <c:yMode val="edge"/>
          <c:x val="0.35125"/>
          <c:y val="0.41575"/>
          <c:w val="0.29125"/>
          <c:h val="0.49625"/>
        </c:manualLayout>
      </c:layout>
      <c:pieChart>
        <c:varyColors val="1"/>
        <c:ser>
          <c:idx val="0"/>
          <c:order val="0"/>
          <c:tx>
            <c:strRef>
              <c:f>Appointments!$G$5</c:f>
              <c:strCache>
                <c:ptCount val="1"/>
                <c:pt idx="0">
                  <c:v>Did the woman attend the number of scheduled appointments?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showLegendKey val="0"/>
            <c:showVal val="0"/>
            <c:showBubbleSize val="0"/>
            <c:showCatName val="0"/>
            <c:showSerName val="0"/>
            <c:showLeaderLines val="1"/>
            <c:showPercent val="1"/>
          </c:dLbls>
          <c:cat>
            <c:strRef>
              <c:f>Appointments!$A$47:$A$48</c:f>
              <c:strCache>
                <c:ptCount val="2"/>
                <c:pt idx="0">
                  <c:v>Yes</c:v>
                </c:pt>
                <c:pt idx="1">
                  <c:v>No</c:v>
                </c:pt>
              </c:strCache>
            </c:strRef>
          </c:cat>
          <c:val>
            <c:numRef>
              <c:f>Appointments!$G$47:$G$48</c:f>
              <c:numCache>
                <c:ptCount val="2"/>
                <c:pt idx="0">
                  <c:v>0</c:v>
                </c:pt>
                <c:pt idx="1">
                  <c:v>0</c:v>
                </c:pt>
              </c:numCache>
            </c:numRef>
          </c:val>
        </c:ser>
      </c:pieChart>
      <c:spPr>
        <a:noFill/>
        <a:ln>
          <a:noFill/>
        </a:ln>
      </c:spPr>
    </c:plotArea>
    <c:legend>
      <c:legendPos val="t"/>
      <c:layout>
        <c:manualLayout>
          <c:xMode val="edge"/>
          <c:yMode val="edge"/>
          <c:x val="0.41325"/>
          <c:y val="0.22725"/>
          <c:w val="0.16675"/>
          <c:h val="0.087"/>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Gestational age at time of booking</a:t>
            </a:r>
          </a:p>
        </c:rich>
      </c:tx>
      <c:layout>
        <c:manualLayout>
          <c:xMode val="factor"/>
          <c:yMode val="factor"/>
          <c:x val="-0.002"/>
          <c:y val="-0.00975"/>
        </c:manualLayout>
      </c:layout>
      <c:spPr>
        <a:noFill/>
        <a:ln w="3175">
          <a:noFill/>
        </a:ln>
      </c:spPr>
    </c:title>
    <c:plotArea>
      <c:layout>
        <c:manualLayout>
          <c:xMode val="edge"/>
          <c:yMode val="edge"/>
          <c:x val="0.284"/>
          <c:y val="0.22075"/>
          <c:w val="0.426"/>
          <c:h val="0.6885"/>
        </c:manualLayout>
      </c:layout>
      <c:pieChart>
        <c:varyColors val="1"/>
        <c:ser>
          <c:idx val="0"/>
          <c:order val="0"/>
          <c:tx>
            <c:strRef>
              <c:f>'Combined data'!$B$18</c:f>
              <c:strCache>
                <c:ptCount val="1"/>
                <c:pt idx="0">
                  <c:v>Number of women</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'Combined data'!$A$19:$A$22</c:f>
              <c:strCache>
                <c:ptCount val="4"/>
                <c:pt idx="0">
                  <c:v>By 10 weeks</c:v>
                </c:pt>
                <c:pt idx="1">
                  <c:v>By 12+6 weeks</c:v>
                </c:pt>
                <c:pt idx="2">
                  <c:v>By 20 weeks</c:v>
                </c:pt>
                <c:pt idx="3">
                  <c:v>After 20 weeks</c:v>
                </c:pt>
              </c:strCache>
            </c:strRef>
          </c:cat>
          <c:val>
            <c:numRef>
              <c:f>'Combined data'!$B$19:$B$22</c:f>
              <c:numCache>
                <c:ptCount val="4"/>
                <c:pt idx="0">
                  <c:v>0</c:v>
                </c:pt>
                <c:pt idx="1">
                  <c:v>0</c:v>
                </c:pt>
                <c:pt idx="2">
                  <c:v>0</c:v>
                </c:pt>
                <c:pt idx="3">
                  <c:v>0</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Women in each complex social factor group</a:t>
            </a:r>
          </a:p>
        </c:rich>
      </c:tx>
      <c:layout>
        <c:manualLayout>
          <c:xMode val="factor"/>
          <c:yMode val="factor"/>
          <c:x val="-0.0035"/>
          <c:y val="-0.0135"/>
        </c:manualLayout>
      </c:layout>
      <c:spPr>
        <a:noFill/>
        <a:ln w="3175">
          <a:noFill/>
        </a:ln>
      </c:spPr>
    </c:title>
    <c:plotArea>
      <c:layout>
        <c:manualLayout>
          <c:xMode val="edge"/>
          <c:yMode val="edge"/>
          <c:x val="0.03725"/>
          <c:y val="0.10325"/>
          <c:w val="0.72925"/>
          <c:h val="0.83575"/>
        </c:manualLayout>
      </c:layout>
      <c:barChart>
        <c:barDir val="col"/>
        <c:grouping val="clustered"/>
        <c:varyColors val="0"/>
        <c:ser>
          <c:idx val="0"/>
          <c:order val="0"/>
          <c:tx>
            <c:strRef>
              <c:f>'Combined data'!$B$4</c:f>
              <c:strCache>
                <c:ptCount val="1"/>
                <c:pt idx="0">
                  <c:v>Number of women</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'Combined data'!$A$5:$A$13</c:f>
              <c:strCache>
                <c:ptCount val="9"/>
                <c:pt idx="0">
                  <c:v>Poverty</c:v>
                </c:pt>
                <c:pt idx="1">
                  <c:v>Homelessness</c:v>
                </c:pt>
                <c:pt idx="2">
                  <c:v>Substance misuse</c:v>
                </c:pt>
                <c:pt idx="3">
                  <c:v>Recent arrival as a migrant</c:v>
                </c:pt>
                <c:pt idx="4">
                  <c:v>Asylum seeker or regufee status</c:v>
                </c:pt>
                <c:pt idx="5">
                  <c:v>Difficulty speaking or understanding English</c:v>
                </c:pt>
                <c:pt idx="6">
                  <c:v>Domestic abuse</c:v>
                </c:pt>
                <c:pt idx="7">
                  <c:v>Age under 20</c:v>
                </c:pt>
                <c:pt idx="8">
                  <c:v>Other</c:v>
                </c:pt>
              </c:strCache>
            </c:strRef>
          </c:cat>
          <c:val>
            <c:numRef>
              <c:f>'Combined data'!$B$5:$B$13</c:f>
              <c:numCache>
                <c:ptCount val="9"/>
                <c:pt idx="0">
                  <c:v>0</c:v>
                </c:pt>
                <c:pt idx="1">
                  <c:v>0</c:v>
                </c:pt>
                <c:pt idx="2">
                  <c:v>0</c:v>
                </c:pt>
                <c:pt idx="3">
                  <c:v>0</c:v>
                </c:pt>
                <c:pt idx="4">
                  <c:v>0</c:v>
                </c:pt>
                <c:pt idx="5">
                  <c:v>0</c:v>
                </c:pt>
                <c:pt idx="6">
                  <c:v>0</c:v>
                </c:pt>
                <c:pt idx="7">
                  <c:v>0</c:v>
                </c:pt>
                <c:pt idx="8">
                  <c:v>0</c:v>
                </c:pt>
              </c:numCache>
            </c:numRef>
          </c:val>
        </c:ser>
        <c:axId val="7686525"/>
        <c:axId val="2069862"/>
      </c:barChart>
      <c:catAx>
        <c:axId val="768652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069862"/>
        <c:crosses val="autoZero"/>
        <c:auto val="1"/>
        <c:lblOffset val="100"/>
        <c:tickLblSkip val="1"/>
        <c:noMultiLvlLbl val="0"/>
      </c:catAx>
      <c:valAx>
        <c:axId val="206986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686525"/>
        <c:crossesAt val="1"/>
        <c:crossBetween val="between"/>
        <c:dispUnits/>
        <c:majorUnit val="1"/>
      </c:valAx>
      <c:spPr>
        <a:solidFill>
          <a:srgbClr val="FFFFFF"/>
        </a:solidFill>
        <a:ln w="3175">
          <a:noFill/>
        </a:ln>
      </c:spPr>
    </c:plotArea>
    <c:legend>
      <c:legendPos val="r"/>
      <c:layout>
        <c:manualLayout>
          <c:xMode val="edge"/>
          <c:yMode val="edge"/>
          <c:x val="0.779"/>
          <c:y val="0.518"/>
          <c:w val="0.2125"/>
          <c:h val="0.05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Number of complex social factors experienced by women</a:t>
            </a:r>
          </a:p>
        </c:rich>
      </c:tx>
      <c:layout>
        <c:manualLayout>
          <c:xMode val="factor"/>
          <c:yMode val="factor"/>
          <c:x val="-0.002"/>
          <c:y val="-0.011"/>
        </c:manualLayout>
      </c:layout>
      <c:spPr>
        <a:noFill/>
        <a:ln w="3175">
          <a:noFill/>
        </a:ln>
      </c:spPr>
    </c:title>
    <c:plotArea>
      <c:layout>
        <c:manualLayout>
          <c:xMode val="edge"/>
          <c:yMode val="edge"/>
          <c:x val="0.00525"/>
          <c:y val="0.19175"/>
          <c:w val="0.713"/>
          <c:h val="0.81175"/>
        </c:manualLayout>
      </c:layout>
      <c:barChart>
        <c:barDir val="col"/>
        <c:grouping val="clustered"/>
        <c:varyColors val="0"/>
        <c:ser>
          <c:idx val="0"/>
          <c:order val="0"/>
          <c:tx>
            <c:strRef>
              <c:f>'Combined data'!$E$4</c:f>
              <c:strCache>
                <c:ptCount val="1"/>
                <c:pt idx="0">
                  <c:v>Number of women</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'Combined data'!$D$5:$D$10</c:f>
              <c:strCache>
                <c:ptCount val="6"/>
                <c:pt idx="0">
                  <c:v>1</c:v>
                </c:pt>
                <c:pt idx="1">
                  <c:v>2</c:v>
                </c:pt>
                <c:pt idx="2">
                  <c:v>3</c:v>
                </c:pt>
                <c:pt idx="3">
                  <c:v>4</c:v>
                </c:pt>
                <c:pt idx="4">
                  <c:v>5</c:v>
                </c:pt>
                <c:pt idx="5">
                  <c:v>&gt; 5</c:v>
                </c:pt>
              </c:strCache>
            </c:strRef>
          </c:cat>
          <c:val>
            <c:numRef>
              <c:f>'Combined data'!$E$5:$E$10</c:f>
              <c:numCache>
                <c:ptCount val="6"/>
                <c:pt idx="0">
                  <c:v>0</c:v>
                </c:pt>
                <c:pt idx="1">
                  <c:v>0</c:v>
                </c:pt>
                <c:pt idx="2">
                  <c:v>0</c:v>
                </c:pt>
                <c:pt idx="3">
                  <c:v>0</c:v>
                </c:pt>
                <c:pt idx="4">
                  <c:v>0</c:v>
                </c:pt>
                <c:pt idx="5">
                  <c:v>0</c:v>
                </c:pt>
              </c:numCache>
            </c:numRef>
          </c:val>
        </c:ser>
        <c:axId val="18628759"/>
        <c:axId val="33441104"/>
      </c:barChart>
      <c:catAx>
        <c:axId val="18628759"/>
        <c:scaling>
          <c:orientation val="minMax"/>
        </c:scaling>
        <c:axPos val="b"/>
        <c:delete val="0"/>
        <c:numFmt formatCode="General" sourceLinked="1"/>
        <c:majorTickMark val="out"/>
        <c:minorTickMark val="none"/>
        <c:tickLblPos val="nextTo"/>
        <c:spPr>
          <a:ln w="3175">
            <a:solidFill>
              <a:srgbClr val="808080"/>
            </a:solidFill>
          </a:ln>
        </c:spPr>
        <c:crossAx val="33441104"/>
        <c:crosses val="autoZero"/>
        <c:auto val="1"/>
        <c:lblOffset val="100"/>
        <c:tickLblSkip val="1"/>
        <c:noMultiLvlLbl val="0"/>
      </c:catAx>
      <c:valAx>
        <c:axId val="334411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628759"/>
        <c:crossesAt val="1"/>
        <c:crossBetween val="between"/>
        <c:dispUnits/>
        <c:majorUnit val="1"/>
        <c:minorUnit val="1"/>
      </c:valAx>
      <c:spPr>
        <a:solidFill>
          <a:srgbClr val="FFFFFF"/>
        </a:solidFill>
        <a:ln w="3175">
          <a:noFill/>
        </a:ln>
      </c:spPr>
    </c:plotArea>
    <c:legend>
      <c:legendPos val="r"/>
      <c:layout>
        <c:manualLayout>
          <c:xMode val="edge"/>
          <c:yMode val="edge"/>
          <c:x val="0.7475"/>
          <c:y val="0.56225"/>
          <c:w val="0.24275"/>
          <c:h val="0.06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19"/>
          <c:y val="0.17675"/>
          <c:w val="0.59675"/>
          <c:h val="0.63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cat>
            <c:strRef>
              <c:f>(Demographics!$A$6,Demographics!$A$8:$A$10,Demographics!$A$12:$A$15,Demographics!$A$17:$A$20,Demographics!$A$22:$A$24,Demographics!$A$26:$A$28)</c:f>
              <c:strCache/>
            </c:strRef>
          </c:cat>
          <c:val>
            <c:numRef>
              <c:f>(Demographics!$B$6,Demographics!$B$8:$B$10,Demographics!$B$12:$B$15,Demographics!$B$17:$B$20,Demographics!$B$22:$B$24,Demographics!$B$26:$B$28)</c:f>
              <c:numCache/>
            </c:numRef>
          </c:val>
        </c:ser>
      </c:pie3DChart>
      <c:spPr>
        <a:noFill/>
        <a:ln>
          <a:noFill/>
        </a:ln>
      </c:spPr>
    </c:plotArea>
    <c:legend>
      <c:legendPos val="r"/>
      <c:layout>
        <c:manualLayout>
          <c:xMode val="edge"/>
          <c:yMode val="edge"/>
          <c:x val="0.6475"/>
          <c:y val="0.06025"/>
          <c:w val="0.34175"/>
          <c:h val="0.862"/>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523875</xdr:colOff>
      <xdr:row>100</xdr:row>
      <xdr:rowOff>85725</xdr:rowOff>
    </xdr:from>
    <xdr:to>
      <xdr:col>17</xdr:col>
      <xdr:colOff>66675</xdr:colOff>
      <xdr:row>102</xdr:row>
      <xdr:rowOff>76200</xdr:rowOff>
    </xdr:to>
    <xdr:sp>
      <xdr:nvSpPr>
        <xdr:cNvPr id="1" name="Text Box 6"/>
        <xdr:cNvSpPr txBox="1">
          <a:spLocks noChangeArrowheads="1"/>
        </xdr:cNvSpPr>
      </xdr:nvSpPr>
      <xdr:spPr>
        <a:xfrm>
          <a:off x="7229475" y="19135725"/>
          <a:ext cx="3200400" cy="371475"/>
        </a:xfrm>
        <a:prstGeom prst="rect">
          <a:avLst/>
        </a:prstGeom>
        <a:noFill/>
        <a:ln w="9525" cmpd="sng">
          <a:noFill/>
        </a:ln>
      </xdr:spPr>
      <xdr:txBody>
        <a:bodyPr vertOverflow="clip" wrap="square"/>
        <a:p>
          <a:pPr algn="l">
            <a:defRPr/>
          </a:pPr>
          <a:r>
            <a:rPr lang="en-US" cap="none" sz="1600" b="0" i="0" u="none" baseline="0">
              <a:solidFill>
                <a:srgbClr val="FFFFFF"/>
              </a:solidFill>
            </a:rPr>
            <a:t>NICE clinical guideline XX
</a:t>
          </a:r>
        </a:p>
      </xdr:txBody>
    </xdr:sp>
    <xdr:clientData/>
  </xdr:twoCellAnchor>
  <xdr:twoCellAnchor>
    <xdr:from>
      <xdr:col>0</xdr:col>
      <xdr:colOff>47625</xdr:colOff>
      <xdr:row>0</xdr:row>
      <xdr:rowOff>0</xdr:rowOff>
    </xdr:from>
    <xdr:to>
      <xdr:col>8</xdr:col>
      <xdr:colOff>571500</xdr:colOff>
      <xdr:row>40</xdr:row>
      <xdr:rowOff>85725</xdr:rowOff>
    </xdr:to>
    <xdr:grpSp>
      <xdr:nvGrpSpPr>
        <xdr:cNvPr id="2" name="Group 8"/>
        <xdr:cNvGrpSpPr>
          <a:grpSpLocks/>
        </xdr:cNvGrpSpPr>
      </xdr:nvGrpSpPr>
      <xdr:grpSpPr>
        <a:xfrm>
          <a:off x="47625" y="0"/>
          <a:ext cx="5400675" cy="7705725"/>
          <a:chOff x="52833" y="0"/>
          <a:chExt cx="6877050" cy="9753600"/>
        </a:xfrm>
        <a:solidFill>
          <a:srgbClr val="FFFFFF"/>
        </a:solidFill>
      </xdr:grpSpPr>
      <xdr:pic>
        <xdr:nvPicPr>
          <xdr:cNvPr id="3" name="Picture 1"/>
          <xdr:cNvPicPr preferRelativeResize="1">
            <a:picLocks noChangeAspect="1"/>
          </xdr:cNvPicPr>
        </xdr:nvPicPr>
        <xdr:blipFill>
          <a:blip r:embed="rId1"/>
          <a:stretch>
            <a:fillRect/>
          </a:stretch>
        </xdr:blipFill>
        <xdr:spPr>
          <a:xfrm>
            <a:off x="52833" y="0"/>
            <a:ext cx="6877050" cy="9753600"/>
          </a:xfrm>
          <a:prstGeom prst="rect">
            <a:avLst/>
          </a:prstGeom>
          <a:noFill/>
          <a:ln w="9525" cmpd="sng">
            <a:noFill/>
          </a:ln>
        </xdr:spPr>
      </xdr:pic>
      <xdr:sp>
        <xdr:nvSpPr>
          <xdr:cNvPr id="4" name="Text Box 2"/>
          <xdr:cNvSpPr txBox="1">
            <a:spLocks noChangeArrowheads="1"/>
          </xdr:cNvSpPr>
        </xdr:nvSpPr>
        <xdr:spPr>
          <a:xfrm>
            <a:off x="1459190" y="2882189"/>
            <a:ext cx="4002443" cy="975360"/>
          </a:xfrm>
          <a:prstGeom prst="rect">
            <a:avLst/>
          </a:prstGeom>
          <a:solidFill>
            <a:srgbClr val="FFFFFF"/>
          </a:solidFill>
          <a:ln w="9525" cmpd="sng">
            <a:noFill/>
          </a:ln>
        </xdr:spPr>
        <xdr:txBody>
          <a:bodyPr vertOverflow="clip" wrap="square"/>
          <a:p>
            <a:pPr algn="l">
              <a:defRPr/>
            </a:pPr>
            <a:r>
              <a:rPr lang="en-US" cap="none" sz="2000" b="0" i="0" u="none" baseline="0">
                <a:solidFill>
                  <a:srgbClr val="000000"/>
                </a:solidFill>
              </a:rPr>
              <a:t>Pregnancy and complex social factors
</a:t>
            </a:r>
          </a:p>
        </xdr:txBody>
      </xdr:sp>
      <xdr:sp>
        <xdr:nvSpPr>
          <xdr:cNvPr id="5" name="Text Box 3"/>
          <xdr:cNvSpPr txBox="1">
            <a:spLocks noChangeArrowheads="1"/>
          </xdr:cNvSpPr>
        </xdr:nvSpPr>
        <xdr:spPr>
          <a:xfrm>
            <a:off x="1362911" y="4279392"/>
            <a:ext cx="3880375" cy="1363066"/>
          </a:xfrm>
          <a:prstGeom prst="rect">
            <a:avLst/>
          </a:prstGeom>
          <a:solidFill>
            <a:srgbClr val="FFFFFF"/>
          </a:solidFill>
          <a:ln w="9525" cmpd="sng">
            <a:noFill/>
          </a:ln>
        </xdr:spPr>
        <xdr:txBody>
          <a:bodyPr vertOverflow="clip" wrap="square"/>
          <a:p>
            <a:pPr algn="l">
              <a:defRPr/>
            </a:pPr>
            <a:r>
              <a:rPr lang="en-US" cap="none" sz="2800" b="1" i="0" u="none" baseline="0">
                <a:solidFill>
                  <a:srgbClr val="008080"/>
                </a:solidFill>
                <a:latin typeface="Arial"/>
                <a:ea typeface="Arial"/>
                <a:cs typeface="Arial"/>
              </a:rPr>
              <a:t>Data collection spreadsheet 
</a:t>
            </a:r>
            <a:r>
              <a:rPr lang="en-US" cap="none" sz="2800" b="1" i="0" u="none" baseline="0">
                <a:solidFill>
                  <a:srgbClr val="008080"/>
                </a:solidFill>
                <a:latin typeface="Arial"/>
                <a:ea typeface="Arial"/>
                <a:cs typeface="Arial"/>
              </a:rPr>
              <a:t>
</a:t>
            </a:r>
          </a:p>
        </xdr:txBody>
      </xdr:sp>
      <xdr:sp>
        <xdr:nvSpPr>
          <xdr:cNvPr id="6" name="Text Box 4"/>
          <xdr:cNvSpPr txBox="1">
            <a:spLocks noChangeArrowheads="1"/>
          </xdr:cNvSpPr>
        </xdr:nvSpPr>
        <xdr:spPr>
          <a:xfrm>
            <a:off x="1132530" y="5786323"/>
            <a:ext cx="4256894" cy="807110"/>
          </a:xfrm>
          <a:prstGeom prst="rect">
            <a:avLst/>
          </a:prstGeom>
          <a:solidFill>
            <a:srgbClr val="FFFFFF"/>
          </a:solidFill>
          <a:ln w="9525" cmpd="sng">
            <a:noFill/>
          </a:ln>
        </xdr:spPr>
        <xdr:txBody>
          <a:bodyPr vertOverflow="clip" wrap="square"/>
          <a:p>
            <a:pPr algn="l">
              <a:defRPr/>
            </a:pPr>
            <a:r>
              <a:rPr lang="en-US" cap="none" sz="1800" b="0" i="0" u="none" baseline="0">
                <a:solidFill>
                  <a:srgbClr val="000000"/>
                </a:solidFill>
              </a:rPr>
              <a:t>Implementing NICE guidance
</a:t>
            </a:r>
          </a:p>
        </xdr:txBody>
      </xdr:sp>
      <xdr:sp>
        <xdr:nvSpPr>
          <xdr:cNvPr id="7" name="Text Box 5"/>
          <xdr:cNvSpPr txBox="1">
            <a:spLocks noChangeArrowheads="1"/>
          </xdr:cNvSpPr>
        </xdr:nvSpPr>
        <xdr:spPr>
          <a:xfrm>
            <a:off x="1072356" y="8066227"/>
            <a:ext cx="1818980" cy="348691"/>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rPr>
              <a:t>2010
</a:t>
            </a:r>
          </a:p>
        </xdr:txBody>
      </xdr:sp>
      <xdr:sp>
        <xdr:nvSpPr>
          <xdr:cNvPr id="8" name="Text Box 13"/>
          <xdr:cNvSpPr txBox="1">
            <a:spLocks noChangeArrowheads="1"/>
          </xdr:cNvSpPr>
        </xdr:nvSpPr>
        <xdr:spPr>
          <a:xfrm>
            <a:off x="405282" y="9090355"/>
            <a:ext cx="3189232" cy="373075"/>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NICE clinical guideline </a:t>
            </a:r>
            <a:r>
              <a:rPr lang="en-US" cap="none" sz="1400" b="0" i="0" u="none" baseline="0">
                <a:solidFill>
                  <a:srgbClr val="FFFFFF"/>
                </a:solidFill>
                <a:latin typeface="Arial"/>
                <a:ea typeface="Arial"/>
                <a:cs typeface="Arial"/>
              </a:rPr>
              <a:t>110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533400</xdr:colOff>
      <xdr:row>23</xdr:row>
      <xdr:rowOff>152400</xdr:rowOff>
    </xdr:from>
    <xdr:to>
      <xdr:col>13</xdr:col>
      <xdr:colOff>323850</xdr:colOff>
      <xdr:row>36</xdr:row>
      <xdr:rowOff>66675</xdr:rowOff>
    </xdr:to>
    <xdr:graphicFrame>
      <xdr:nvGraphicFramePr>
        <xdr:cNvPr id="1" name="Chart 1"/>
        <xdr:cNvGraphicFramePr/>
      </xdr:nvGraphicFramePr>
      <xdr:xfrm>
        <a:off x="11534775" y="5400675"/>
        <a:ext cx="4371975" cy="2600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24</xdr:row>
      <xdr:rowOff>76200</xdr:rowOff>
    </xdr:from>
    <xdr:to>
      <xdr:col>18</xdr:col>
      <xdr:colOff>285750</xdr:colOff>
      <xdr:row>40</xdr:row>
      <xdr:rowOff>57150</xdr:rowOff>
    </xdr:to>
    <xdr:graphicFrame>
      <xdr:nvGraphicFramePr>
        <xdr:cNvPr id="1" name="Chart 4"/>
        <xdr:cNvGraphicFramePr/>
      </xdr:nvGraphicFramePr>
      <xdr:xfrm>
        <a:off x="6419850" y="4657725"/>
        <a:ext cx="4838700" cy="3028950"/>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1</xdr:row>
      <xdr:rowOff>104775</xdr:rowOff>
    </xdr:from>
    <xdr:to>
      <xdr:col>9</xdr:col>
      <xdr:colOff>361950</xdr:colOff>
      <xdr:row>24</xdr:row>
      <xdr:rowOff>19050</xdr:rowOff>
    </xdr:to>
    <xdr:graphicFrame>
      <xdr:nvGraphicFramePr>
        <xdr:cNvPr id="2" name="Chart 6"/>
        <xdr:cNvGraphicFramePr/>
      </xdr:nvGraphicFramePr>
      <xdr:xfrm>
        <a:off x="161925" y="304800"/>
        <a:ext cx="5686425" cy="4295775"/>
      </xdr:xfrm>
      <a:graphic>
        <a:graphicData uri="http://schemas.openxmlformats.org/drawingml/2006/chart">
          <c:chart xmlns:c="http://schemas.openxmlformats.org/drawingml/2006/chart" r:id="rId2"/>
        </a:graphicData>
      </a:graphic>
    </xdr:graphicFrame>
    <xdr:clientData/>
  </xdr:twoCellAnchor>
  <xdr:twoCellAnchor>
    <xdr:from>
      <xdr:col>10</xdr:col>
      <xdr:colOff>428625</xdr:colOff>
      <xdr:row>1</xdr:row>
      <xdr:rowOff>47625</xdr:rowOff>
    </xdr:from>
    <xdr:to>
      <xdr:col>18</xdr:col>
      <xdr:colOff>542925</xdr:colOff>
      <xdr:row>19</xdr:row>
      <xdr:rowOff>142875</xdr:rowOff>
    </xdr:to>
    <xdr:graphicFrame>
      <xdr:nvGraphicFramePr>
        <xdr:cNvPr id="3" name="Chart 7"/>
        <xdr:cNvGraphicFramePr/>
      </xdr:nvGraphicFramePr>
      <xdr:xfrm>
        <a:off x="6524625" y="247650"/>
        <a:ext cx="4991100" cy="35242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2</xdr:row>
      <xdr:rowOff>0</xdr:rowOff>
    </xdr:from>
    <xdr:to>
      <xdr:col>10</xdr:col>
      <xdr:colOff>495300</xdr:colOff>
      <xdr:row>15</xdr:row>
      <xdr:rowOff>66675</xdr:rowOff>
    </xdr:to>
    <xdr:graphicFrame>
      <xdr:nvGraphicFramePr>
        <xdr:cNvPr id="1" name="Chart 2"/>
        <xdr:cNvGraphicFramePr/>
      </xdr:nvGraphicFramePr>
      <xdr:xfrm>
        <a:off x="3962400" y="447675"/>
        <a:ext cx="4572000" cy="22955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M6:M47" sheet="Complex social factors"/>
  </cacheSource>
  <cacheFields count="1">
    <cacheField name="If yes to other, please specify">
      <sharedItems containsBlank="1" containsMixedTypes="0" count="5">
        <m/>
        <s v="illiterate"/>
        <s v="poor hygiene"/>
        <s v="another"/>
        <s v="LD"/>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0" cacheId="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G4:M6" firstHeaderRow="2" firstDataRow="2" firstDataCol="1"/>
  <pivotFields count="1">
    <pivotField axis="axisRow" compact="0" outline="0" showAll="0">
      <items count="6">
        <item m="1" x="1"/>
        <item m="1" x="4"/>
        <item m="1" x="2"/>
        <item h="1" x="0"/>
        <item m="1" x="3"/>
        <item t="default"/>
      </items>
    </pivotField>
  </pivotFields>
  <rowFields count="1">
    <field x="0"/>
  </rowFields>
  <rowItems count="0"/>
  <formats count="10">
    <format dxfId="0">
      <pivotArea outline="0" fieldPosition="0" dataOnly="0" labelOnly="1" offset="A1" type="topRight"/>
    </format>
    <format dxfId="0">
      <pivotArea outline="0" fieldPosition="0" dataOnly="0" labelOnly="1" offset="F1" type="topRight"/>
    </format>
    <format dxfId="0">
      <pivotArea outline="0" fieldPosition="0">
        <references count="1">
          <reference field="0" count="1">
            <x v="0"/>
          </reference>
        </references>
      </pivotArea>
    </format>
    <format dxfId="1">
      <pivotArea outline="0" fieldPosition="0" axis="axisRow" dataOnly="0" field="0" labelOnly="1" type="button"/>
    </format>
    <format dxfId="2">
      <pivotArea outline="0" fieldPosition="0" axis="axisRow" dataOnly="0" field="0" labelOnly="1" type="button"/>
    </format>
    <format dxfId="3">
      <pivotArea outline="0" fieldPosition="0" axis="axisRow" dataOnly="0" field="0" labelOnly="1" type="button"/>
    </format>
    <format dxfId="4">
      <pivotArea outline="0" fieldPosition="0" axis="axisRow" dataOnly="0" field="0" labelOnly="1" type="button"/>
    </format>
    <format dxfId="5">
      <pivotArea outline="0" fieldPosition="0" axis="axisRow" dataOnly="0" field="0" labelOnly="1" type="button"/>
    </format>
    <format dxfId="6">
      <pivotArea outline="0" fieldPosition="0" dataOnly="0" labelOnly="1" offset="F1" type="topRight"/>
    </format>
    <format dxfId="7">
      <pivotArea outline="0" fieldPosition="0"/>
    </format>
  </formats>
  <pivotTableStyleInfo showRowHeaders="1" showColHeaders="1" showRowStripes="0" showColStripes="0" showLastColumn="1"/>
</pivotTableDefinition>
</file>

<file path=xl/tables/table1.xml><?xml version="1.0" encoding="utf-8"?>
<table xmlns="http://schemas.openxmlformats.org/spreadsheetml/2006/main" id="5" name="Table5" displayName="Table5" ref="I11:J21" totalsRowShown="0">
  <autoFilter ref="I11:J21"/>
  <tableColumns count="2">
    <tableColumn id="1" name="Number of scheduled appointments"/>
    <tableColumn id="2" name="Number of women with complex social factors"/>
  </tableColumns>
  <tableStyleInfo name="TableStyleMedium10" showFirstColumn="0" showLastColumn="0" showRowStripes="1" showColumnStripes="0"/>
</table>
</file>

<file path=xl/tables/table10.xml><?xml version="1.0" encoding="utf-8"?>
<table xmlns="http://schemas.openxmlformats.org/spreadsheetml/2006/main" id="20" name="Table20" displayName="Table20" ref="A39:B44" totalsRowShown="0">
  <autoFilter ref="A39:B44"/>
  <tableColumns count="2">
    <tableColumn id="1" name="Column1"/>
    <tableColumn id="2" name="Column2"/>
  </tableColumns>
  <tableStyleInfo name="TableStyleMedium7" showFirstColumn="0" showLastColumn="0" showRowStripes="1" showColumnStripes="0"/>
</table>
</file>

<file path=xl/tables/table11.xml><?xml version="1.0" encoding="utf-8"?>
<table xmlns="http://schemas.openxmlformats.org/spreadsheetml/2006/main" id="183" name="Table183" displayName="Table183" ref="A18:B22" totalsRowShown="0">
  <autoFilter ref="A18:B22"/>
  <tableColumns count="2">
    <tableColumn id="1" name="Week of pregnancy at booking"/>
    <tableColumn id="2" name="Number of women"/>
  </tableColumns>
  <tableStyleInfo name="TableStyleMedium12" showFirstColumn="0" showLastColumn="0" showRowStripes="1" showColumnStripes="0"/>
</table>
</file>

<file path=xl/tables/table2.xml><?xml version="1.0" encoding="utf-8"?>
<table xmlns="http://schemas.openxmlformats.org/spreadsheetml/2006/main" id="12" name="Table12" displayName="Table12" ref="I23:J33" totalsRowShown="0">
  <autoFilter ref="I23:J33"/>
  <tableColumns count="2">
    <tableColumn id="1" name="Number of appointments attended"/>
    <tableColumn id="2" name="Number of women"/>
  </tableColumns>
  <tableStyleInfo name="TableStyleMedium11" showFirstColumn="0" showLastColumn="0" showRowStripes="1" showColumnStripes="0"/>
</table>
</file>

<file path=xl/tables/table3.xml><?xml version="1.0" encoding="utf-8"?>
<table xmlns="http://schemas.openxmlformats.org/spreadsheetml/2006/main" id="13" name="Table13" displayName="Table13" ref="I35:J44" totalsRowShown="0">
  <autoFilter ref="I35:J44"/>
  <tableColumns count="2">
    <tableColumn id="1" name="Number of appointments missed"/>
    <tableColumn id="2" name="Number of women"/>
  </tableColumns>
  <tableStyleInfo name="TableStyleMedium13" showFirstColumn="0" showLastColumn="0" showRowStripes="1" showColumnStripes="0"/>
</table>
</file>

<file path=xl/tables/table4.xml><?xml version="1.0" encoding="utf-8"?>
<table xmlns="http://schemas.openxmlformats.org/spreadsheetml/2006/main" id="182" name="Table182" displayName="Table182" ref="I5:J9" totalsRowShown="0">
  <autoFilter ref="I5:J9"/>
  <tableColumns count="2">
    <tableColumn id="1" name="Number of weeks pregnant at booking"/>
    <tableColumn id="2" name="Number of women with complex social factors"/>
  </tableColumns>
  <tableStyleInfo name="TableStyleMedium12" showFirstColumn="0" showLastColumn="0" showRowStripes="1" showColumnStripes="0"/>
</table>
</file>

<file path=xl/tables/table5.xml><?xml version="1.0" encoding="utf-8"?>
<table xmlns="http://schemas.openxmlformats.org/spreadsheetml/2006/main" id="14" name="Table14" displayName="Table14" ref="A4:B13" totalsRowShown="0">
  <autoFilter ref="A4:B13"/>
  <tableColumns count="2">
    <tableColumn id="1" name="Complex social factor"/>
    <tableColumn id="2" name="Number of women"/>
  </tableColumns>
  <tableStyleInfo name="TableStyleMedium2" showFirstColumn="0" showLastColumn="0" showRowStripes="1" showColumnStripes="0"/>
</table>
</file>

<file path=xl/tables/table6.xml><?xml version="1.0" encoding="utf-8"?>
<table xmlns="http://schemas.openxmlformats.org/spreadsheetml/2006/main" id="15" name="Table15" displayName="Table15" ref="D4:E10" totalsRowShown="0">
  <autoFilter ref="D4:E10"/>
  <tableColumns count="2">
    <tableColumn id="1" name="Number of complex social factors"/>
    <tableColumn id="2" name="Number of women"/>
  </tableColumns>
  <tableStyleInfo name="TableStyleMedium13" showFirstColumn="0" showLastColumn="0" showRowStripes="1" showColumnStripes="0"/>
</table>
</file>

<file path=xl/tables/table7.xml><?xml version="1.0" encoding="utf-8"?>
<table xmlns="http://schemas.openxmlformats.org/spreadsheetml/2006/main" id="16" name="Table517" displayName="Table517" ref="A26:B36" totalsRowShown="0">
  <autoFilter ref="A26:B36"/>
  <tableColumns count="2">
    <tableColumn id="1" name="Number of scheduled appointments"/>
    <tableColumn id="2" name="Number of women"/>
  </tableColumns>
  <tableStyleInfo name="TableStyleMedium10" showFirstColumn="0" showLastColumn="0" showRowStripes="1" showColumnStripes="0"/>
</table>
</file>

<file path=xl/tables/table8.xml><?xml version="1.0" encoding="utf-8"?>
<table xmlns="http://schemas.openxmlformats.org/spreadsheetml/2006/main" id="17" name="Table1218" displayName="Table1218" ref="D26:E36" totalsRowShown="0">
  <autoFilter ref="D26:E36"/>
  <tableColumns count="2">
    <tableColumn id="1" name="Number of appointments attended"/>
    <tableColumn id="2" name="Number of women"/>
  </tableColumns>
  <tableStyleInfo name="TableStyleMedium11" showFirstColumn="0" showLastColumn="0" showRowStripes="1" showColumnStripes="0"/>
</table>
</file>

<file path=xl/tables/table9.xml><?xml version="1.0" encoding="utf-8"?>
<table xmlns="http://schemas.openxmlformats.org/spreadsheetml/2006/main" id="19" name="Table1320" displayName="Table1320" ref="G26:H35" totalsRowShown="0">
  <autoFilter ref="G26:H35"/>
  <tableColumns count="2">
    <tableColumn id="1" name="Number of appointments missed"/>
    <tableColumn id="2" name="Number of women"/>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nice.org.uk/guidance/CG62"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table" Target="../tables/table4.x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table" Target="../tables/table9.xml" /><Relationship Id="rId8" Type="http://schemas.openxmlformats.org/officeDocument/2006/relationships/table" Target="../tables/table10.xml" /><Relationship Id="rId9" Type="http://schemas.openxmlformats.org/officeDocument/2006/relationships/table" Target="../tables/table11.xml" /><Relationship Id="rId10" Type="http://schemas.openxmlformats.org/officeDocument/2006/relationships/drawing" Target="../drawings/drawing2.xml" /><Relationship Id="rId11" Type="http://schemas.openxmlformats.org/officeDocument/2006/relationships/printerSettings" Target="../printerSettings/printerSettings7.bin" /><Relationship Id="rId12" Type="http://schemas.openxmlformats.org/officeDocument/2006/relationships/pivotTable" Target="../pivotTables/pivotTable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tabSelected="1" zoomScalePageLayoutView="0" workbookViewId="0" topLeftCell="A1">
      <selection activeCell="A1" sqref="A1:A16384"/>
    </sheetView>
  </sheetViews>
  <sheetFormatPr defaultColWidth="9.140625" defaultRowHeight="15"/>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8"/>
  <dimension ref="A1:D20"/>
  <sheetViews>
    <sheetView showGridLines="0" zoomScalePageLayoutView="0" workbookViewId="0" topLeftCell="A1">
      <selection activeCell="A1" sqref="A1:C1"/>
    </sheetView>
  </sheetViews>
  <sheetFormatPr defaultColWidth="9.140625" defaultRowHeight="15"/>
  <cols>
    <col min="1" max="1" width="33.140625" style="0" customWidth="1"/>
    <col min="2" max="2" width="42.28125" style="0" customWidth="1"/>
    <col min="3" max="3" width="29.140625" style="0" customWidth="1"/>
    <col min="4" max="4" width="22.7109375" style="0" customWidth="1"/>
    <col min="5" max="5" width="20.00390625" style="0" customWidth="1"/>
  </cols>
  <sheetData>
    <row r="1" spans="1:3" ht="21.75" thickBot="1">
      <c r="A1" s="167" t="s">
        <v>22</v>
      </c>
      <c r="B1" s="168"/>
      <c r="C1" s="169"/>
    </row>
    <row r="2" ht="15.75" thickBot="1"/>
    <row r="3" spans="1:4" ht="15.75" thickBot="1">
      <c r="A3" s="12" t="s">
        <v>79</v>
      </c>
      <c r="B3" s="12" t="s">
        <v>23</v>
      </c>
      <c r="C3" s="12" t="s">
        <v>43</v>
      </c>
      <c r="D3" s="12" t="s">
        <v>44</v>
      </c>
    </row>
    <row r="4" spans="1:4" ht="15.75" thickBot="1">
      <c r="A4" s="68" t="s">
        <v>47</v>
      </c>
      <c r="B4" s="71"/>
      <c r="C4" s="1"/>
      <c r="D4" s="1"/>
    </row>
    <row r="5" spans="1:4" ht="15.75" thickBot="1">
      <c r="A5" s="109" t="s">
        <v>93</v>
      </c>
      <c r="B5" s="71"/>
      <c r="C5" s="1"/>
      <c r="D5" s="1"/>
    </row>
    <row r="6" spans="1:4" ht="15.75" thickBot="1">
      <c r="A6" s="69" t="s">
        <v>48</v>
      </c>
      <c r="B6" s="71"/>
      <c r="C6" s="1"/>
      <c r="D6" s="1"/>
    </row>
    <row r="7" spans="1:4" ht="15.75" thickBot="1">
      <c r="A7" s="69" t="s">
        <v>49</v>
      </c>
      <c r="B7" s="71"/>
      <c r="C7" s="1"/>
      <c r="D7" s="1"/>
    </row>
    <row r="8" spans="1:4" ht="15.75" thickBot="1">
      <c r="A8" s="70" t="s">
        <v>50</v>
      </c>
      <c r="B8" s="71"/>
      <c r="C8" s="1"/>
      <c r="D8" s="1"/>
    </row>
    <row r="9" spans="1:4" ht="30.75" thickBot="1">
      <c r="A9" s="70" t="s">
        <v>78</v>
      </c>
      <c r="B9" s="71"/>
      <c r="C9" s="1"/>
      <c r="D9" s="1"/>
    </row>
    <row r="10" spans="1:4" ht="15.75" thickBot="1">
      <c r="A10" s="94" t="s">
        <v>109</v>
      </c>
      <c r="B10" s="71"/>
      <c r="C10" s="1"/>
      <c r="D10" s="1"/>
    </row>
    <row r="11" spans="1:4" ht="15.75" thickBot="1">
      <c r="A11" s="70" t="s">
        <v>52</v>
      </c>
      <c r="B11" s="71"/>
      <c r="C11" s="1"/>
      <c r="D11" s="1"/>
    </row>
    <row r="12" spans="1:4" ht="15.75" thickBot="1">
      <c r="A12" s="67" t="s">
        <v>53</v>
      </c>
      <c r="B12" s="71"/>
      <c r="C12" s="1"/>
      <c r="D12" s="1"/>
    </row>
    <row r="13" spans="1:4" ht="15.75" thickBot="1">
      <c r="A13" s="1" t="s">
        <v>80</v>
      </c>
      <c r="B13" s="71"/>
      <c r="C13" s="1"/>
      <c r="D13" s="1"/>
    </row>
    <row r="14" spans="1:4" ht="15.75" thickBot="1">
      <c r="A14" s="1" t="s">
        <v>81</v>
      </c>
      <c r="B14" s="71"/>
      <c r="C14" s="1"/>
      <c r="D14" s="1"/>
    </row>
    <row r="15" spans="1:4" ht="15.75" thickBot="1">
      <c r="A15" s="1" t="s">
        <v>82</v>
      </c>
      <c r="B15" s="71"/>
      <c r="C15" s="1"/>
      <c r="D15" s="1"/>
    </row>
    <row r="16" spans="1:4" ht="15.75" thickBot="1">
      <c r="A16" s="1" t="s">
        <v>83</v>
      </c>
      <c r="B16" s="71"/>
      <c r="C16" s="1"/>
      <c r="D16" s="1"/>
    </row>
    <row r="17" spans="1:4" ht="15.75" thickBot="1">
      <c r="A17" s="1" t="s">
        <v>84</v>
      </c>
      <c r="B17" s="71"/>
      <c r="C17" s="1"/>
      <c r="D17" s="1"/>
    </row>
    <row r="18" spans="1:4" ht="15.75" thickBot="1">
      <c r="A18" s="1" t="s">
        <v>85</v>
      </c>
      <c r="B18" s="71"/>
      <c r="C18" s="1"/>
      <c r="D18" s="1"/>
    </row>
    <row r="19" spans="1:4" ht="15.75" thickBot="1">
      <c r="A19" s="1" t="s">
        <v>86</v>
      </c>
      <c r="B19" s="71"/>
      <c r="C19" s="1"/>
      <c r="D19" s="1"/>
    </row>
    <row r="20" spans="1:4" ht="15.75" thickBot="1">
      <c r="A20" s="1" t="s">
        <v>53</v>
      </c>
      <c r="B20" s="71"/>
      <c r="C20" s="1"/>
      <c r="D20" s="1"/>
    </row>
  </sheetData>
  <sheetProtection/>
  <mergeCells count="1">
    <mergeCell ref="A1:C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A45"/>
  <sheetViews>
    <sheetView defaultGridColor="0" zoomScale="98" zoomScaleNormal="98" colorId="9" workbookViewId="0" topLeftCell="A1">
      <selection activeCell="A2" sqref="A2"/>
    </sheetView>
  </sheetViews>
  <sheetFormatPr defaultColWidth="9.140625" defaultRowHeight="15"/>
  <cols>
    <col min="1" max="1" width="120.28125" style="0" customWidth="1"/>
  </cols>
  <sheetData>
    <row r="1" ht="24" thickBot="1">
      <c r="A1" s="95" t="s">
        <v>101</v>
      </c>
    </row>
    <row r="2" ht="15.75" thickBot="1"/>
    <row r="3" ht="21" customHeight="1" thickBot="1">
      <c r="A3" s="47" t="s">
        <v>25</v>
      </c>
    </row>
    <row r="4" ht="54.75" customHeight="1">
      <c r="A4" s="96" t="s">
        <v>168</v>
      </c>
    </row>
    <row r="5" ht="69" customHeight="1">
      <c r="A5" s="96" t="s">
        <v>148</v>
      </c>
    </row>
    <row r="6" ht="24" customHeight="1">
      <c r="A6" s="96" t="s">
        <v>102</v>
      </c>
    </row>
    <row r="7" ht="54" customHeight="1">
      <c r="A7" s="41" t="s">
        <v>165</v>
      </c>
    </row>
    <row r="8" ht="37.5" customHeight="1">
      <c r="A8" s="41" t="s">
        <v>149</v>
      </c>
    </row>
    <row r="9" ht="26.25" customHeight="1">
      <c r="A9" s="41" t="s">
        <v>95</v>
      </c>
    </row>
    <row r="10" ht="24.75" customHeight="1">
      <c r="A10" s="41" t="s">
        <v>98</v>
      </c>
    </row>
    <row r="11" ht="25.5" customHeight="1">
      <c r="A11" s="41" t="s">
        <v>96</v>
      </c>
    </row>
    <row r="12" ht="36" customHeight="1">
      <c r="A12" s="42" t="s">
        <v>97</v>
      </c>
    </row>
    <row r="13" ht="21" customHeight="1" thickBot="1">
      <c r="A13" s="41"/>
    </row>
    <row r="14" ht="21" customHeight="1" thickBot="1">
      <c r="A14" s="43" t="s">
        <v>24</v>
      </c>
    </row>
    <row r="15" s="18" customFormat="1" ht="20.25" customHeight="1">
      <c r="A15" s="44" t="s">
        <v>99</v>
      </c>
    </row>
    <row r="16" s="18" customFormat="1" ht="36" customHeight="1">
      <c r="A16" s="44" t="s">
        <v>103</v>
      </c>
    </row>
    <row r="17" s="18" customFormat="1" ht="15" hidden="1">
      <c r="A17" s="44"/>
    </row>
    <row r="18" s="18" customFormat="1" ht="39" customHeight="1">
      <c r="A18" s="45" t="s">
        <v>104</v>
      </c>
    </row>
    <row r="19" s="18" customFormat="1" ht="55.5" customHeight="1">
      <c r="A19" s="44" t="s">
        <v>105</v>
      </c>
    </row>
    <row r="20" s="18" customFormat="1" ht="18" customHeight="1">
      <c r="A20" s="44"/>
    </row>
    <row r="21" s="18" customFormat="1" ht="20.25" customHeight="1">
      <c r="A21" s="46" t="s">
        <v>42</v>
      </c>
    </row>
    <row r="22" s="18" customFormat="1" ht="39" customHeight="1">
      <c r="A22" s="44" t="s">
        <v>100</v>
      </c>
    </row>
    <row r="23" s="18" customFormat="1" ht="36.75" customHeight="1">
      <c r="A23" s="41" t="s">
        <v>92</v>
      </c>
    </row>
    <row r="24" s="18" customFormat="1" ht="72" customHeight="1">
      <c r="A24" s="96" t="s">
        <v>106</v>
      </c>
    </row>
    <row r="25" s="18" customFormat="1" ht="12.75"/>
    <row r="26" s="18" customFormat="1" ht="12.75"/>
    <row r="27" s="18" customFormat="1" ht="12.75">
      <c r="A27" s="18" t="s">
        <v>134</v>
      </c>
    </row>
    <row r="28" s="18" customFormat="1" ht="12.75">
      <c r="A28" s="19" t="s">
        <v>132</v>
      </c>
    </row>
    <row r="29" s="18" customFormat="1" ht="12.75"/>
    <row r="30" s="18" customFormat="1" ht="38.25">
      <c r="A30" s="108" t="s">
        <v>133</v>
      </c>
    </row>
    <row r="31" s="18" customFormat="1" ht="12.75"/>
    <row r="32" s="18" customFormat="1" ht="12.75"/>
    <row r="33" s="18" customFormat="1" ht="12.75">
      <c r="A33" s="19"/>
    </row>
    <row r="34" s="18" customFormat="1" ht="12.75"/>
    <row r="35" s="18" customFormat="1" ht="12.75"/>
    <row r="36" s="18" customFormat="1" ht="12.75"/>
    <row r="37" s="18" customFormat="1" ht="12.75"/>
    <row r="38" s="18" customFormat="1" ht="12.75">
      <c r="A38" s="19"/>
    </row>
    <row r="39" s="18" customFormat="1" ht="12.75"/>
    <row r="40" s="18" customFormat="1" ht="12.75"/>
    <row r="41" s="18" customFormat="1" ht="12.75"/>
    <row r="42" s="18" customFormat="1" ht="12.75">
      <c r="A42" s="19"/>
    </row>
    <row r="43" s="18" customFormat="1" ht="12.75"/>
    <row r="44" s="18" customFormat="1" ht="12.75"/>
    <row r="45" s="18" customFormat="1" ht="12.75">
      <c r="A45" s="19"/>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H17"/>
  <sheetViews>
    <sheetView showGridLines="0" zoomScalePageLayoutView="0" workbookViewId="0" topLeftCell="A1">
      <selection activeCell="A1" sqref="A1"/>
    </sheetView>
  </sheetViews>
  <sheetFormatPr defaultColWidth="9.140625" defaultRowHeight="15"/>
  <cols>
    <col min="1" max="1" width="88.00390625" style="0" customWidth="1"/>
  </cols>
  <sheetData>
    <row r="1" spans="1:8" ht="21.75" thickBot="1">
      <c r="A1" s="97" t="s">
        <v>107</v>
      </c>
      <c r="B1" s="25"/>
      <c r="C1" s="25"/>
      <c r="D1" s="25"/>
      <c r="E1" s="25"/>
      <c r="F1" s="25"/>
      <c r="G1" s="25"/>
      <c r="H1" s="13"/>
    </row>
    <row r="2" s="18" customFormat="1" ht="55.5" customHeight="1">
      <c r="A2" s="123" t="s">
        <v>152</v>
      </c>
    </row>
    <row r="3" s="18" customFormat="1" ht="31.5">
      <c r="A3" s="124" t="s">
        <v>153</v>
      </c>
    </row>
    <row r="4" s="18" customFormat="1" ht="15.75">
      <c r="A4" s="125" t="s">
        <v>160</v>
      </c>
    </row>
    <row r="5" s="18" customFormat="1" ht="34.5" customHeight="1">
      <c r="A5" s="126" t="s">
        <v>161</v>
      </c>
    </row>
    <row r="6" s="18" customFormat="1" ht="31.5">
      <c r="A6" s="127" t="s">
        <v>162</v>
      </c>
    </row>
    <row r="7" s="18" customFormat="1" ht="15.75">
      <c r="A7" s="124" t="s">
        <v>154</v>
      </c>
    </row>
    <row r="8" s="18" customFormat="1" ht="18">
      <c r="A8" s="124" t="s">
        <v>155</v>
      </c>
    </row>
    <row r="9" s="18" customFormat="1" ht="33" customHeight="1">
      <c r="A9" s="128" t="s">
        <v>163</v>
      </c>
    </row>
    <row r="10" s="18" customFormat="1" ht="20.25" customHeight="1">
      <c r="A10" s="125" t="s">
        <v>164</v>
      </c>
    </row>
    <row r="11" s="18" customFormat="1" ht="15.75">
      <c r="A11" s="124" t="s">
        <v>156</v>
      </c>
    </row>
    <row r="12" s="18" customFormat="1" ht="15.75">
      <c r="A12" s="124" t="s">
        <v>157</v>
      </c>
    </row>
    <row r="13" s="18" customFormat="1" ht="15.75">
      <c r="A13" s="128"/>
    </row>
    <row r="14" s="18" customFormat="1" ht="76.5" customHeight="1">
      <c r="A14" s="123" t="s">
        <v>158</v>
      </c>
    </row>
    <row r="15" s="18" customFormat="1" ht="36" customHeight="1">
      <c r="A15" s="129" t="s">
        <v>159</v>
      </c>
    </row>
    <row r="16" s="18" customFormat="1" ht="21.75" customHeight="1">
      <c r="A16" s="125" t="s">
        <v>87</v>
      </c>
    </row>
    <row r="17" s="18" customFormat="1" ht="12.75">
      <c r="A17" s="72"/>
    </row>
    <row r="18" s="18" customFormat="1" ht="12.75"/>
    <row r="19" s="18" customFormat="1" ht="12.75"/>
    <row r="20" s="18" customFormat="1" ht="12.75"/>
    <row r="21" s="18" customFormat="1" ht="12.75"/>
    <row r="22" s="18" customFormat="1" ht="12.75"/>
    <row r="23" s="18" customFormat="1" ht="12.75"/>
    <row r="24" s="18" customFormat="1" ht="12.75"/>
  </sheetData>
  <sheetProtection/>
  <hyperlinks>
    <hyperlink ref="A15" r:id="rId1" display="[2]See ‘Antenatal care’. (NICE clinical guideline 62) Available from www.nice.org.uk/guidance/CG62"/>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codeName="Sheet4">
    <tabColor rgb="FF66FF66"/>
  </sheetPr>
  <dimension ref="A1:N88"/>
  <sheetViews>
    <sheetView defaultGridColor="0" zoomScalePageLayoutView="0" colorId="9" workbookViewId="0" topLeftCell="A3">
      <pane xSplit="1" ySplit="4" topLeftCell="D21" activePane="bottomRight" state="frozen"/>
      <selection pane="topLeft" activeCell="A3" sqref="A3"/>
      <selection pane="topRight" activeCell="B3" sqref="B3"/>
      <selection pane="bottomLeft" activeCell="A5" sqref="A5"/>
      <selection pane="bottomRight" activeCell="M23" sqref="M23:M28"/>
    </sheetView>
  </sheetViews>
  <sheetFormatPr defaultColWidth="9.140625" defaultRowHeight="15"/>
  <cols>
    <col min="1" max="1" width="13.57421875" style="0" customWidth="1"/>
    <col min="3" max="3" width="31.140625" style="0" customWidth="1"/>
    <col min="4" max="4" width="17.8515625" style="0" customWidth="1"/>
    <col min="5" max="5" width="17.28125" style="0" customWidth="1"/>
    <col min="6" max="10" width="17.8515625" style="0" bestFit="1" customWidth="1"/>
    <col min="11" max="11" width="16.7109375" style="0" customWidth="1"/>
    <col min="12" max="12" width="14.7109375" style="0" customWidth="1"/>
    <col min="13" max="14" width="17.8515625" style="0" bestFit="1" customWidth="1"/>
  </cols>
  <sheetData>
    <row r="1" spans="1:7" ht="21.75" thickBot="1">
      <c r="A1" s="150"/>
      <c r="B1" s="151"/>
      <c r="C1" s="151"/>
      <c r="D1" s="151"/>
      <c r="E1" s="151"/>
      <c r="F1" s="151"/>
      <c r="G1" s="152"/>
    </row>
    <row r="2" spans="1:13" ht="22.5" thickBot="1" thickTop="1">
      <c r="A2" s="31"/>
      <c r="B2" s="153"/>
      <c r="C2" s="154"/>
      <c r="D2" s="32"/>
      <c r="E2" s="93"/>
      <c r="F2" s="30"/>
      <c r="G2" s="30"/>
      <c r="H2" s="30"/>
      <c r="I2" s="30"/>
      <c r="J2" s="30"/>
      <c r="K2" s="30"/>
      <c r="L2" s="30"/>
      <c r="M2" s="30"/>
    </row>
    <row r="3" spans="1:13" ht="22.5" thickBot="1" thickTop="1">
      <c r="A3" s="30" t="s">
        <v>167</v>
      </c>
      <c r="B3" s="132"/>
      <c r="C3" s="132"/>
      <c r="D3" s="93"/>
      <c r="E3" s="93"/>
      <c r="F3" s="30"/>
      <c r="G3" s="30"/>
      <c r="H3" s="30"/>
      <c r="I3" s="30"/>
      <c r="J3" s="30"/>
      <c r="K3" s="30"/>
      <c r="L3" s="30"/>
      <c r="M3" s="30"/>
    </row>
    <row r="4" spans="1:13" ht="21.75" thickBot="1">
      <c r="A4" s="30"/>
      <c r="B4" s="133" t="s">
        <v>46</v>
      </c>
      <c r="C4" s="134"/>
      <c r="D4" s="140"/>
      <c r="E4" s="93"/>
      <c r="F4" s="30"/>
      <c r="G4" s="30"/>
      <c r="H4" s="30"/>
      <c r="I4" s="30"/>
      <c r="J4" s="30"/>
      <c r="K4" s="30"/>
      <c r="L4" s="30"/>
      <c r="M4" s="30"/>
    </row>
    <row r="5" spans="1:14" s="2" customFormat="1" ht="13.5" thickBot="1">
      <c r="A5" s="4"/>
      <c r="D5" s="3" t="s">
        <v>60</v>
      </c>
      <c r="E5" s="3" t="s">
        <v>60</v>
      </c>
      <c r="F5" s="3" t="s">
        <v>60</v>
      </c>
      <c r="G5" s="3" t="s">
        <v>60</v>
      </c>
      <c r="H5" s="3" t="s">
        <v>60</v>
      </c>
      <c r="I5" s="3" t="s">
        <v>60</v>
      </c>
      <c r="J5" s="3" t="s">
        <v>60</v>
      </c>
      <c r="K5" s="3" t="s">
        <v>60</v>
      </c>
      <c r="L5" s="3"/>
      <c r="M5" s="3" t="s">
        <v>60</v>
      </c>
      <c r="N5" s="3" t="s">
        <v>60</v>
      </c>
    </row>
    <row r="6" spans="1:14" s="2" customFormat="1" ht="49.5" customHeight="1" thickBot="1">
      <c r="A6" s="7" t="s">
        <v>151</v>
      </c>
      <c r="B6" s="33" t="s">
        <v>65</v>
      </c>
      <c r="C6" s="8" t="s">
        <v>1</v>
      </c>
      <c r="D6" s="34" t="s">
        <v>169</v>
      </c>
      <c r="E6" s="99" t="s">
        <v>170</v>
      </c>
      <c r="F6" s="34" t="s">
        <v>171</v>
      </c>
      <c r="G6" s="34" t="s">
        <v>172</v>
      </c>
      <c r="H6" s="34" t="s">
        <v>173</v>
      </c>
      <c r="I6" s="34" t="s">
        <v>51</v>
      </c>
      <c r="J6" s="99" t="s">
        <v>174</v>
      </c>
      <c r="K6" s="34" t="s">
        <v>175</v>
      </c>
      <c r="L6" s="34" t="s">
        <v>53</v>
      </c>
      <c r="M6" s="34" t="s">
        <v>147</v>
      </c>
      <c r="N6" s="52" t="s">
        <v>66</v>
      </c>
    </row>
    <row r="7" spans="1:14" s="2" customFormat="1" ht="15.75" thickBot="1">
      <c r="A7" s="9">
        <v>1</v>
      </c>
      <c r="B7" s="17"/>
      <c r="C7" s="17"/>
      <c r="D7" s="17"/>
      <c r="E7" s="17"/>
      <c r="F7" s="17"/>
      <c r="G7" s="17"/>
      <c r="H7" s="17"/>
      <c r="I7" s="17"/>
      <c r="J7" s="17"/>
      <c r="K7" s="122">
        <f>IF(B7="","",IF(B7&lt;20,"Yes","No"))</f>
      </c>
      <c r="L7" s="28"/>
      <c r="M7" s="55"/>
      <c r="N7" s="121">
        <f>IF(ISBLANK(F7),"",COUNTIF(D7:L7,"Yes"))</f>
      </c>
    </row>
    <row r="8" spans="1:14" s="2" customFormat="1" ht="15.75" thickBot="1">
      <c r="A8" s="9">
        <v>2</v>
      </c>
      <c r="B8" s="17"/>
      <c r="C8" s="17"/>
      <c r="D8" s="17"/>
      <c r="E8" s="17"/>
      <c r="F8" s="17"/>
      <c r="G8" s="17"/>
      <c r="H8" s="17"/>
      <c r="I8" s="17"/>
      <c r="J8" s="17"/>
      <c r="K8" s="122">
        <f>IF(B8="","",IF(B8&lt;20,"Yes","No"))</f>
      </c>
      <c r="L8" s="28"/>
      <c r="M8" s="17"/>
      <c r="N8" s="121">
        <f>IF(ISBLANK(F8),"",COUNTIF(D8:L8,"Yes"))</f>
      </c>
    </row>
    <row r="9" spans="1:14" s="2" customFormat="1" ht="15.75" thickBot="1">
      <c r="A9" s="9">
        <v>3</v>
      </c>
      <c r="B9" s="17"/>
      <c r="C9" s="17"/>
      <c r="D9" s="17"/>
      <c r="E9" s="17"/>
      <c r="F9" s="17"/>
      <c r="G9" s="17"/>
      <c r="H9" s="17"/>
      <c r="I9" s="17"/>
      <c r="J9" s="17"/>
      <c r="K9" s="122">
        <f>IF(B9="","",IF(B9&lt;20,"Yes","No"))</f>
      </c>
      <c r="L9" s="28"/>
      <c r="M9" s="17"/>
      <c r="N9" s="121">
        <f aca="true" t="shared" si="0" ref="N9:N47">IF(ISBLANK(F9),"",COUNTIF(D9:L9,"Yes"))</f>
      </c>
    </row>
    <row r="10" spans="1:14" s="2" customFormat="1" ht="15.75" thickBot="1">
      <c r="A10" s="9">
        <v>4</v>
      </c>
      <c r="B10" s="17"/>
      <c r="C10" s="17"/>
      <c r="D10" s="17"/>
      <c r="E10" s="17"/>
      <c r="F10" s="17"/>
      <c r="G10" s="17"/>
      <c r="H10" s="17"/>
      <c r="I10" s="17"/>
      <c r="J10" s="17"/>
      <c r="K10" s="122">
        <f aca="true" t="shared" si="1" ref="K10:K47">IF(B10="","",IF(B10&lt;20,"Yes","No"))</f>
      </c>
      <c r="L10" s="28"/>
      <c r="M10" s="17"/>
      <c r="N10" s="121">
        <f t="shared" si="0"/>
      </c>
    </row>
    <row r="11" spans="1:14" s="2" customFormat="1" ht="15.75" thickBot="1">
      <c r="A11" s="9">
        <v>5</v>
      </c>
      <c r="B11" s="17"/>
      <c r="C11" s="17"/>
      <c r="D11" s="17"/>
      <c r="E11" s="17"/>
      <c r="F11" s="17"/>
      <c r="G11" s="17"/>
      <c r="H11" s="17"/>
      <c r="I11" s="17"/>
      <c r="J11" s="17"/>
      <c r="K11" s="122">
        <f t="shared" si="1"/>
      </c>
      <c r="L11" s="28"/>
      <c r="M11" s="17"/>
      <c r="N11" s="121">
        <f t="shared" si="0"/>
      </c>
    </row>
    <row r="12" spans="1:14" s="2" customFormat="1" ht="15.75" thickBot="1">
      <c r="A12" s="9">
        <v>6</v>
      </c>
      <c r="B12" s="17"/>
      <c r="C12" s="17"/>
      <c r="D12" s="17"/>
      <c r="E12" s="17"/>
      <c r="F12" s="17"/>
      <c r="G12" s="17"/>
      <c r="H12" s="17"/>
      <c r="I12" s="17"/>
      <c r="J12" s="17"/>
      <c r="K12" s="122">
        <f t="shared" si="1"/>
      </c>
      <c r="L12" s="28"/>
      <c r="M12" s="17"/>
      <c r="N12" s="121">
        <f t="shared" si="0"/>
      </c>
    </row>
    <row r="13" spans="1:14" s="2" customFormat="1" ht="15.75" thickBot="1">
      <c r="A13" s="9">
        <v>7</v>
      </c>
      <c r="B13" s="17"/>
      <c r="C13" s="17"/>
      <c r="D13" s="17"/>
      <c r="E13" s="17"/>
      <c r="F13" s="17"/>
      <c r="G13" s="17"/>
      <c r="H13" s="17"/>
      <c r="I13" s="17"/>
      <c r="J13" s="17"/>
      <c r="K13" s="122">
        <f t="shared" si="1"/>
      </c>
      <c r="L13" s="28"/>
      <c r="M13" s="17"/>
      <c r="N13" s="121">
        <f t="shared" si="0"/>
      </c>
    </row>
    <row r="14" spans="1:14" s="2" customFormat="1" ht="15.75" thickBot="1">
      <c r="A14" s="9">
        <v>8</v>
      </c>
      <c r="B14" s="17"/>
      <c r="C14" s="17"/>
      <c r="D14" s="17"/>
      <c r="E14" s="17"/>
      <c r="F14" s="17"/>
      <c r="G14" s="17"/>
      <c r="H14" s="17"/>
      <c r="I14" s="17"/>
      <c r="J14" s="17"/>
      <c r="K14" s="122">
        <f t="shared" si="1"/>
      </c>
      <c r="L14" s="28"/>
      <c r="M14" s="17"/>
      <c r="N14" s="121">
        <f t="shared" si="0"/>
      </c>
    </row>
    <row r="15" spans="1:14" s="2" customFormat="1" ht="15.75" thickBot="1">
      <c r="A15" s="9">
        <v>9</v>
      </c>
      <c r="B15" s="17"/>
      <c r="C15" s="17"/>
      <c r="D15" s="17"/>
      <c r="E15" s="17"/>
      <c r="F15" s="17"/>
      <c r="G15" s="17"/>
      <c r="H15" s="17"/>
      <c r="I15" s="17"/>
      <c r="J15" s="17"/>
      <c r="K15" s="122">
        <f t="shared" si="1"/>
      </c>
      <c r="L15" s="28"/>
      <c r="M15" s="17"/>
      <c r="N15" s="121">
        <f t="shared" si="0"/>
      </c>
    </row>
    <row r="16" spans="1:14" s="2" customFormat="1" ht="15.75" thickBot="1">
      <c r="A16" s="9">
        <v>10</v>
      </c>
      <c r="B16" s="17"/>
      <c r="C16" s="17"/>
      <c r="D16" s="28"/>
      <c r="E16" s="28"/>
      <c r="F16" s="17"/>
      <c r="G16" s="17"/>
      <c r="H16" s="17"/>
      <c r="I16" s="17"/>
      <c r="J16" s="17"/>
      <c r="K16" s="122">
        <f t="shared" si="1"/>
      </c>
      <c r="L16" s="28"/>
      <c r="M16" s="17"/>
      <c r="N16" s="121">
        <f t="shared" si="0"/>
      </c>
    </row>
    <row r="17" spans="1:14" s="2" customFormat="1" ht="15.75" thickBot="1">
      <c r="A17" s="9">
        <v>11</v>
      </c>
      <c r="B17" s="17"/>
      <c r="C17" s="17"/>
      <c r="D17" s="28"/>
      <c r="E17" s="28"/>
      <c r="F17" s="17"/>
      <c r="G17" s="17"/>
      <c r="H17" s="17"/>
      <c r="I17" s="17"/>
      <c r="J17" s="17"/>
      <c r="K17" s="122">
        <f t="shared" si="1"/>
      </c>
      <c r="L17" s="28"/>
      <c r="M17" s="17"/>
      <c r="N17" s="121">
        <f t="shared" si="0"/>
      </c>
    </row>
    <row r="18" spans="1:14" s="2" customFormat="1" ht="15.75" thickBot="1">
      <c r="A18" s="9">
        <v>12</v>
      </c>
      <c r="B18" s="17"/>
      <c r="C18" s="17"/>
      <c r="D18" s="28"/>
      <c r="E18" s="28"/>
      <c r="F18" s="17"/>
      <c r="G18" s="17"/>
      <c r="H18" s="17"/>
      <c r="I18" s="17"/>
      <c r="J18" s="17"/>
      <c r="K18" s="122">
        <f t="shared" si="1"/>
      </c>
      <c r="L18" s="28"/>
      <c r="M18" s="17"/>
      <c r="N18" s="121">
        <f t="shared" si="0"/>
      </c>
    </row>
    <row r="19" spans="1:14" s="2" customFormat="1" ht="15.75" thickBot="1">
      <c r="A19" s="9">
        <v>13</v>
      </c>
      <c r="B19" s="17"/>
      <c r="C19" s="17"/>
      <c r="D19" s="28"/>
      <c r="E19" s="28"/>
      <c r="F19" s="17"/>
      <c r="G19" s="17"/>
      <c r="H19" s="17"/>
      <c r="I19" s="17"/>
      <c r="J19" s="17"/>
      <c r="K19" s="122">
        <f t="shared" si="1"/>
      </c>
      <c r="L19" s="28"/>
      <c r="M19" s="17"/>
      <c r="N19" s="121">
        <f t="shared" si="0"/>
      </c>
    </row>
    <row r="20" spans="1:14" s="2" customFormat="1" ht="15.75" thickBot="1">
      <c r="A20" s="9">
        <v>14</v>
      </c>
      <c r="B20" s="17"/>
      <c r="C20" s="17"/>
      <c r="D20" s="28"/>
      <c r="E20" s="28"/>
      <c r="F20" s="17"/>
      <c r="G20" s="17"/>
      <c r="H20" s="17"/>
      <c r="I20" s="17"/>
      <c r="J20" s="17"/>
      <c r="K20" s="122">
        <f t="shared" si="1"/>
      </c>
      <c r="L20" s="28"/>
      <c r="M20" s="17"/>
      <c r="N20" s="121">
        <f t="shared" si="0"/>
      </c>
    </row>
    <row r="21" spans="1:14" s="2" customFormat="1" ht="15.75" thickBot="1">
      <c r="A21" s="9">
        <v>15</v>
      </c>
      <c r="B21" s="17"/>
      <c r="C21" s="17"/>
      <c r="D21" s="28"/>
      <c r="E21" s="28"/>
      <c r="F21" s="17"/>
      <c r="G21" s="17"/>
      <c r="H21" s="17"/>
      <c r="I21" s="17"/>
      <c r="J21" s="17"/>
      <c r="K21" s="122">
        <f t="shared" si="1"/>
      </c>
      <c r="L21" s="28"/>
      <c r="M21" s="17"/>
      <c r="N21" s="121">
        <f t="shared" si="0"/>
      </c>
    </row>
    <row r="22" spans="1:14" s="2" customFormat="1" ht="15.75" thickBot="1">
      <c r="A22" s="9">
        <v>16</v>
      </c>
      <c r="B22" s="17"/>
      <c r="C22" s="17"/>
      <c r="D22" s="28"/>
      <c r="E22" s="28"/>
      <c r="F22" s="17"/>
      <c r="G22" s="17"/>
      <c r="H22" s="17"/>
      <c r="I22" s="17"/>
      <c r="J22" s="17"/>
      <c r="K22" s="122">
        <f t="shared" si="1"/>
      </c>
      <c r="L22" s="28"/>
      <c r="M22" s="17"/>
      <c r="N22" s="121">
        <f t="shared" si="0"/>
      </c>
    </row>
    <row r="23" spans="1:14" s="2" customFormat="1" ht="15.75" thickBot="1">
      <c r="A23" s="9">
        <v>17</v>
      </c>
      <c r="B23" s="17"/>
      <c r="C23" s="17"/>
      <c r="D23" s="28"/>
      <c r="E23" s="28"/>
      <c r="F23" s="17"/>
      <c r="G23" s="17"/>
      <c r="H23" s="17"/>
      <c r="I23" s="17"/>
      <c r="J23" s="17"/>
      <c r="K23" s="122"/>
      <c r="L23" s="28"/>
      <c r="M23" s="17"/>
      <c r="N23" s="121">
        <f t="shared" si="0"/>
      </c>
    </row>
    <row r="24" spans="1:14" s="2" customFormat="1" ht="15.75" thickBot="1">
      <c r="A24" s="9">
        <v>18</v>
      </c>
      <c r="B24" s="17"/>
      <c r="C24" s="17"/>
      <c r="D24" s="28"/>
      <c r="E24" s="28"/>
      <c r="F24" s="17"/>
      <c r="G24" s="17"/>
      <c r="H24" s="17"/>
      <c r="I24" s="17"/>
      <c r="J24" s="17"/>
      <c r="K24" s="122">
        <f t="shared" si="1"/>
      </c>
      <c r="L24" s="28"/>
      <c r="M24" s="17"/>
      <c r="N24" s="121">
        <f t="shared" si="0"/>
      </c>
    </row>
    <row r="25" spans="1:14" s="2" customFormat="1" ht="15.75" thickBot="1">
      <c r="A25" s="9">
        <v>19</v>
      </c>
      <c r="B25" s="17"/>
      <c r="C25" s="17"/>
      <c r="D25" s="28"/>
      <c r="E25" s="28"/>
      <c r="F25" s="17"/>
      <c r="G25" s="17"/>
      <c r="H25" s="17"/>
      <c r="I25" s="17"/>
      <c r="J25" s="17"/>
      <c r="K25" s="122">
        <f t="shared" si="1"/>
      </c>
      <c r="L25" s="28"/>
      <c r="M25" s="17"/>
      <c r="N25" s="121">
        <f t="shared" si="0"/>
      </c>
    </row>
    <row r="26" spans="1:14" s="2" customFormat="1" ht="15.75" thickBot="1">
      <c r="A26" s="9">
        <v>20</v>
      </c>
      <c r="B26" s="17"/>
      <c r="C26" s="17"/>
      <c r="D26" s="17"/>
      <c r="E26" s="17"/>
      <c r="F26" s="17"/>
      <c r="G26" s="17"/>
      <c r="H26" s="17"/>
      <c r="I26" s="17"/>
      <c r="J26" s="17"/>
      <c r="K26" s="122">
        <f t="shared" si="1"/>
      </c>
      <c r="L26" s="28"/>
      <c r="M26" s="17"/>
      <c r="N26" s="121">
        <f t="shared" si="0"/>
      </c>
    </row>
    <row r="27" spans="1:14" s="2" customFormat="1" ht="15.75" thickBot="1">
      <c r="A27" s="9">
        <v>21</v>
      </c>
      <c r="B27" s="22"/>
      <c r="C27" s="17"/>
      <c r="D27" s="17"/>
      <c r="E27" s="17"/>
      <c r="F27" s="17"/>
      <c r="G27" s="17"/>
      <c r="H27" s="17"/>
      <c r="I27" s="17"/>
      <c r="J27" s="17"/>
      <c r="K27" s="122">
        <f t="shared" si="1"/>
      </c>
      <c r="L27" s="28"/>
      <c r="M27" s="17"/>
      <c r="N27" s="121">
        <f t="shared" si="0"/>
      </c>
    </row>
    <row r="28" spans="1:14" s="2" customFormat="1" ht="15.75" thickBot="1">
      <c r="A28" s="9">
        <v>22</v>
      </c>
      <c r="B28" s="22"/>
      <c r="C28" s="17"/>
      <c r="D28" s="17"/>
      <c r="E28" s="17"/>
      <c r="F28" s="17"/>
      <c r="G28" s="17"/>
      <c r="H28" s="17"/>
      <c r="I28" s="17"/>
      <c r="J28" s="17"/>
      <c r="K28" s="122">
        <f t="shared" si="1"/>
      </c>
      <c r="L28" s="28"/>
      <c r="M28" s="17"/>
      <c r="N28" s="121">
        <f t="shared" si="0"/>
      </c>
    </row>
    <row r="29" spans="1:14" s="2" customFormat="1" ht="15.75" thickBot="1">
      <c r="A29" s="9">
        <v>23</v>
      </c>
      <c r="B29" s="22"/>
      <c r="C29" s="17"/>
      <c r="D29" s="17"/>
      <c r="E29" s="17"/>
      <c r="F29" s="17"/>
      <c r="G29" s="17"/>
      <c r="H29" s="17"/>
      <c r="I29" s="17"/>
      <c r="J29" s="17"/>
      <c r="K29" s="122">
        <f t="shared" si="1"/>
      </c>
      <c r="L29" s="28"/>
      <c r="M29" s="17"/>
      <c r="N29" s="121">
        <f t="shared" si="0"/>
      </c>
    </row>
    <row r="30" spans="1:14" s="2" customFormat="1" ht="15.75" thickBot="1">
      <c r="A30" s="9">
        <v>24</v>
      </c>
      <c r="B30" s="22"/>
      <c r="C30" s="17"/>
      <c r="D30" s="17"/>
      <c r="E30" s="17"/>
      <c r="F30" s="17"/>
      <c r="G30" s="17"/>
      <c r="H30" s="17"/>
      <c r="I30" s="17"/>
      <c r="J30" s="17"/>
      <c r="K30" s="122">
        <f t="shared" si="1"/>
      </c>
      <c r="L30" s="28"/>
      <c r="M30" s="17"/>
      <c r="N30" s="121">
        <f t="shared" si="0"/>
      </c>
    </row>
    <row r="31" spans="1:14" s="2" customFormat="1" ht="15.75" thickBot="1">
      <c r="A31" s="9">
        <v>25</v>
      </c>
      <c r="B31" s="22"/>
      <c r="C31" s="17"/>
      <c r="D31" s="17"/>
      <c r="E31" s="17"/>
      <c r="F31" s="17"/>
      <c r="G31" s="17"/>
      <c r="H31" s="17"/>
      <c r="I31" s="17"/>
      <c r="J31" s="17"/>
      <c r="K31" s="122">
        <f t="shared" si="1"/>
      </c>
      <c r="L31" s="28"/>
      <c r="M31" s="17"/>
      <c r="N31" s="121">
        <f t="shared" si="0"/>
      </c>
    </row>
    <row r="32" spans="1:14" s="2" customFormat="1" ht="15.75" thickBot="1">
      <c r="A32" s="9">
        <v>26</v>
      </c>
      <c r="B32" s="22"/>
      <c r="C32" s="17"/>
      <c r="D32" s="17"/>
      <c r="E32" s="17"/>
      <c r="F32" s="17"/>
      <c r="G32" s="17"/>
      <c r="H32" s="17"/>
      <c r="I32" s="17"/>
      <c r="J32" s="17"/>
      <c r="K32" s="122">
        <f t="shared" si="1"/>
      </c>
      <c r="L32" s="28"/>
      <c r="M32" s="17"/>
      <c r="N32" s="121">
        <f t="shared" si="0"/>
      </c>
    </row>
    <row r="33" spans="1:14" s="2" customFormat="1" ht="15.75" thickBot="1">
      <c r="A33" s="9">
        <v>27</v>
      </c>
      <c r="B33" s="22"/>
      <c r="C33" s="17"/>
      <c r="D33" s="17"/>
      <c r="E33" s="17"/>
      <c r="F33" s="17"/>
      <c r="G33" s="17"/>
      <c r="H33" s="17"/>
      <c r="I33" s="17"/>
      <c r="J33" s="17"/>
      <c r="K33" s="122">
        <f t="shared" si="1"/>
      </c>
      <c r="L33" s="28"/>
      <c r="M33" s="17"/>
      <c r="N33" s="121">
        <f t="shared" si="0"/>
      </c>
    </row>
    <row r="34" spans="1:14" s="2" customFormat="1" ht="15.75" thickBot="1">
      <c r="A34" s="9">
        <v>28</v>
      </c>
      <c r="B34" s="22"/>
      <c r="C34" s="17"/>
      <c r="D34" s="17"/>
      <c r="E34" s="17"/>
      <c r="F34" s="17"/>
      <c r="G34" s="17"/>
      <c r="H34" s="17"/>
      <c r="I34" s="17"/>
      <c r="J34" s="17"/>
      <c r="K34" s="122">
        <f t="shared" si="1"/>
      </c>
      <c r="L34" s="28"/>
      <c r="M34" s="17"/>
      <c r="N34" s="121">
        <f t="shared" si="0"/>
      </c>
    </row>
    <row r="35" spans="1:14" s="2" customFormat="1" ht="15.75" thickBot="1">
      <c r="A35" s="9">
        <v>29</v>
      </c>
      <c r="B35" s="22"/>
      <c r="C35" s="17"/>
      <c r="D35" s="17"/>
      <c r="E35" s="17"/>
      <c r="F35" s="17"/>
      <c r="G35" s="17"/>
      <c r="H35" s="17"/>
      <c r="I35" s="17"/>
      <c r="J35" s="17"/>
      <c r="K35" s="122">
        <f t="shared" si="1"/>
      </c>
      <c r="L35" s="28"/>
      <c r="M35" s="17"/>
      <c r="N35" s="121">
        <f t="shared" si="0"/>
      </c>
    </row>
    <row r="36" spans="1:14" s="2" customFormat="1" ht="15.75" thickBot="1">
      <c r="A36" s="9">
        <v>30</v>
      </c>
      <c r="B36" s="22"/>
      <c r="C36" s="17"/>
      <c r="D36" s="17"/>
      <c r="E36" s="17"/>
      <c r="F36" s="17"/>
      <c r="G36" s="17"/>
      <c r="H36" s="17"/>
      <c r="I36" s="17"/>
      <c r="J36" s="17"/>
      <c r="K36" s="122">
        <f t="shared" si="1"/>
      </c>
      <c r="L36" s="28"/>
      <c r="M36" s="17"/>
      <c r="N36" s="121">
        <f t="shared" si="0"/>
      </c>
    </row>
    <row r="37" spans="1:14" s="2" customFormat="1" ht="15.75" thickBot="1">
      <c r="A37" s="9">
        <v>31</v>
      </c>
      <c r="B37" s="23"/>
      <c r="C37" s="17"/>
      <c r="D37" s="17"/>
      <c r="E37" s="17"/>
      <c r="F37" s="17"/>
      <c r="G37" s="17"/>
      <c r="H37" s="17"/>
      <c r="I37" s="17"/>
      <c r="J37" s="17"/>
      <c r="K37" s="122">
        <f t="shared" si="1"/>
      </c>
      <c r="L37" s="28"/>
      <c r="M37" s="17"/>
      <c r="N37" s="121">
        <f t="shared" si="0"/>
      </c>
    </row>
    <row r="38" spans="1:14" s="2" customFormat="1" ht="15.75" thickBot="1">
      <c r="A38" s="9">
        <v>32</v>
      </c>
      <c r="B38" s="22"/>
      <c r="C38" s="17"/>
      <c r="D38" s="17"/>
      <c r="E38" s="17"/>
      <c r="F38" s="17"/>
      <c r="G38" s="17"/>
      <c r="H38" s="17"/>
      <c r="I38" s="17"/>
      <c r="J38" s="17"/>
      <c r="K38" s="122">
        <f t="shared" si="1"/>
      </c>
      <c r="L38" s="28"/>
      <c r="M38" s="17"/>
      <c r="N38" s="121">
        <f t="shared" si="0"/>
      </c>
    </row>
    <row r="39" spans="1:14" s="2" customFormat="1" ht="15.75" thickBot="1">
      <c r="A39" s="9">
        <v>33</v>
      </c>
      <c r="B39" s="22"/>
      <c r="C39" s="17"/>
      <c r="D39" s="17"/>
      <c r="E39" s="17"/>
      <c r="F39" s="17"/>
      <c r="G39" s="17"/>
      <c r="H39" s="17"/>
      <c r="I39" s="17"/>
      <c r="J39" s="17"/>
      <c r="K39" s="122">
        <f t="shared" si="1"/>
      </c>
      <c r="L39" s="28"/>
      <c r="M39" s="17"/>
      <c r="N39" s="121">
        <f t="shared" si="0"/>
      </c>
    </row>
    <row r="40" spans="1:14" s="2" customFormat="1" ht="15.75" thickBot="1">
      <c r="A40" s="9">
        <v>34</v>
      </c>
      <c r="B40" s="22"/>
      <c r="C40" s="17"/>
      <c r="D40" s="17"/>
      <c r="E40" s="17"/>
      <c r="F40" s="17"/>
      <c r="G40" s="17"/>
      <c r="H40" s="17"/>
      <c r="I40" s="17"/>
      <c r="J40" s="17"/>
      <c r="K40" s="122">
        <f t="shared" si="1"/>
      </c>
      <c r="L40" s="28"/>
      <c r="M40" s="17"/>
      <c r="N40" s="121">
        <f t="shared" si="0"/>
      </c>
    </row>
    <row r="41" spans="1:14" s="2" customFormat="1" ht="15.75" thickBot="1">
      <c r="A41" s="9">
        <v>35</v>
      </c>
      <c r="B41" s="22"/>
      <c r="C41" s="17"/>
      <c r="D41" s="17"/>
      <c r="E41" s="17"/>
      <c r="F41" s="17"/>
      <c r="G41" s="17"/>
      <c r="H41" s="17"/>
      <c r="I41" s="17"/>
      <c r="J41" s="17"/>
      <c r="K41" s="122">
        <f t="shared" si="1"/>
      </c>
      <c r="L41" s="28"/>
      <c r="M41" s="17"/>
      <c r="N41" s="121">
        <f t="shared" si="0"/>
      </c>
    </row>
    <row r="42" spans="1:14" s="2" customFormat="1" ht="15.75" thickBot="1">
      <c r="A42" s="9">
        <v>36</v>
      </c>
      <c r="B42" s="22"/>
      <c r="C42" s="17"/>
      <c r="D42" s="17"/>
      <c r="E42" s="17"/>
      <c r="F42" s="17"/>
      <c r="G42" s="17"/>
      <c r="H42" s="17"/>
      <c r="I42" s="17"/>
      <c r="J42" s="17"/>
      <c r="K42" s="122">
        <f t="shared" si="1"/>
      </c>
      <c r="L42" s="28"/>
      <c r="M42" s="17"/>
      <c r="N42" s="121">
        <f t="shared" si="0"/>
      </c>
    </row>
    <row r="43" spans="1:14" s="2" customFormat="1" ht="15.75" thickBot="1">
      <c r="A43" s="9">
        <v>37</v>
      </c>
      <c r="B43" s="22"/>
      <c r="C43" s="17"/>
      <c r="D43" s="17"/>
      <c r="E43" s="17"/>
      <c r="F43" s="17"/>
      <c r="G43" s="17"/>
      <c r="H43" s="17"/>
      <c r="I43" s="17"/>
      <c r="J43" s="17"/>
      <c r="K43" s="122">
        <f t="shared" si="1"/>
      </c>
      <c r="L43" s="28"/>
      <c r="M43" s="17"/>
      <c r="N43" s="121">
        <f t="shared" si="0"/>
      </c>
    </row>
    <row r="44" spans="1:14" s="2" customFormat="1" ht="15.75" thickBot="1">
      <c r="A44" s="9">
        <v>38</v>
      </c>
      <c r="B44" s="22"/>
      <c r="C44" s="17"/>
      <c r="D44" s="17"/>
      <c r="E44" s="17"/>
      <c r="F44" s="17"/>
      <c r="G44" s="17"/>
      <c r="H44" s="17"/>
      <c r="I44" s="17"/>
      <c r="J44" s="17"/>
      <c r="K44" s="122">
        <f t="shared" si="1"/>
      </c>
      <c r="L44" s="28"/>
      <c r="M44" s="17"/>
      <c r="N44" s="121">
        <f t="shared" si="0"/>
      </c>
    </row>
    <row r="45" spans="1:14" s="2" customFormat="1" ht="15.75" thickBot="1">
      <c r="A45" s="9">
        <v>39</v>
      </c>
      <c r="B45" s="22"/>
      <c r="C45" s="17"/>
      <c r="D45" s="17"/>
      <c r="E45" s="17"/>
      <c r="F45" s="17"/>
      <c r="G45" s="17"/>
      <c r="H45" s="17"/>
      <c r="I45" s="17"/>
      <c r="J45" s="17"/>
      <c r="K45" s="122">
        <f t="shared" si="1"/>
      </c>
      <c r="L45" s="28"/>
      <c r="M45" s="17"/>
      <c r="N45" s="121">
        <f t="shared" si="0"/>
      </c>
    </row>
    <row r="46" spans="1:14" s="2" customFormat="1" ht="15.75" thickBot="1">
      <c r="A46" s="9">
        <v>40</v>
      </c>
      <c r="B46" s="22"/>
      <c r="C46" s="17"/>
      <c r="D46" s="17"/>
      <c r="E46" s="17"/>
      <c r="F46" s="17"/>
      <c r="G46" s="17"/>
      <c r="H46" s="17"/>
      <c r="I46" s="17"/>
      <c r="J46" s="17"/>
      <c r="K46" s="122">
        <f t="shared" si="1"/>
      </c>
      <c r="L46" s="28"/>
      <c r="M46" s="17"/>
      <c r="N46" s="121">
        <f t="shared" si="0"/>
      </c>
    </row>
    <row r="47" spans="1:14" s="2" customFormat="1" ht="15.75" thickBot="1">
      <c r="A47" s="24" t="s">
        <v>150</v>
      </c>
      <c r="B47" s="17"/>
      <c r="C47" s="17"/>
      <c r="D47" s="17"/>
      <c r="E47" s="17"/>
      <c r="F47" s="17"/>
      <c r="G47" s="17"/>
      <c r="H47" s="17"/>
      <c r="I47" s="17"/>
      <c r="J47" s="17"/>
      <c r="K47" s="122">
        <f t="shared" si="1"/>
      </c>
      <c r="L47" s="28"/>
      <c r="M47" s="17"/>
      <c r="N47" s="121">
        <f t="shared" si="0"/>
      </c>
    </row>
    <row r="48" spans="1:13" s="2" customFormat="1" ht="13.5" thickBot="1">
      <c r="A48" s="5" t="s">
        <v>2</v>
      </c>
      <c r="B48" s="15"/>
      <c r="C48" s="38"/>
      <c r="D48" s="5">
        <f>COUNTIF(Poverty,"Yes")</f>
        <v>0</v>
      </c>
      <c r="E48" s="5">
        <f>COUNTIF(Homelessness,"Yes")</f>
        <v>0</v>
      </c>
      <c r="F48" s="5">
        <f>COUNTIF(Substancemisuse,"Yes")</f>
        <v>0</v>
      </c>
      <c r="G48" s="5">
        <f>COUNTIF(migrant,"Yes")</f>
        <v>0</v>
      </c>
      <c r="H48" s="5">
        <f>COUNTIF(asylum,"Yes")</f>
        <v>0</v>
      </c>
      <c r="I48" s="5">
        <f>COUNTIF(english,"Yes")</f>
        <v>0</v>
      </c>
      <c r="J48" s="5">
        <f>COUNTIF(abuse,"Yes")</f>
        <v>0</v>
      </c>
      <c r="K48" s="5">
        <f>COUNTIF(K7:K47,"Yes")</f>
        <v>0</v>
      </c>
      <c r="L48" s="5">
        <f>COUNTIF(Other,"Yes")</f>
        <v>0</v>
      </c>
      <c r="M48" s="5">
        <f>COUNTA(M7:M47)</f>
        <v>0</v>
      </c>
    </row>
    <row r="49" spans="1:13" s="2" customFormat="1" ht="13.5" thickBot="1">
      <c r="A49" s="5" t="s">
        <v>3</v>
      </c>
      <c r="B49" s="16"/>
      <c r="C49" s="14"/>
      <c r="D49" s="5">
        <f>COUNTIF(Poverty,"No")</f>
        <v>0</v>
      </c>
      <c r="E49" s="5">
        <f>COUNTIF(Homelessness,"No")</f>
        <v>0</v>
      </c>
      <c r="F49" s="5">
        <f>COUNTIF(Substancemisuse,"No")</f>
        <v>0</v>
      </c>
      <c r="G49" s="5">
        <f>COUNTIF(migrant,"No")</f>
        <v>0</v>
      </c>
      <c r="H49" s="5">
        <f>COUNTIF(asylum,"No")</f>
        <v>0</v>
      </c>
      <c r="I49" s="5">
        <f>COUNTIF(english,"No")</f>
        <v>0</v>
      </c>
      <c r="J49" s="5">
        <f>COUNTIF(abuse,"No")</f>
        <v>0</v>
      </c>
      <c r="K49" s="5">
        <f>COUNTIF(K7:K47,"No")</f>
        <v>0</v>
      </c>
      <c r="L49" s="5">
        <f>COUNTIF(Other,"No")</f>
        <v>0</v>
      </c>
      <c r="M49" s="5"/>
    </row>
    <row r="50" spans="1:13" s="2" customFormat="1" ht="13.5" thickBot="1">
      <c r="A50" s="5" t="s">
        <v>4</v>
      </c>
      <c r="B50" s="16"/>
      <c r="C50" s="14"/>
      <c r="D50" s="5">
        <f aca="true" t="shared" si="2" ref="D50:J50">SUM(D48:D49)</f>
        <v>0</v>
      </c>
      <c r="E50" s="5">
        <f>SUM(E48:E49)</f>
        <v>0</v>
      </c>
      <c r="F50" s="5">
        <f t="shared" si="2"/>
        <v>0</v>
      </c>
      <c r="G50" s="5">
        <f t="shared" si="2"/>
        <v>0</v>
      </c>
      <c r="H50" s="5">
        <f t="shared" si="2"/>
        <v>0</v>
      </c>
      <c r="I50" s="5">
        <f t="shared" si="2"/>
        <v>0</v>
      </c>
      <c r="J50" s="5">
        <f t="shared" si="2"/>
        <v>0</v>
      </c>
      <c r="K50" s="5">
        <f>SUM(K48:K49)</f>
        <v>0</v>
      </c>
      <c r="L50" s="5">
        <f>SUM(L48:L49)</f>
        <v>0</v>
      </c>
      <c r="M50" s="5"/>
    </row>
    <row r="51" spans="1:13" s="2" customFormat="1" ht="13.5" thickBot="1">
      <c r="A51" s="5" t="s">
        <v>5</v>
      </c>
      <c r="B51" s="16"/>
      <c r="C51" s="14"/>
      <c r="D51" s="54" t="e">
        <f aca="true" t="shared" si="3" ref="D51:J51">SUM(D48/D50)</f>
        <v>#DIV/0!</v>
      </c>
      <c r="E51" s="54" t="e">
        <f>(E48/E50)</f>
        <v>#DIV/0!</v>
      </c>
      <c r="F51" s="54" t="e">
        <f t="shared" si="3"/>
        <v>#DIV/0!</v>
      </c>
      <c r="G51" s="54" t="e">
        <f t="shared" si="3"/>
        <v>#DIV/0!</v>
      </c>
      <c r="H51" s="54" t="e">
        <f t="shared" si="3"/>
        <v>#DIV/0!</v>
      </c>
      <c r="I51" s="54" t="e">
        <f t="shared" si="3"/>
        <v>#DIV/0!</v>
      </c>
      <c r="J51" s="54" t="e">
        <f t="shared" si="3"/>
        <v>#DIV/0!</v>
      </c>
      <c r="K51" s="54" t="e">
        <f>SUM(K48/K50)</f>
        <v>#DIV/0!</v>
      </c>
      <c r="L51" s="54" t="e">
        <f>(L48/L50)</f>
        <v>#DIV/0!</v>
      </c>
      <c r="M51" s="6"/>
    </row>
    <row r="52" ht="15">
      <c r="B52" s="13"/>
    </row>
    <row r="53" ht="15">
      <c r="M53" s="36"/>
    </row>
    <row r="72" ht="15" hidden="1">
      <c r="B72" t="s">
        <v>26</v>
      </c>
    </row>
    <row r="73" ht="15" hidden="1">
      <c r="B73" t="s">
        <v>27</v>
      </c>
    </row>
    <row r="74" ht="15" hidden="1">
      <c r="B74" t="s">
        <v>28</v>
      </c>
    </row>
    <row r="75" ht="15" hidden="1">
      <c r="B75" t="s">
        <v>29</v>
      </c>
    </row>
    <row r="76" ht="15" hidden="1">
      <c r="B76" t="s">
        <v>30</v>
      </c>
    </row>
    <row r="77" ht="15" hidden="1">
      <c r="B77" t="s">
        <v>31</v>
      </c>
    </row>
    <row r="78" ht="15" hidden="1">
      <c r="B78" t="s">
        <v>32</v>
      </c>
    </row>
    <row r="79" ht="15" hidden="1">
      <c r="B79" t="s">
        <v>33</v>
      </c>
    </row>
    <row r="80" ht="15" hidden="1">
      <c r="B80" t="s">
        <v>34</v>
      </c>
    </row>
    <row r="81" ht="15" hidden="1">
      <c r="B81" t="s">
        <v>35</v>
      </c>
    </row>
    <row r="82" ht="15" hidden="1">
      <c r="B82" t="s">
        <v>36</v>
      </c>
    </row>
    <row r="83" ht="15" hidden="1">
      <c r="B83" t="s">
        <v>37</v>
      </c>
    </row>
    <row r="84" ht="15" hidden="1">
      <c r="B84" t="s">
        <v>38</v>
      </c>
    </row>
    <row r="85" ht="15" hidden="1">
      <c r="B85" t="s">
        <v>39</v>
      </c>
    </row>
    <row r="86" ht="15" hidden="1">
      <c r="B86" t="s">
        <v>40</v>
      </c>
    </row>
    <row r="87" ht="15" hidden="1">
      <c r="B87" t="s">
        <v>41</v>
      </c>
    </row>
    <row r="88" ht="15" hidden="1">
      <c r="B88" t="s">
        <v>21</v>
      </c>
    </row>
  </sheetData>
  <sheetProtection/>
  <mergeCells count="2">
    <mergeCell ref="A1:G1"/>
    <mergeCell ref="B2:C2"/>
  </mergeCells>
  <dataValidations count="2">
    <dataValidation type="list" allowBlank="1" showInputMessage="1" showErrorMessage="1" sqref="D7:J47 L7:L47">
      <formula1>"Yes,No"</formula1>
    </dataValidation>
    <dataValidation type="list" allowBlank="1" showInputMessage="1" showErrorMessage="1" sqref="C7:C47">
      <formula1>$B$72:$B$88</formula1>
    </dataValidation>
  </dataValidations>
  <printOptions/>
  <pageMargins left="0.7" right="0.7" top="0.75" bottom="0.75" header="0.3" footer="0.3"/>
  <pageSetup horizontalDpi="300" verticalDpi="300" orientation="landscape" paperSize="9" r:id="rId3"/>
  <ignoredErrors>
    <ignoredError sqref="E51" formula="1"/>
  </ignoredErrors>
  <legacyDrawing r:id="rId2"/>
</worksheet>
</file>

<file path=xl/worksheets/sheet5.xml><?xml version="1.0" encoding="utf-8"?>
<worksheet xmlns="http://schemas.openxmlformats.org/spreadsheetml/2006/main" xmlns:r="http://schemas.openxmlformats.org/officeDocument/2006/relationships">
  <sheetPr codeName="Sheet5">
    <tabColor rgb="FF92D050"/>
  </sheetPr>
  <dimension ref="A1:K50"/>
  <sheetViews>
    <sheetView zoomScalePageLayoutView="0" workbookViewId="0" topLeftCell="A1">
      <selection activeCell="C6" sqref="C6"/>
    </sheetView>
  </sheetViews>
  <sheetFormatPr defaultColWidth="9.140625" defaultRowHeight="15"/>
  <cols>
    <col min="1" max="1" width="13.00390625" style="0" customWidth="1"/>
    <col min="2" max="2" width="16.421875" style="0" customWidth="1"/>
    <col min="3" max="3" width="23.8515625" style="0" customWidth="1"/>
    <col min="4" max="4" width="23.00390625" style="0" customWidth="1"/>
    <col min="5" max="5" width="22.140625" style="0" customWidth="1"/>
    <col min="6" max="6" width="22.421875" style="0" customWidth="1"/>
    <col min="7" max="7" width="15.7109375" style="0" customWidth="1"/>
    <col min="9" max="9" width="36.7109375" style="58" customWidth="1"/>
    <col min="10" max="10" width="19.57421875" style="0" customWidth="1"/>
    <col min="11" max="11" width="18.00390625" style="0" customWidth="1"/>
  </cols>
  <sheetData>
    <row r="1" spans="1:8" ht="21.75" thickBot="1">
      <c r="A1" s="155" t="s">
        <v>108</v>
      </c>
      <c r="B1" s="156"/>
      <c r="C1" s="156"/>
      <c r="D1" s="156"/>
      <c r="E1" s="156"/>
      <c r="F1" s="74"/>
      <c r="G1" s="74"/>
      <c r="H1" s="74"/>
    </row>
    <row r="2" spans="1:9" ht="22.5" thickBot="1" thickTop="1">
      <c r="A2" s="30" t="s">
        <v>91</v>
      </c>
      <c r="B2" s="153" t="s">
        <v>46</v>
      </c>
      <c r="C2" s="154"/>
      <c r="D2" s="135"/>
      <c r="H2" s="58"/>
      <c r="I2"/>
    </row>
    <row r="3" spans="1:2" ht="16.5" thickBot="1" thickTop="1">
      <c r="A3" s="4"/>
      <c r="B3" s="10"/>
    </row>
    <row r="4" spans="1:7" ht="70.5" customHeight="1" thickBot="1">
      <c r="A4" s="7" t="s">
        <v>151</v>
      </c>
      <c r="B4" s="20" t="s">
        <v>61</v>
      </c>
      <c r="C4" s="110" t="s">
        <v>61</v>
      </c>
      <c r="D4" s="3" t="s">
        <v>61</v>
      </c>
      <c r="E4" s="3" t="s">
        <v>61</v>
      </c>
      <c r="F4" s="3" t="s">
        <v>61</v>
      </c>
      <c r="G4" s="3" t="s">
        <v>61</v>
      </c>
    </row>
    <row r="5" spans="1:10" ht="74.25" customHeight="1" thickBot="1">
      <c r="A5" s="7"/>
      <c r="B5" s="116" t="s">
        <v>176</v>
      </c>
      <c r="C5" s="111" t="s">
        <v>112</v>
      </c>
      <c r="D5" s="34" t="s">
        <v>54</v>
      </c>
      <c r="E5" s="34" t="s">
        <v>55</v>
      </c>
      <c r="F5" s="34" t="s">
        <v>56</v>
      </c>
      <c r="G5" s="100" t="s">
        <v>110</v>
      </c>
      <c r="I5" s="115" t="s">
        <v>135</v>
      </c>
      <c r="J5" s="62" t="s">
        <v>146</v>
      </c>
    </row>
    <row r="6" spans="1:11" ht="15.75" thickBot="1">
      <c r="A6" s="75">
        <v>1</v>
      </c>
      <c r="B6" s="114"/>
      <c r="C6" s="112"/>
      <c r="D6" s="79"/>
      <c r="E6" s="79"/>
      <c r="F6" s="139">
        <f>IF(D6="","",IF(E6="","",D6-E6))</f>
      </c>
      <c r="G6" s="1">
        <f>IF(D6="","",IF(E6="","",IF(E6&gt;=D6,("Yes"),("No"))))</f>
      </c>
      <c r="I6" s="58" t="s">
        <v>136</v>
      </c>
      <c r="J6">
        <f>COUNTIF(weeks,"&lt;=10")</f>
        <v>0</v>
      </c>
      <c r="K6" s="60"/>
    </row>
    <row r="7" spans="1:11" ht="18" thickBot="1">
      <c r="A7" s="75">
        <v>2</v>
      </c>
      <c r="B7" s="114"/>
      <c r="C7" s="112"/>
      <c r="D7" s="79"/>
      <c r="E7" s="79"/>
      <c r="F7" s="139">
        <f aca="true" t="shared" si="0" ref="F7:F46">IF(D7="","",IF(E7="","",D7-E7))</f>
      </c>
      <c r="G7" s="1">
        <f>IF(D7="","",IF(E7="","",IF(E7&gt;=D7,("Yes"),("No"))))</f>
      </c>
      <c r="I7" s="58" t="s">
        <v>139</v>
      </c>
      <c r="J7">
        <f>_xlfn.COUNTIFS(weeks,"&gt;=11",weeks,"&lt;13")</f>
        <v>0</v>
      </c>
      <c r="K7" s="120"/>
    </row>
    <row r="8" spans="1:11" ht="15.75" thickBot="1">
      <c r="A8" s="75">
        <v>3</v>
      </c>
      <c r="B8" s="114"/>
      <c r="C8" s="112"/>
      <c r="D8" s="79"/>
      <c r="E8" s="79"/>
      <c r="F8" s="139">
        <f t="shared" si="0"/>
      </c>
      <c r="G8" s="1">
        <f aca="true" t="shared" si="1" ref="G8:G46">IF(D8="","",IF(E8="","",IF(E8&gt;=D8,("Yes"),("No"))))</f>
      </c>
      <c r="I8" s="58" t="s">
        <v>137</v>
      </c>
      <c r="J8">
        <f>_xlfn.COUNTIFS(weeks,"&gt;=13",weeks,"&lt;=20")</f>
        <v>0</v>
      </c>
      <c r="K8" s="119"/>
    </row>
    <row r="9" spans="1:11" ht="15.75" thickBot="1">
      <c r="A9" s="75">
        <v>4</v>
      </c>
      <c r="B9" s="114"/>
      <c r="C9" s="112"/>
      <c r="D9" s="79"/>
      <c r="E9" s="79"/>
      <c r="F9" s="139">
        <f t="shared" si="0"/>
      </c>
      <c r="G9" s="1">
        <f t="shared" si="1"/>
      </c>
      <c r="I9" s="58" t="s">
        <v>138</v>
      </c>
      <c r="J9">
        <f>IF('Complex social factors'!N7:N47&gt;=0,(COUNTIF(weeks,"&gt;20")))</f>
        <v>0</v>
      </c>
      <c r="K9" s="119"/>
    </row>
    <row r="10" spans="1:11" ht="15.75" thickBot="1">
      <c r="A10" s="75">
        <v>5</v>
      </c>
      <c r="B10" s="114"/>
      <c r="C10" s="112"/>
      <c r="D10" s="79"/>
      <c r="E10" s="79"/>
      <c r="F10" s="139">
        <f t="shared" si="0"/>
      </c>
      <c r="G10" s="1">
        <f t="shared" si="1"/>
      </c>
      <c r="K10" s="119"/>
    </row>
    <row r="11" spans="1:10" ht="60.75" thickBot="1">
      <c r="A11" s="75">
        <v>6</v>
      </c>
      <c r="B11" s="114"/>
      <c r="C11" s="112"/>
      <c r="D11" s="79"/>
      <c r="E11" s="79"/>
      <c r="F11" s="139">
        <f t="shared" si="0"/>
      </c>
      <c r="G11" s="1">
        <f t="shared" si="1"/>
      </c>
      <c r="I11" s="59" t="s">
        <v>71</v>
      </c>
      <c r="J11" s="60" t="s">
        <v>146</v>
      </c>
    </row>
    <row r="12" spans="1:10" ht="15.75" thickBot="1">
      <c r="A12" s="75">
        <v>7</v>
      </c>
      <c r="B12" s="114"/>
      <c r="C12" s="112"/>
      <c r="D12" s="79"/>
      <c r="E12" s="79"/>
      <c r="F12" s="139">
        <f t="shared" si="0"/>
      </c>
      <c r="G12" s="1">
        <f t="shared" si="1"/>
      </c>
      <c r="I12" s="101" t="s">
        <v>111</v>
      </c>
      <c r="J12">
        <f>COUNTIF(scheduled,"&lt;7")</f>
        <v>0</v>
      </c>
    </row>
    <row r="13" spans="1:11" ht="15.75" thickBot="1">
      <c r="A13" s="75">
        <v>8</v>
      </c>
      <c r="B13" s="114"/>
      <c r="C13" s="112"/>
      <c r="D13" s="79"/>
      <c r="E13" s="79"/>
      <c r="F13" s="139">
        <f t="shared" si="0"/>
      </c>
      <c r="G13" s="1">
        <f t="shared" si="1"/>
      </c>
      <c r="I13" s="58">
        <v>7</v>
      </c>
      <c r="J13">
        <f>COUNTIF(scheduled,"7")</f>
        <v>0</v>
      </c>
      <c r="K13" s="60"/>
    </row>
    <row r="14" spans="1:11" ht="15.75" thickBot="1">
      <c r="A14" s="75">
        <v>9</v>
      </c>
      <c r="B14" s="114"/>
      <c r="C14" s="112"/>
      <c r="D14" s="79"/>
      <c r="E14" s="79"/>
      <c r="F14" s="139">
        <f t="shared" si="0"/>
      </c>
      <c r="G14" s="1">
        <f t="shared" si="1"/>
      </c>
      <c r="I14" s="58">
        <v>8</v>
      </c>
      <c r="J14">
        <f>COUNTIF(scheduled,"8")</f>
        <v>0</v>
      </c>
      <c r="K14" s="119"/>
    </row>
    <row r="15" spans="1:11" ht="15.75" thickBot="1">
      <c r="A15" s="75">
        <v>10</v>
      </c>
      <c r="B15" s="114"/>
      <c r="C15" s="112"/>
      <c r="D15" s="79"/>
      <c r="E15" s="79"/>
      <c r="F15" s="139">
        <f t="shared" si="0"/>
      </c>
      <c r="G15" s="1">
        <f t="shared" si="1"/>
      </c>
      <c r="I15" s="58">
        <v>9</v>
      </c>
      <c r="J15">
        <f>COUNTIF(scheduled,"9")</f>
        <v>0</v>
      </c>
      <c r="K15" s="119"/>
    </row>
    <row r="16" spans="1:11" ht="15.75" thickBot="1">
      <c r="A16" s="75">
        <v>11</v>
      </c>
      <c r="B16" s="114"/>
      <c r="C16" s="112"/>
      <c r="D16" s="79"/>
      <c r="E16" s="79"/>
      <c r="F16" s="139">
        <f t="shared" si="0"/>
      </c>
      <c r="G16" s="1">
        <f t="shared" si="1"/>
      </c>
      <c r="I16" s="58">
        <v>10</v>
      </c>
      <c r="J16">
        <f>COUNTIF(scheduled,"10")</f>
        <v>0</v>
      </c>
      <c r="K16" s="119"/>
    </row>
    <row r="17" spans="1:11" ht="15.75" thickBot="1">
      <c r="A17" s="75">
        <v>12</v>
      </c>
      <c r="B17" s="114"/>
      <c r="C17" s="112"/>
      <c r="D17" s="79"/>
      <c r="E17" s="79"/>
      <c r="F17" s="139">
        <f t="shared" si="0"/>
      </c>
      <c r="G17" s="1">
        <f t="shared" si="1"/>
      </c>
      <c r="I17" s="58">
        <v>11</v>
      </c>
      <c r="J17">
        <f>COUNTIF(scheduled,"11")</f>
        <v>0</v>
      </c>
      <c r="K17" s="119"/>
    </row>
    <row r="18" spans="1:11" ht="15.75" thickBot="1">
      <c r="A18" s="75">
        <v>13</v>
      </c>
      <c r="B18" s="114"/>
      <c r="C18" s="112"/>
      <c r="D18" s="79"/>
      <c r="E18" s="79"/>
      <c r="F18" s="139">
        <f t="shared" si="0"/>
      </c>
      <c r="G18" s="1">
        <f t="shared" si="1"/>
      </c>
      <c r="I18" s="58">
        <v>12</v>
      </c>
      <c r="J18">
        <f>COUNTIF(scheduled,"12")</f>
        <v>0</v>
      </c>
      <c r="K18" s="119"/>
    </row>
    <row r="19" spans="1:11" ht="15.75" thickBot="1">
      <c r="A19" s="75">
        <v>14</v>
      </c>
      <c r="B19" s="114"/>
      <c r="C19" s="112"/>
      <c r="D19" s="79"/>
      <c r="E19" s="79"/>
      <c r="F19" s="139">
        <f t="shared" si="0"/>
      </c>
      <c r="G19" s="1">
        <f t="shared" si="1"/>
      </c>
      <c r="I19" s="58">
        <v>13</v>
      </c>
      <c r="J19">
        <f>COUNTIF(scheduled,"13")</f>
        <v>0</v>
      </c>
      <c r="K19" s="119"/>
    </row>
    <row r="20" spans="1:11" ht="15.75" thickBot="1">
      <c r="A20" s="75">
        <v>15</v>
      </c>
      <c r="B20" s="114"/>
      <c r="C20" s="112"/>
      <c r="D20" s="79"/>
      <c r="E20" s="79"/>
      <c r="F20" s="139">
        <f t="shared" si="0"/>
      </c>
      <c r="G20" s="1">
        <f t="shared" si="1"/>
      </c>
      <c r="I20" s="58">
        <v>14</v>
      </c>
      <c r="J20">
        <f>COUNTIF(scheduled,"14")</f>
        <v>0</v>
      </c>
      <c r="K20" s="119"/>
    </row>
    <row r="21" spans="1:11" ht="15.75" thickBot="1">
      <c r="A21" s="75">
        <v>16</v>
      </c>
      <c r="B21" s="114"/>
      <c r="C21" s="112"/>
      <c r="D21" s="79"/>
      <c r="E21" s="79"/>
      <c r="F21" s="139">
        <f t="shared" si="0"/>
      </c>
      <c r="G21" s="1">
        <f t="shared" si="1"/>
      </c>
      <c r="I21" s="58" t="s">
        <v>70</v>
      </c>
      <c r="J21">
        <f>COUNTIF(scheduled,"&gt;14")</f>
        <v>0</v>
      </c>
      <c r="K21" s="119"/>
    </row>
    <row r="22" spans="1:11" ht="15.75" thickBot="1">
      <c r="A22" s="75">
        <v>17</v>
      </c>
      <c r="B22" s="114"/>
      <c r="C22" s="112"/>
      <c r="D22" s="79"/>
      <c r="E22" s="79"/>
      <c r="F22" s="139">
        <f t="shared" si="0"/>
      </c>
      <c r="G22" s="1">
        <f t="shared" si="1"/>
      </c>
      <c r="K22" s="119"/>
    </row>
    <row r="23" spans="1:11" ht="15.75" thickBot="1">
      <c r="A23" s="75">
        <v>18</v>
      </c>
      <c r="B23" s="114"/>
      <c r="C23" s="112"/>
      <c r="D23" s="79"/>
      <c r="E23" s="79"/>
      <c r="F23" s="139">
        <f t="shared" si="0"/>
      </c>
      <c r="G23" s="1">
        <f t="shared" si="1"/>
      </c>
      <c r="I23" s="58" t="s">
        <v>74</v>
      </c>
      <c r="J23" t="s">
        <v>73</v>
      </c>
      <c r="K23" s="119"/>
    </row>
    <row r="24" spans="1:10" ht="15.75" thickBot="1">
      <c r="A24" s="75">
        <v>19</v>
      </c>
      <c r="B24" s="114"/>
      <c r="C24" s="112"/>
      <c r="D24" s="79"/>
      <c r="E24" s="79"/>
      <c r="F24" s="139">
        <f t="shared" si="0"/>
      </c>
      <c r="G24" s="1">
        <f t="shared" si="1"/>
      </c>
      <c r="I24" s="101" t="s">
        <v>111</v>
      </c>
      <c r="J24">
        <f>COUNTIF(attended,"&lt;7")</f>
        <v>0</v>
      </c>
    </row>
    <row r="25" spans="1:10" ht="15.75" thickBot="1">
      <c r="A25" s="76">
        <v>20</v>
      </c>
      <c r="B25" s="114"/>
      <c r="C25" s="112"/>
      <c r="D25" s="79"/>
      <c r="E25" s="79"/>
      <c r="F25" s="139">
        <f t="shared" si="0"/>
      </c>
      <c r="G25" s="1">
        <f t="shared" si="1"/>
      </c>
      <c r="I25" s="58">
        <v>7</v>
      </c>
      <c r="J25">
        <f>COUNTIF(attended,"7")</f>
        <v>0</v>
      </c>
    </row>
    <row r="26" spans="1:10" ht="15.75" thickBot="1">
      <c r="A26" s="75">
        <v>21</v>
      </c>
      <c r="B26" s="114"/>
      <c r="C26" s="112"/>
      <c r="D26" s="79"/>
      <c r="E26" s="79"/>
      <c r="F26" s="139">
        <f t="shared" si="0"/>
      </c>
      <c r="G26" s="1">
        <f t="shared" si="1"/>
      </c>
      <c r="I26" s="58">
        <v>8</v>
      </c>
      <c r="J26">
        <f>COUNTIF(attended,"8")</f>
        <v>0</v>
      </c>
    </row>
    <row r="27" spans="1:10" ht="15.75" thickBot="1">
      <c r="A27" s="75">
        <v>22</v>
      </c>
      <c r="B27" s="114"/>
      <c r="C27" s="112"/>
      <c r="D27" s="79"/>
      <c r="E27" s="79"/>
      <c r="F27" s="139">
        <f t="shared" si="0"/>
      </c>
      <c r="G27" s="1">
        <f t="shared" si="1"/>
      </c>
      <c r="I27" s="58">
        <v>9</v>
      </c>
      <c r="J27">
        <f>COUNTIF(attended,"9")</f>
        <v>0</v>
      </c>
    </row>
    <row r="28" spans="1:10" ht="15.75" thickBot="1">
      <c r="A28" s="75">
        <v>23</v>
      </c>
      <c r="B28" s="114"/>
      <c r="C28" s="112"/>
      <c r="D28" s="79"/>
      <c r="E28" s="79"/>
      <c r="F28" s="139">
        <f t="shared" si="0"/>
      </c>
      <c r="G28" s="1">
        <f t="shared" si="1"/>
      </c>
      <c r="I28" s="58">
        <v>10</v>
      </c>
      <c r="J28">
        <f>COUNTIF(attended,"10")</f>
        <v>0</v>
      </c>
    </row>
    <row r="29" spans="1:10" ht="15.75" thickBot="1">
      <c r="A29" s="75">
        <v>24</v>
      </c>
      <c r="B29" s="114"/>
      <c r="C29" s="112"/>
      <c r="D29" s="79"/>
      <c r="E29" s="79"/>
      <c r="F29" s="139">
        <f t="shared" si="0"/>
      </c>
      <c r="G29" s="1">
        <f t="shared" si="1"/>
      </c>
      <c r="I29" s="58">
        <v>11</v>
      </c>
      <c r="J29">
        <f>COUNTIF(attended,"11")</f>
        <v>0</v>
      </c>
    </row>
    <row r="30" spans="1:10" ht="15.75" thickBot="1">
      <c r="A30" s="75">
        <v>25</v>
      </c>
      <c r="B30" s="114"/>
      <c r="C30" s="79"/>
      <c r="D30" s="79"/>
      <c r="E30" s="79"/>
      <c r="F30" s="139">
        <f t="shared" si="0"/>
      </c>
      <c r="G30" s="1">
        <f t="shared" si="1"/>
      </c>
      <c r="I30" s="58">
        <v>12</v>
      </c>
      <c r="J30">
        <f>COUNTIF(attended,"12")</f>
        <v>0</v>
      </c>
    </row>
    <row r="31" spans="1:10" ht="15.75" thickBot="1">
      <c r="A31" s="75">
        <v>26</v>
      </c>
      <c r="B31" s="114"/>
      <c r="C31" s="79"/>
      <c r="D31" s="79"/>
      <c r="E31" s="79"/>
      <c r="F31" s="139">
        <f t="shared" si="0"/>
      </c>
      <c r="G31" s="1">
        <f t="shared" si="1"/>
      </c>
      <c r="I31" s="58">
        <v>13</v>
      </c>
      <c r="J31">
        <f>COUNTIF(attended,"13")</f>
        <v>0</v>
      </c>
    </row>
    <row r="32" spans="1:10" ht="15.75" thickBot="1">
      <c r="A32" s="75">
        <v>27</v>
      </c>
      <c r="B32" s="114"/>
      <c r="C32" s="79"/>
      <c r="D32" s="79"/>
      <c r="E32" s="79"/>
      <c r="F32" s="139">
        <f t="shared" si="0"/>
      </c>
      <c r="G32" s="1">
        <f t="shared" si="1"/>
      </c>
      <c r="I32" s="58">
        <v>14</v>
      </c>
      <c r="J32">
        <f>COUNTIF(attended,"14")</f>
        <v>0</v>
      </c>
    </row>
    <row r="33" spans="1:10" ht="15.75" thickBot="1">
      <c r="A33" s="75">
        <v>28</v>
      </c>
      <c r="B33" s="114"/>
      <c r="C33" s="79"/>
      <c r="D33" s="79"/>
      <c r="E33" s="79"/>
      <c r="F33" s="139">
        <f t="shared" si="0"/>
      </c>
      <c r="G33" s="1">
        <f t="shared" si="1"/>
      </c>
      <c r="I33" s="58" t="s">
        <v>70</v>
      </c>
      <c r="J33">
        <f>COUNTIF(attended,"&gt;14")</f>
        <v>0</v>
      </c>
    </row>
    <row r="34" spans="1:7" ht="15.75" thickBot="1">
      <c r="A34" s="75">
        <v>29</v>
      </c>
      <c r="B34" s="114"/>
      <c r="C34" s="79"/>
      <c r="D34" s="79"/>
      <c r="E34" s="79"/>
      <c r="F34" s="139">
        <f t="shared" si="0"/>
      </c>
      <c r="G34" s="1">
        <f t="shared" si="1"/>
      </c>
    </row>
    <row r="35" spans="1:10" ht="15.75" thickBot="1">
      <c r="A35" s="77">
        <v>30</v>
      </c>
      <c r="B35" s="114"/>
      <c r="C35" s="79"/>
      <c r="D35" s="79"/>
      <c r="E35" s="79"/>
      <c r="F35" s="139">
        <f t="shared" si="0"/>
      </c>
      <c r="G35" s="1">
        <f t="shared" si="1"/>
      </c>
      <c r="I35" s="58" t="s">
        <v>75</v>
      </c>
      <c r="J35" t="s">
        <v>73</v>
      </c>
    </row>
    <row r="36" spans="1:10" ht="15.75" thickBot="1">
      <c r="A36" s="77">
        <v>31</v>
      </c>
      <c r="B36" s="114"/>
      <c r="C36" s="79"/>
      <c r="D36" s="79"/>
      <c r="E36" s="79"/>
      <c r="F36" s="139">
        <f t="shared" si="0"/>
      </c>
      <c r="G36" s="1">
        <f t="shared" si="1"/>
      </c>
      <c r="I36" s="58">
        <v>0</v>
      </c>
      <c r="J36">
        <f>COUNTIF(miss,"0")</f>
        <v>0</v>
      </c>
    </row>
    <row r="37" spans="1:10" ht="15.75" thickBot="1">
      <c r="A37" s="77">
        <v>32</v>
      </c>
      <c r="B37" s="114"/>
      <c r="C37" s="79"/>
      <c r="D37" s="79"/>
      <c r="E37" s="79"/>
      <c r="F37" s="139">
        <f t="shared" si="0"/>
      </c>
      <c r="G37" s="1">
        <f t="shared" si="1"/>
      </c>
      <c r="I37" s="58">
        <v>1</v>
      </c>
      <c r="J37">
        <f>COUNTIF(miss,"1")</f>
        <v>0</v>
      </c>
    </row>
    <row r="38" spans="1:10" ht="15.75" thickBot="1">
      <c r="A38" s="77">
        <v>33</v>
      </c>
      <c r="B38" s="114"/>
      <c r="C38" s="79"/>
      <c r="D38" s="79"/>
      <c r="E38" s="79"/>
      <c r="F38" s="139">
        <f t="shared" si="0"/>
      </c>
      <c r="G38" s="1">
        <f t="shared" si="1"/>
      </c>
      <c r="I38" s="58">
        <v>2</v>
      </c>
      <c r="J38">
        <f>COUNTIF(miss,"2")</f>
        <v>0</v>
      </c>
    </row>
    <row r="39" spans="1:10" ht="15.75" thickBot="1">
      <c r="A39" s="77">
        <v>34</v>
      </c>
      <c r="B39" s="114"/>
      <c r="C39" s="79"/>
      <c r="D39" s="79"/>
      <c r="E39" s="79"/>
      <c r="F39" s="139">
        <f t="shared" si="0"/>
      </c>
      <c r="G39" s="1">
        <f t="shared" si="1"/>
      </c>
      <c r="I39" s="58">
        <v>3</v>
      </c>
      <c r="J39">
        <f>COUNTIF(miss,"3")</f>
        <v>0</v>
      </c>
    </row>
    <row r="40" spans="1:10" ht="15.75" thickBot="1">
      <c r="A40" s="77">
        <v>35</v>
      </c>
      <c r="B40" s="114"/>
      <c r="C40" s="79"/>
      <c r="D40" s="79"/>
      <c r="E40" s="79"/>
      <c r="F40" s="139">
        <f t="shared" si="0"/>
      </c>
      <c r="G40" s="1">
        <f t="shared" si="1"/>
      </c>
      <c r="I40" s="58">
        <v>4</v>
      </c>
      <c r="J40">
        <f>COUNTIF(miss,"4")</f>
        <v>0</v>
      </c>
    </row>
    <row r="41" spans="1:10" ht="15.75" thickBot="1">
      <c r="A41" s="77">
        <v>36</v>
      </c>
      <c r="B41" s="114"/>
      <c r="C41" s="79"/>
      <c r="D41" s="79"/>
      <c r="E41" s="79"/>
      <c r="F41" s="139">
        <f t="shared" si="0"/>
      </c>
      <c r="G41" s="1">
        <f t="shared" si="1"/>
      </c>
      <c r="I41" s="58">
        <v>5</v>
      </c>
      <c r="J41">
        <f>COUNTIF(miss,"5")</f>
        <v>0</v>
      </c>
    </row>
    <row r="42" spans="1:10" ht="15.75" thickBot="1">
      <c r="A42" s="77">
        <v>37</v>
      </c>
      <c r="B42" s="114"/>
      <c r="C42" s="79"/>
      <c r="D42" s="79"/>
      <c r="E42" s="79"/>
      <c r="F42" s="139">
        <f t="shared" si="0"/>
      </c>
      <c r="G42" s="1">
        <f t="shared" si="1"/>
      </c>
      <c r="I42" s="58">
        <v>6</v>
      </c>
      <c r="J42">
        <f>COUNTIF(miss,"6")</f>
        <v>0</v>
      </c>
    </row>
    <row r="43" spans="1:10" ht="15.75" thickBot="1">
      <c r="A43" s="77">
        <v>38</v>
      </c>
      <c r="B43" s="114"/>
      <c r="C43" s="79"/>
      <c r="D43" s="79"/>
      <c r="E43" s="79"/>
      <c r="F43" s="139">
        <f t="shared" si="0"/>
      </c>
      <c r="G43" s="1">
        <f t="shared" si="1"/>
      </c>
      <c r="I43" s="58">
        <v>7</v>
      </c>
      <c r="J43">
        <f>COUNTIF(miss,"7")</f>
        <v>0</v>
      </c>
    </row>
    <row r="44" spans="1:10" ht="15.75" thickBot="1">
      <c r="A44" s="77">
        <v>39</v>
      </c>
      <c r="B44" s="114"/>
      <c r="C44" s="79"/>
      <c r="D44" s="79"/>
      <c r="E44" s="79"/>
      <c r="F44" s="139">
        <f t="shared" si="0"/>
      </c>
      <c r="G44" s="1">
        <f t="shared" si="1"/>
      </c>
      <c r="I44" s="58" t="s">
        <v>76</v>
      </c>
      <c r="J44">
        <f>COUNTIF(miss,"&gt;7")</f>
        <v>0</v>
      </c>
    </row>
    <row r="45" spans="1:7" ht="15.75" thickBot="1">
      <c r="A45" s="77">
        <v>40</v>
      </c>
      <c r="B45" s="114"/>
      <c r="C45" s="79"/>
      <c r="D45" s="79"/>
      <c r="E45" s="79"/>
      <c r="F45" s="139">
        <f t="shared" si="0"/>
      </c>
      <c r="G45" s="1">
        <f t="shared" si="1"/>
      </c>
    </row>
    <row r="46" spans="1:7" ht="15.75" thickBot="1">
      <c r="A46" s="78" t="s">
        <v>150</v>
      </c>
      <c r="B46" s="114"/>
      <c r="C46" s="79"/>
      <c r="D46" s="79"/>
      <c r="E46" s="79"/>
      <c r="F46" s="139">
        <f t="shared" si="0"/>
      </c>
      <c r="G46" s="1">
        <f t="shared" si="1"/>
      </c>
    </row>
    <row r="47" spans="1:8" ht="15.75" thickBot="1">
      <c r="A47" s="49" t="s">
        <v>2</v>
      </c>
      <c r="B47" s="113"/>
      <c r="C47" s="56" t="s">
        <v>68</v>
      </c>
      <c r="D47" s="81"/>
      <c r="E47" s="82"/>
      <c r="F47" s="82"/>
      <c r="G47" s="136">
        <f>COUNTIF(G6:G46,"Yes")</f>
        <v>0</v>
      </c>
      <c r="H47" s="13"/>
    </row>
    <row r="48" spans="1:7" ht="15.75" thickBot="1">
      <c r="A48" s="49" t="s">
        <v>3</v>
      </c>
      <c r="B48" s="49"/>
      <c r="C48" s="57">
        <f>COUNTIF(C6:C46,"7")</f>
        <v>0</v>
      </c>
      <c r="D48" s="80"/>
      <c r="E48" s="13"/>
      <c r="F48" s="13"/>
      <c r="G48" s="139">
        <f>COUNTIF(G6:G46,"No")</f>
        <v>0</v>
      </c>
    </row>
    <row r="49" spans="1:7" ht="15.75" thickBot="1">
      <c r="A49" s="49" t="s">
        <v>4</v>
      </c>
      <c r="B49" s="49"/>
      <c r="C49" s="5" t="s">
        <v>69</v>
      </c>
      <c r="D49" s="80"/>
      <c r="E49" s="13"/>
      <c r="F49" s="13"/>
      <c r="G49" s="137">
        <f>SUM(G47:G48)</f>
        <v>0</v>
      </c>
    </row>
    <row r="50" spans="1:7" ht="15.75" thickBot="1">
      <c r="A50" s="49" t="s">
        <v>5</v>
      </c>
      <c r="B50" s="49"/>
      <c r="C50" s="35">
        <f>COUNTIF(C6:C46,"10")</f>
        <v>0</v>
      </c>
      <c r="D50" s="80"/>
      <c r="E50" s="13"/>
      <c r="F50" s="13"/>
      <c r="G50" s="138" t="e">
        <f>G47/G49</f>
        <v>#DIV/0!</v>
      </c>
    </row>
  </sheetData>
  <sheetProtection/>
  <mergeCells count="2">
    <mergeCell ref="B2:C2"/>
    <mergeCell ref="A1:E1"/>
  </mergeCells>
  <dataValidations count="1">
    <dataValidation type="list" allowBlank="1" showInputMessage="1" showErrorMessage="1" sqref="C6:C46">
      <formula1>"7,10"</formula1>
    </dataValidation>
  </dataValidations>
  <printOptions/>
  <pageMargins left="0.7" right="0.7" top="0.75" bottom="0.75" header="0.3" footer="0.3"/>
  <pageSetup horizontalDpi="300" verticalDpi="300" orientation="landscape" paperSize="9" r:id="rId7"/>
  <legacyDrawing r:id="rId2"/>
  <tableParts>
    <tablePart r:id="rId4"/>
    <tablePart r:id="rId5"/>
    <tablePart r:id="rId6"/>
    <tablePart r:id="rId3"/>
  </tableParts>
</worksheet>
</file>

<file path=xl/worksheets/sheet6.xml><?xml version="1.0" encoding="utf-8"?>
<worksheet xmlns="http://schemas.openxmlformats.org/spreadsheetml/2006/main" xmlns:r="http://schemas.openxmlformats.org/officeDocument/2006/relationships">
  <sheetPr codeName="Sheet9">
    <tabColor rgb="FF92D050"/>
  </sheetPr>
  <dimension ref="A1:L50"/>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D2" sqref="D2"/>
    </sheetView>
  </sheetViews>
  <sheetFormatPr defaultColWidth="9.140625" defaultRowHeight="15"/>
  <cols>
    <col min="1" max="1" width="13.140625" style="0" customWidth="1"/>
    <col min="2" max="2" width="16.00390625" style="0" bestFit="1" customWidth="1"/>
    <col min="3" max="3" width="24.28125" style="0" bestFit="1" customWidth="1"/>
    <col min="4" max="4" width="16.00390625" style="0" bestFit="1" customWidth="1"/>
    <col min="5" max="5" width="24.28125" style="0" bestFit="1" customWidth="1"/>
    <col min="6" max="6" width="16.00390625" style="0" bestFit="1" customWidth="1"/>
    <col min="7" max="7" width="24.28125" style="0" bestFit="1" customWidth="1"/>
    <col min="8" max="8" width="16.00390625" style="0" bestFit="1" customWidth="1"/>
    <col min="9" max="9" width="24.28125" style="0" bestFit="1" customWidth="1"/>
    <col min="10" max="10" width="16.00390625" style="0" bestFit="1" customWidth="1"/>
  </cols>
  <sheetData>
    <row r="1" spans="1:6" ht="21.75" thickBot="1">
      <c r="A1" s="150" t="s">
        <v>108</v>
      </c>
      <c r="B1" s="151"/>
      <c r="C1" s="151"/>
      <c r="D1" s="151"/>
      <c r="E1" s="151"/>
      <c r="F1" s="152"/>
    </row>
    <row r="2" spans="1:12" ht="22.5" thickBot="1" thickTop="1">
      <c r="A2" s="31"/>
      <c r="B2" s="153" t="s">
        <v>46</v>
      </c>
      <c r="C2" s="154"/>
      <c r="D2" s="135"/>
      <c r="E2" s="30"/>
      <c r="F2" s="30"/>
      <c r="G2" s="30"/>
      <c r="H2" s="30"/>
      <c r="I2" s="30"/>
      <c r="J2" s="30"/>
      <c r="K2" s="30"/>
      <c r="L2" s="30"/>
    </row>
    <row r="3" spans="1:9" ht="22.5" thickBot="1" thickTop="1">
      <c r="A3" s="4"/>
      <c r="B3" s="30"/>
      <c r="C3" s="30"/>
      <c r="D3" s="30"/>
      <c r="E3" s="30"/>
      <c r="F3" s="30"/>
      <c r="G3" s="30"/>
      <c r="H3" s="30"/>
      <c r="I3" s="30"/>
    </row>
    <row r="4" spans="1:10" ht="15.75" thickBot="1">
      <c r="A4" s="7" t="s">
        <v>0</v>
      </c>
      <c r="B4" s="3" t="s">
        <v>61</v>
      </c>
      <c r="C4" s="3" t="s">
        <v>61</v>
      </c>
      <c r="D4" s="3" t="s">
        <v>61</v>
      </c>
      <c r="E4" s="3" t="s">
        <v>61</v>
      </c>
      <c r="F4" s="3" t="s">
        <v>61</v>
      </c>
      <c r="G4" s="3" t="s">
        <v>61</v>
      </c>
      <c r="H4" s="3" t="s">
        <v>61</v>
      </c>
      <c r="I4" s="3" t="s">
        <v>61</v>
      </c>
      <c r="J4" s="3" t="s">
        <v>61</v>
      </c>
    </row>
    <row r="5" spans="1:10" ht="77.25" thickBot="1">
      <c r="A5" s="7"/>
      <c r="B5" s="34" t="s">
        <v>57</v>
      </c>
      <c r="C5" s="34" t="s">
        <v>64</v>
      </c>
      <c r="D5" s="34" t="s">
        <v>62</v>
      </c>
      <c r="E5" s="34" t="s">
        <v>64</v>
      </c>
      <c r="F5" s="34" t="s">
        <v>58</v>
      </c>
      <c r="G5" s="34" t="s">
        <v>64</v>
      </c>
      <c r="H5" s="51" t="s">
        <v>63</v>
      </c>
      <c r="I5" s="34" t="s">
        <v>64</v>
      </c>
      <c r="J5" s="52" t="s">
        <v>59</v>
      </c>
    </row>
    <row r="6" spans="1:10" ht="15.75" thickBot="1">
      <c r="A6" s="9">
        <v>1</v>
      </c>
      <c r="B6" s="17"/>
      <c r="C6" s="17"/>
      <c r="D6" s="17"/>
      <c r="E6" s="17"/>
      <c r="F6" s="17"/>
      <c r="G6" s="48"/>
      <c r="H6" s="48"/>
      <c r="I6" s="48"/>
      <c r="J6" s="53"/>
    </row>
    <row r="7" spans="1:10" ht="15.75" thickBot="1">
      <c r="A7" s="9">
        <v>2</v>
      </c>
      <c r="B7" s="17"/>
      <c r="C7" s="17"/>
      <c r="D7" s="17"/>
      <c r="E7" s="17"/>
      <c r="F7" s="17"/>
      <c r="G7" s="48"/>
      <c r="H7" s="48"/>
      <c r="I7" s="48"/>
      <c r="J7" s="53"/>
    </row>
    <row r="8" spans="1:10" ht="15.75" thickBot="1">
      <c r="A8" s="9">
        <v>3</v>
      </c>
      <c r="B8" s="17"/>
      <c r="C8" s="17"/>
      <c r="D8" s="17"/>
      <c r="E8" s="17"/>
      <c r="F8" s="17"/>
      <c r="G8" s="48"/>
      <c r="H8" s="48"/>
      <c r="I8" s="48"/>
      <c r="J8" s="53"/>
    </row>
    <row r="9" spans="1:10" ht="15.75" thickBot="1">
      <c r="A9" s="9">
        <v>4</v>
      </c>
      <c r="B9" s="17"/>
      <c r="C9" s="17"/>
      <c r="D9" s="17"/>
      <c r="E9" s="17"/>
      <c r="F9" s="17"/>
      <c r="G9" s="48"/>
      <c r="H9" s="48"/>
      <c r="I9" s="48"/>
      <c r="J9" s="53"/>
    </row>
    <row r="10" spans="1:10" ht="15.75" thickBot="1">
      <c r="A10" s="9">
        <v>5</v>
      </c>
      <c r="B10" s="17"/>
      <c r="C10" s="17"/>
      <c r="D10" s="17"/>
      <c r="E10" s="17"/>
      <c r="F10" s="17"/>
      <c r="G10" s="48"/>
      <c r="H10" s="48"/>
      <c r="I10" s="48"/>
      <c r="J10" s="53"/>
    </row>
    <row r="11" spans="1:10" ht="15.75" thickBot="1">
      <c r="A11" s="9">
        <v>6</v>
      </c>
      <c r="B11" s="17"/>
      <c r="C11" s="17"/>
      <c r="D11" s="17"/>
      <c r="E11" s="17"/>
      <c r="F11" s="17"/>
      <c r="G11" s="48"/>
      <c r="H11" s="48"/>
      <c r="I11" s="48"/>
      <c r="J11" s="53"/>
    </row>
    <row r="12" spans="1:10" ht="15.75" thickBot="1">
      <c r="A12" s="9">
        <v>7</v>
      </c>
      <c r="B12" s="17"/>
      <c r="C12" s="17"/>
      <c r="D12" s="17"/>
      <c r="E12" s="17"/>
      <c r="F12" s="17"/>
      <c r="G12" s="48"/>
      <c r="H12" s="48"/>
      <c r="I12" s="48"/>
      <c r="J12" s="53"/>
    </row>
    <row r="13" spans="1:10" ht="15.75" thickBot="1">
      <c r="A13" s="9">
        <v>8</v>
      </c>
      <c r="B13" s="17"/>
      <c r="C13" s="17"/>
      <c r="D13" s="17"/>
      <c r="E13" s="17"/>
      <c r="F13" s="17"/>
      <c r="G13" s="48"/>
      <c r="H13" s="48"/>
      <c r="I13" s="48"/>
      <c r="J13" s="53"/>
    </row>
    <row r="14" spans="1:10" ht="15.75" thickBot="1">
      <c r="A14" s="9">
        <v>9</v>
      </c>
      <c r="B14" s="17"/>
      <c r="C14" s="17"/>
      <c r="D14" s="17"/>
      <c r="E14" s="17"/>
      <c r="F14" s="17"/>
      <c r="G14" s="48"/>
      <c r="H14" s="48"/>
      <c r="I14" s="48"/>
      <c r="J14" s="53"/>
    </row>
    <row r="15" spans="1:10" ht="15.75" thickBot="1">
      <c r="A15" s="9">
        <v>10</v>
      </c>
      <c r="B15" s="17"/>
      <c r="C15" s="17"/>
      <c r="D15" s="17"/>
      <c r="E15" s="17"/>
      <c r="F15" s="17"/>
      <c r="G15" s="48"/>
      <c r="H15" s="48"/>
      <c r="I15" s="48"/>
      <c r="J15" s="53"/>
    </row>
    <row r="16" spans="1:10" ht="15.75" thickBot="1">
      <c r="A16" s="9">
        <v>11</v>
      </c>
      <c r="B16" s="17"/>
      <c r="C16" s="17"/>
      <c r="D16" s="17"/>
      <c r="E16" s="17"/>
      <c r="F16" s="17"/>
      <c r="G16" s="48"/>
      <c r="H16" s="48"/>
      <c r="I16" s="48"/>
      <c r="J16" s="53"/>
    </row>
    <row r="17" spans="1:10" ht="15.75" thickBot="1">
      <c r="A17" s="9">
        <v>12</v>
      </c>
      <c r="B17" s="17"/>
      <c r="C17" s="17"/>
      <c r="D17" s="17"/>
      <c r="E17" s="17"/>
      <c r="F17" s="17"/>
      <c r="G17" s="48"/>
      <c r="H17" s="48"/>
      <c r="I17" s="48"/>
      <c r="J17" s="53"/>
    </row>
    <row r="18" spans="1:10" ht="15.75" thickBot="1">
      <c r="A18" s="9">
        <v>13</v>
      </c>
      <c r="B18" s="17"/>
      <c r="C18" s="17"/>
      <c r="D18" s="17"/>
      <c r="E18" s="17"/>
      <c r="F18" s="17"/>
      <c r="G18" s="48"/>
      <c r="H18" s="48"/>
      <c r="I18" s="48"/>
      <c r="J18" s="53"/>
    </row>
    <row r="19" spans="1:10" ht="15.75" thickBot="1">
      <c r="A19" s="9">
        <v>14</v>
      </c>
      <c r="B19" s="17"/>
      <c r="C19" s="17"/>
      <c r="D19" s="17"/>
      <c r="E19" s="17"/>
      <c r="F19" s="17"/>
      <c r="G19" s="48"/>
      <c r="H19" s="48"/>
      <c r="I19" s="48"/>
      <c r="J19" s="53"/>
    </row>
    <row r="20" spans="1:10" ht="15.75" thickBot="1">
      <c r="A20" s="9">
        <v>15</v>
      </c>
      <c r="B20" s="17"/>
      <c r="C20" s="17"/>
      <c r="D20" s="17"/>
      <c r="E20" s="17"/>
      <c r="F20" s="17"/>
      <c r="G20" s="48"/>
      <c r="H20" s="48"/>
      <c r="I20" s="48"/>
      <c r="J20" s="53"/>
    </row>
    <row r="21" spans="1:10" ht="15.75" thickBot="1">
      <c r="A21" s="9">
        <v>16</v>
      </c>
      <c r="B21" s="17"/>
      <c r="C21" s="17"/>
      <c r="D21" s="17"/>
      <c r="E21" s="17"/>
      <c r="F21" s="17"/>
      <c r="G21" s="48"/>
      <c r="H21" s="48"/>
      <c r="I21" s="48"/>
      <c r="J21" s="53"/>
    </row>
    <row r="22" spans="1:10" ht="15.75" thickBot="1">
      <c r="A22" s="9">
        <v>17</v>
      </c>
      <c r="B22" s="17"/>
      <c r="C22" s="17"/>
      <c r="D22" s="17"/>
      <c r="E22" s="17"/>
      <c r="F22" s="17"/>
      <c r="G22" s="48"/>
      <c r="H22" s="48"/>
      <c r="I22" s="48"/>
      <c r="J22" s="53"/>
    </row>
    <row r="23" spans="1:10" ht="15.75" thickBot="1">
      <c r="A23" s="9">
        <v>18</v>
      </c>
      <c r="B23" s="17"/>
      <c r="C23" s="17"/>
      <c r="D23" s="17"/>
      <c r="E23" s="17"/>
      <c r="F23" s="17"/>
      <c r="G23" s="48"/>
      <c r="H23" s="48"/>
      <c r="I23" s="48"/>
      <c r="J23" s="53"/>
    </row>
    <row r="24" spans="1:10" ht="15.75" thickBot="1">
      <c r="A24" s="9">
        <v>19</v>
      </c>
      <c r="B24" s="17"/>
      <c r="C24" s="17"/>
      <c r="D24" s="17"/>
      <c r="E24" s="17"/>
      <c r="F24" s="17"/>
      <c r="G24" s="48"/>
      <c r="H24" s="48"/>
      <c r="I24" s="48"/>
      <c r="J24" s="53"/>
    </row>
    <row r="25" spans="1:10" ht="15.75" thickBot="1">
      <c r="A25" s="26">
        <v>20</v>
      </c>
      <c r="B25" s="17"/>
      <c r="C25" s="17"/>
      <c r="D25" s="17"/>
      <c r="E25" s="17"/>
      <c r="F25" s="17"/>
      <c r="G25" s="48"/>
      <c r="H25" s="48"/>
      <c r="I25" s="48"/>
      <c r="J25" s="53"/>
    </row>
    <row r="26" spans="1:10" ht="15.75" thickBot="1">
      <c r="A26" s="9">
        <v>21</v>
      </c>
      <c r="B26" s="17"/>
      <c r="C26" s="17"/>
      <c r="D26" s="17"/>
      <c r="E26" s="17"/>
      <c r="F26" s="17"/>
      <c r="G26" s="48"/>
      <c r="H26" s="48"/>
      <c r="I26" s="48"/>
      <c r="J26" s="53"/>
    </row>
    <row r="27" spans="1:10" ht="15.75" thickBot="1">
      <c r="A27" s="9">
        <v>22</v>
      </c>
      <c r="B27" s="17"/>
      <c r="C27" s="17"/>
      <c r="D27" s="17"/>
      <c r="E27" s="17"/>
      <c r="F27" s="17"/>
      <c r="G27" s="48"/>
      <c r="H27" s="48"/>
      <c r="I27" s="48"/>
      <c r="J27" s="53"/>
    </row>
    <row r="28" spans="1:10" ht="15.75" thickBot="1">
      <c r="A28" s="9">
        <v>23</v>
      </c>
      <c r="B28" s="17"/>
      <c r="C28" s="17"/>
      <c r="D28" s="17"/>
      <c r="E28" s="17"/>
      <c r="F28" s="17"/>
      <c r="G28" s="48"/>
      <c r="H28" s="48"/>
      <c r="I28" s="48"/>
      <c r="J28" s="53"/>
    </row>
    <row r="29" spans="1:10" ht="15.75" thickBot="1">
      <c r="A29" s="9">
        <v>24</v>
      </c>
      <c r="B29" s="17"/>
      <c r="C29" s="17"/>
      <c r="D29" s="17"/>
      <c r="E29" s="17"/>
      <c r="F29" s="17"/>
      <c r="G29" s="48"/>
      <c r="H29" s="48"/>
      <c r="I29" s="48"/>
      <c r="J29" s="53"/>
    </row>
    <row r="30" spans="1:10" ht="15.75" thickBot="1">
      <c r="A30" s="9">
        <v>25</v>
      </c>
      <c r="B30" s="17"/>
      <c r="C30" s="17"/>
      <c r="D30" s="17"/>
      <c r="E30" s="17"/>
      <c r="F30" s="17"/>
      <c r="G30" s="48"/>
      <c r="H30" s="48"/>
      <c r="I30" s="48"/>
      <c r="J30" s="53"/>
    </row>
    <row r="31" spans="1:10" ht="15.75" thickBot="1">
      <c r="A31" s="9">
        <v>26</v>
      </c>
      <c r="B31" s="17"/>
      <c r="C31" s="17"/>
      <c r="D31" s="17"/>
      <c r="E31" s="17"/>
      <c r="F31" s="17"/>
      <c r="G31" s="48"/>
      <c r="H31" s="48"/>
      <c r="I31" s="48"/>
      <c r="J31" s="53"/>
    </row>
    <row r="32" spans="1:10" ht="15.75" thickBot="1">
      <c r="A32" s="9">
        <v>27</v>
      </c>
      <c r="B32" s="17"/>
      <c r="C32" s="17"/>
      <c r="D32" s="17"/>
      <c r="E32" s="17"/>
      <c r="F32" s="17"/>
      <c r="G32" s="48"/>
      <c r="H32" s="48"/>
      <c r="I32" s="48"/>
      <c r="J32" s="53"/>
    </row>
    <row r="33" spans="1:10" ht="15.75" thickBot="1">
      <c r="A33" s="9">
        <v>28</v>
      </c>
      <c r="B33" s="17"/>
      <c r="C33" s="17"/>
      <c r="D33" s="17"/>
      <c r="E33" s="17"/>
      <c r="F33" s="17"/>
      <c r="G33" s="48"/>
      <c r="H33" s="48"/>
      <c r="I33" s="48"/>
      <c r="J33" s="53"/>
    </row>
    <row r="34" spans="1:10" ht="15.75" thickBot="1">
      <c r="A34" s="9">
        <v>29</v>
      </c>
      <c r="B34" s="17"/>
      <c r="C34" s="17"/>
      <c r="D34" s="17"/>
      <c r="E34" s="17"/>
      <c r="F34" s="17"/>
      <c r="G34" s="48"/>
      <c r="H34" s="48"/>
      <c r="I34" s="48"/>
      <c r="J34" s="53"/>
    </row>
    <row r="35" spans="1:10" ht="15.75" thickBot="1">
      <c r="A35" s="27">
        <v>30</v>
      </c>
      <c r="B35" s="17"/>
      <c r="C35" s="17"/>
      <c r="D35" s="17"/>
      <c r="E35" s="17"/>
      <c r="F35" s="17"/>
      <c r="G35" s="48"/>
      <c r="H35" s="48"/>
      <c r="I35" s="48"/>
      <c r="J35" s="53"/>
    </row>
    <row r="36" spans="1:10" ht="15.75" thickBot="1">
      <c r="A36" s="27">
        <v>31</v>
      </c>
      <c r="B36" s="17"/>
      <c r="C36" s="17"/>
      <c r="D36" s="17"/>
      <c r="E36" s="17"/>
      <c r="F36" s="17"/>
      <c r="G36" s="48"/>
      <c r="H36" s="48"/>
      <c r="I36" s="48"/>
      <c r="J36" s="53"/>
    </row>
    <row r="37" spans="1:10" ht="15.75" thickBot="1">
      <c r="A37" s="27">
        <v>32</v>
      </c>
      <c r="B37" s="17"/>
      <c r="C37" s="17"/>
      <c r="D37" s="17"/>
      <c r="E37" s="17"/>
      <c r="F37" s="17"/>
      <c r="G37" s="48"/>
      <c r="H37" s="48"/>
      <c r="I37" s="48"/>
      <c r="J37" s="53"/>
    </row>
    <row r="38" spans="1:10" ht="15.75" thickBot="1">
      <c r="A38" s="27">
        <v>33</v>
      </c>
      <c r="B38" s="17"/>
      <c r="C38" s="17"/>
      <c r="D38" s="17"/>
      <c r="E38" s="17"/>
      <c r="F38" s="17"/>
      <c r="G38" s="48"/>
      <c r="H38" s="48"/>
      <c r="I38" s="48"/>
      <c r="J38" s="53"/>
    </row>
    <row r="39" spans="1:10" ht="15.75" thickBot="1">
      <c r="A39" s="27">
        <v>34</v>
      </c>
      <c r="B39" s="17"/>
      <c r="C39" s="17"/>
      <c r="D39" s="17"/>
      <c r="E39" s="17"/>
      <c r="F39" s="17"/>
      <c r="G39" s="48"/>
      <c r="H39" s="48"/>
      <c r="I39" s="48"/>
      <c r="J39" s="53"/>
    </row>
    <row r="40" spans="1:10" ht="15.75" thickBot="1">
      <c r="A40" s="27">
        <v>35</v>
      </c>
      <c r="B40" s="17"/>
      <c r="C40" s="17"/>
      <c r="D40" s="17"/>
      <c r="E40" s="17"/>
      <c r="F40" s="17"/>
      <c r="G40" s="48"/>
      <c r="H40" s="48"/>
      <c r="I40" s="48"/>
      <c r="J40" s="53"/>
    </row>
    <row r="41" spans="1:10" ht="15.75" thickBot="1">
      <c r="A41" s="27">
        <v>36</v>
      </c>
      <c r="B41" s="17"/>
      <c r="C41" s="17"/>
      <c r="D41" s="17"/>
      <c r="E41" s="17"/>
      <c r="F41" s="17"/>
      <c r="G41" s="48"/>
      <c r="H41" s="48"/>
      <c r="I41" s="48"/>
      <c r="J41" s="53"/>
    </row>
    <row r="42" spans="1:10" ht="15.75" thickBot="1">
      <c r="A42" s="27">
        <v>37</v>
      </c>
      <c r="B42" s="17"/>
      <c r="C42" s="17"/>
      <c r="D42" s="17"/>
      <c r="E42" s="17"/>
      <c r="F42" s="17"/>
      <c r="G42" s="48"/>
      <c r="H42" s="48"/>
      <c r="I42" s="48"/>
      <c r="J42" s="53"/>
    </row>
    <row r="43" spans="1:10" ht="15.75" thickBot="1">
      <c r="A43" s="27">
        <v>38</v>
      </c>
      <c r="B43" s="17"/>
      <c r="C43" s="17"/>
      <c r="D43" s="17"/>
      <c r="E43" s="17"/>
      <c r="F43" s="17"/>
      <c r="G43" s="48"/>
      <c r="H43" s="48"/>
      <c r="I43" s="48"/>
      <c r="J43" s="53"/>
    </row>
    <row r="44" spans="1:10" ht="15.75" thickBot="1">
      <c r="A44" s="27">
        <v>39</v>
      </c>
      <c r="B44" s="17"/>
      <c r="C44" s="17"/>
      <c r="D44" s="17"/>
      <c r="E44" s="17"/>
      <c r="F44" s="17"/>
      <c r="G44" s="48"/>
      <c r="H44" s="48"/>
      <c r="I44" s="48"/>
      <c r="J44" s="53"/>
    </row>
    <row r="45" spans="1:10" ht="15.75" thickBot="1">
      <c r="A45" s="27">
        <v>40</v>
      </c>
      <c r="B45" s="17"/>
      <c r="C45" s="17"/>
      <c r="D45" s="17"/>
      <c r="E45" s="17"/>
      <c r="F45" s="17"/>
      <c r="G45" s="48"/>
      <c r="H45" s="48"/>
      <c r="I45" s="48"/>
      <c r="J45" s="53"/>
    </row>
    <row r="46" spans="1:10" ht="15.75" thickBot="1">
      <c r="A46" s="24" t="s">
        <v>150</v>
      </c>
      <c r="B46" s="17"/>
      <c r="C46" s="17"/>
      <c r="D46" s="17"/>
      <c r="E46" s="17"/>
      <c r="F46" s="17"/>
      <c r="G46" s="48"/>
      <c r="H46" s="48"/>
      <c r="I46" s="48"/>
      <c r="J46" s="53"/>
    </row>
    <row r="47" spans="1:10" ht="15.75" thickBot="1">
      <c r="A47" s="5" t="s">
        <v>2</v>
      </c>
      <c r="B47" s="84">
        <f>COUNTIF(womanmort,"Yes")</f>
        <v>0</v>
      </c>
      <c r="C47" s="85"/>
      <c r="D47" s="84">
        <f>COUNTIF(womanmorb,"Yes")</f>
        <v>0</v>
      </c>
      <c r="E47" s="85"/>
      <c r="F47" s="84">
        <f>COUNTIF(babymort,"Yes")</f>
        <v>0</v>
      </c>
      <c r="G47" s="86"/>
      <c r="H47" s="87">
        <f>COUNTIF(babymorb,"yes")</f>
        <v>0</v>
      </c>
      <c r="I47" s="86"/>
      <c r="J47" s="88">
        <f>COUNTIF(confenq,"Yes")</f>
        <v>0</v>
      </c>
    </row>
    <row r="48" spans="1:10" ht="15.75" thickBot="1">
      <c r="A48" s="5" t="s">
        <v>3</v>
      </c>
      <c r="B48" s="84">
        <f>COUNTIF(womanmort,"No")</f>
        <v>0</v>
      </c>
      <c r="C48" s="85"/>
      <c r="D48" s="84">
        <f>COUNTIF(womanmorb,"No")</f>
        <v>0</v>
      </c>
      <c r="E48" s="85"/>
      <c r="F48" s="84">
        <f>COUNTIF(babymort,"No")</f>
        <v>0</v>
      </c>
      <c r="G48" s="86"/>
      <c r="H48" s="89">
        <f>COUNTIF(babymorb,"No")</f>
        <v>0</v>
      </c>
      <c r="I48" s="86"/>
      <c r="J48" s="88">
        <f>COUNTIF(confenq,"No")</f>
        <v>0</v>
      </c>
    </row>
    <row r="49" spans="1:10" ht="15.75" thickBot="1">
      <c r="A49" s="5" t="s">
        <v>4</v>
      </c>
      <c r="B49" s="5">
        <f>SUM(B47:B48)</f>
        <v>0</v>
      </c>
      <c r="C49" s="5"/>
      <c r="D49" s="5">
        <f>SUM(D47:D48)</f>
        <v>0</v>
      </c>
      <c r="E49" s="5"/>
      <c r="F49" s="5">
        <f>SUM(F47:F48)</f>
        <v>0</v>
      </c>
      <c r="G49" s="49"/>
      <c r="H49" s="83">
        <f>SUM(H47:H48)</f>
        <v>0</v>
      </c>
      <c r="I49" s="49"/>
      <c r="J49" s="5">
        <f>SUM(J47:J48)</f>
        <v>0</v>
      </c>
    </row>
    <row r="50" spans="1:10" ht="15.75" thickBot="1">
      <c r="A50" s="5" t="s">
        <v>5</v>
      </c>
      <c r="B50" s="6" t="e">
        <f>B47/B49</f>
        <v>#DIV/0!</v>
      </c>
      <c r="C50" s="5"/>
      <c r="D50" s="6" t="e">
        <f>D47/D49</f>
        <v>#DIV/0!</v>
      </c>
      <c r="E50" s="5"/>
      <c r="F50" s="6" t="e">
        <f>F47/F49</f>
        <v>#DIV/0!</v>
      </c>
      <c r="G50" s="49"/>
      <c r="H50" s="50" t="e">
        <f>H47/H49</f>
        <v>#DIV/0!</v>
      </c>
      <c r="I50" s="49"/>
      <c r="J50" s="37"/>
    </row>
  </sheetData>
  <sheetProtection/>
  <mergeCells count="2">
    <mergeCell ref="A1:F1"/>
    <mergeCell ref="B2:C2"/>
  </mergeCells>
  <dataValidations count="2">
    <dataValidation type="list" allowBlank="1" showInputMessage="1" showErrorMessage="1" sqref="H6:I46 D6:D46 B6:B46 F6:F46">
      <formula1>"Yes,No"</formula1>
    </dataValidation>
    <dataValidation type="list" allowBlank="1" showInputMessage="1" showErrorMessage="1" sqref="J6:J46">
      <formula1>"Yes,No,Not applicable"</formula1>
    </dataValidation>
  </dataValidations>
  <printOptions/>
  <pageMargins left="0.7" right="0.7" top="0.75" bottom="0.75" header="0.3" footer="0.3"/>
  <pageSetup horizontalDpi="300" verticalDpi="300" orientation="landscape" paperSize="9" r:id="rId3"/>
  <legacyDrawing r:id="rId2"/>
</worksheet>
</file>

<file path=xl/worksheets/sheet7.xml><?xml version="1.0" encoding="utf-8"?>
<worksheet xmlns="http://schemas.openxmlformats.org/spreadsheetml/2006/main" xmlns:r="http://schemas.openxmlformats.org/officeDocument/2006/relationships">
  <sheetPr codeName="Sheet10"/>
  <dimension ref="A1:O44"/>
  <sheetViews>
    <sheetView showGridLines="0" zoomScalePageLayoutView="0" workbookViewId="0" topLeftCell="A7">
      <selection activeCell="A2" sqref="A2"/>
    </sheetView>
  </sheetViews>
  <sheetFormatPr defaultColWidth="9.140625" defaultRowHeight="15"/>
  <cols>
    <col min="1" max="1" width="39.421875" style="0" customWidth="1"/>
    <col min="2" max="2" width="20.421875" style="0" bestFit="1" customWidth="1"/>
    <col min="3" max="3" width="6.8515625" style="0" customWidth="1"/>
    <col min="4" max="4" width="34.57421875" style="0" customWidth="1"/>
    <col min="5" max="5" width="12.7109375" style="0" customWidth="1"/>
    <col min="6" max="6" width="9.421875" style="0" customWidth="1"/>
    <col min="7" max="7" width="29.57421875" style="0" customWidth="1"/>
    <col min="8" max="8" width="12.00390625" style="60" customWidth="1"/>
    <col min="10" max="10" width="29.57421875" style="0" customWidth="1"/>
    <col min="11" max="11" width="11.7109375" style="0" customWidth="1"/>
  </cols>
  <sheetData>
    <row r="1" spans="1:4" ht="21">
      <c r="A1" s="157" t="s">
        <v>121</v>
      </c>
      <c r="B1" s="158"/>
      <c r="C1" s="158"/>
      <c r="D1" s="158"/>
    </row>
    <row r="2" spans="1:15" ht="21.75" thickBot="1">
      <c r="A2" s="73"/>
      <c r="B2" s="73"/>
      <c r="C2" s="73"/>
      <c r="G2" s="60"/>
      <c r="H2"/>
      <c r="J2" s="13"/>
      <c r="K2" s="13"/>
      <c r="L2" s="13"/>
      <c r="M2" s="13"/>
      <c r="N2" s="13"/>
      <c r="O2" s="13"/>
    </row>
    <row r="3" spans="1:13" ht="46.5" customHeight="1" thickBot="1">
      <c r="A3" s="161" t="s">
        <v>177</v>
      </c>
      <c r="B3" s="162"/>
      <c r="C3" s="91"/>
      <c r="D3" s="163" t="s">
        <v>88</v>
      </c>
      <c r="E3" s="164"/>
      <c r="F3" s="13"/>
      <c r="G3" s="13"/>
      <c r="H3" s="13"/>
      <c r="I3" s="148"/>
      <c r="J3" s="148"/>
      <c r="K3" s="148"/>
      <c r="L3" s="148"/>
      <c r="M3" s="142"/>
    </row>
    <row r="4" spans="1:14" ht="30">
      <c r="A4" s="105" t="s">
        <v>114</v>
      </c>
      <c r="B4" s="62" t="s">
        <v>73</v>
      </c>
      <c r="C4" s="62"/>
      <c r="D4" s="60" t="s">
        <v>77</v>
      </c>
      <c r="E4" s="60" t="s">
        <v>73</v>
      </c>
      <c r="F4" s="13"/>
      <c r="G4" s="144"/>
      <c r="H4" s="146"/>
      <c r="I4" s="142"/>
      <c r="J4" s="142"/>
      <c r="K4" s="142"/>
      <c r="L4" s="142"/>
      <c r="M4" s="142"/>
      <c r="N4" s="13"/>
    </row>
    <row r="5" spans="1:14" ht="15">
      <c r="A5" s="61" t="s">
        <v>47</v>
      </c>
      <c r="B5" s="63">
        <f>'Complex social factors'!D48</f>
        <v>0</v>
      </c>
      <c r="C5" s="143"/>
      <c r="D5" s="63">
        <v>1</v>
      </c>
      <c r="E5" s="66">
        <f>COUNTIF('Complex social factors'!N7:N47,"1")</f>
        <v>0</v>
      </c>
      <c r="F5" s="13"/>
      <c r="G5" s="149" t="s">
        <v>147</v>
      </c>
      <c r="H5" s="145"/>
      <c r="I5" s="141"/>
      <c r="J5" s="141"/>
      <c r="K5" s="141"/>
      <c r="L5" s="141"/>
      <c r="M5" s="141"/>
      <c r="N5" s="13"/>
    </row>
    <row r="6" spans="1:14" ht="15">
      <c r="A6" s="102" t="s">
        <v>93</v>
      </c>
      <c r="B6" s="63">
        <f>'Complex social factors'!E48</f>
        <v>0</v>
      </c>
      <c r="C6" s="143"/>
      <c r="D6" s="63">
        <v>2</v>
      </c>
      <c r="E6" s="66">
        <f>COUNTIF('Complex social factors'!N7:N47,"2")</f>
        <v>0</v>
      </c>
      <c r="F6" s="13"/>
      <c r="G6" s="147"/>
      <c r="H6" s="146"/>
      <c r="I6" s="142"/>
      <c r="J6" s="142"/>
      <c r="K6" s="142"/>
      <c r="L6" s="142"/>
      <c r="M6" s="142"/>
      <c r="N6" s="13"/>
    </row>
    <row r="7" spans="1:14" ht="15">
      <c r="A7" s="103" t="s">
        <v>48</v>
      </c>
      <c r="B7" s="63">
        <f>'Complex social factors'!F48</f>
        <v>0</v>
      </c>
      <c r="C7" s="143"/>
      <c r="D7" s="63">
        <v>3</v>
      </c>
      <c r="E7" s="66">
        <f>COUNTIF('Complex social factors'!N7:N47,"3")</f>
        <v>0</v>
      </c>
      <c r="F7" s="13"/>
      <c r="H7"/>
      <c r="N7" s="13"/>
    </row>
    <row r="8" spans="1:14" ht="15">
      <c r="A8" s="104" t="s">
        <v>49</v>
      </c>
      <c r="B8" s="63">
        <f>'Complex social factors'!G48</f>
        <v>0</v>
      </c>
      <c r="C8" s="143"/>
      <c r="D8" s="63">
        <v>4</v>
      </c>
      <c r="E8" s="66">
        <f>COUNTIF('Complex social factors'!N7:N47,"4")</f>
        <v>0</v>
      </c>
      <c r="H8"/>
      <c r="N8" s="13"/>
    </row>
    <row r="9" spans="1:8" ht="15.75" customHeight="1">
      <c r="A9" s="104" t="s">
        <v>113</v>
      </c>
      <c r="B9" s="63">
        <f>'Complex social factors'!H48</f>
        <v>0</v>
      </c>
      <c r="C9" s="143"/>
      <c r="D9" s="63">
        <v>5</v>
      </c>
      <c r="E9" s="66">
        <f>COUNTIF('Complex social factors'!N7:N47,"5")</f>
        <v>0</v>
      </c>
      <c r="H9"/>
    </row>
    <row r="10" spans="1:8" ht="18" customHeight="1">
      <c r="A10" s="104" t="s">
        <v>51</v>
      </c>
      <c r="B10" s="63">
        <f>'Complex social factors'!I48</f>
        <v>0</v>
      </c>
      <c r="C10" s="143"/>
      <c r="D10" s="63" t="s">
        <v>178</v>
      </c>
      <c r="E10" s="66">
        <f>COUNTIF('Complex social factors'!N7:N47,"&gt;5")</f>
        <v>0</v>
      </c>
      <c r="H10"/>
    </row>
    <row r="11" spans="1:8" ht="16.5" customHeight="1">
      <c r="A11" s="104" t="s">
        <v>109</v>
      </c>
      <c r="B11" s="63">
        <f>'Complex social factors'!J48</f>
        <v>0</v>
      </c>
      <c r="C11" s="143"/>
      <c r="E11" s="60"/>
      <c r="H11"/>
    </row>
    <row r="12" spans="1:8" ht="15">
      <c r="A12" s="104" t="s">
        <v>94</v>
      </c>
      <c r="B12" s="63">
        <f>'Complex social factors'!K48</f>
        <v>0</v>
      </c>
      <c r="C12" s="143"/>
      <c r="E12" s="60"/>
      <c r="H12"/>
    </row>
    <row r="13" spans="1:8" ht="15">
      <c r="A13" s="64" t="s">
        <v>53</v>
      </c>
      <c r="B13" s="63">
        <f>'Complex social factors'!M48</f>
        <v>0</v>
      </c>
      <c r="C13" s="143"/>
      <c r="E13" s="60"/>
      <c r="H13"/>
    </row>
    <row r="14" spans="2:8" ht="15">
      <c r="B14" s="63"/>
      <c r="C14" s="143"/>
      <c r="E14" s="60"/>
      <c r="H14"/>
    </row>
    <row r="15" spans="3:8" ht="15">
      <c r="C15" s="13"/>
      <c r="E15" s="60"/>
      <c r="H15"/>
    </row>
    <row r="16" spans="5:8" ht="15.75" thickBot="1">
      <c r="E16" s="60"/>
      <c r="H16"/>
    </row>
    <row r="17" spans="1:8" ht="15.75" thickBot="1">
      <c r="A17" s="117" t="s">
        <v>140</v>
      </c>
      <c r="B17" s="118"/>
      <c r="E17" s="60"/>
      <c r="H17"/>
    </row>
    <row r="18" spans="1:8" ht="15">
      <c r="A18" t="s">
        <v>141</v>
      </c>
      <c r="B18" t="s">
        <v>73</v>
      </c>
      <c r="E18" s="60"/>
      <c r="H18"/>
    </row>
    <row r="19" spans="1:8" ht="15">
      <c r="A19" t="s">
        <v>142</v>
      </c>
      <c r="B19" s="119">
        <f>Appointments!J6</f>
        <v>0</v>
      </c>
      <c r="E19" s="60"/>
      <c r="H19"/>
    </row>
    <row r="20" spans="1:8" ht="17.25">
      <c r="A20" t="s">
        <v>144</v>
      </c>
      <c r="B20" s="119">
        <f>Appointments!J7</f>
        <v>0</v>
      </c>
      <c r="E20" s="60"/>
      <c r="H20"/>
    </row>
    <row r="21" spans="1:8" ht="15">
      <c r="A21" t="s">
        <v>143</v>
      </c>
      <c r="B21" s="119">
        <f>Appointments!J8</f>
        <v>0</v>
      </c>
      <c r="E21" s="60"/>
      <c r="H21"/>
    </row>
    <row r="22" spans="1:8" ht="15">
      <c r="A22" t="s">
        <v>145</v>
      </c>
      <c r="B22" s="119">
        <f>Appointments!J9</f>
        <v>0</v>
      </c>
      <c r="E22" s="60"/>
      <c r="H22"/>
    </row>
    <row r="23" spans="5:9" ht="15">
      <c r="E23" s="13"/>
      <c r="H23"/>
      <c r="I23" s="60"/>
    </row>
    <row r="24" ht="15.75" thickBot="1"/>
    <row r="25" spans="1:8" ht="15.75" thickBot="1">
      <c r="A25" s="159" t="s">
        <v>89</v>
      </c>
      <c r="B25" s="160"/>
      <c r="C25" s="92"/>
      <c r="D25" s="159" t="s">
        <v>74</v>
      </c>
      <c r="E25" s="160"/>
      <c r="G25" s="159" t="s">
        <v>75</v>
      </c>
      <c r="H25" s="160"/>
    </row>
    <row r="26" spans="1:8" ht="30">
      <c r="A26" s="59" t="s">
        <v>71</v>
      </c>
      <c r="B26" s="60" t="s">
        <v>73</v>
      </c>
      <c r="C26" s="60"/>
      <c r="D26" s="65" t="s">
        <v>74</v>
      </c>
      <c r="E26" s="60" t="s">
        <v>73</v>
      </c>
      <c r="G26" s="65" t="s">
        <v>75</v>
      </c>
      <c r="H26" s="60" t="s">
        <v>73</v>
      </c>
    </row>
    <row r="27" spans="1:8" ht="15">
      <c r="A27" s="101" t="s">
        <v>115</v>
      </c>
      <c r="B27" s="90">
        <f>COUNTIF(scheduled,"&lt;7")</f>
        <v>0</v>
      </c>
      <c r="C27" s="90"/>
      <c r="D27" s="101" t="s">
        <v>111</v>
      </c>
      <c r="E27" s="63">
        <f>COUNTIF(attended,"&lt;7")</f>
        <v>0</v>
      </c>
      <c r="F27" s="63"/>
      <c r="G27" s="58">
        <v>0</v>
      </c>
      <c r="H27" s="63">
        <f>COUNTIF(missed,"0")</f>
        <v>0</v>
      </c>
    </row>
    <row r="28" spans="1:8" ht="15">
      <c r="A28" s="58">
        <v>7</v>
      </c>
      <c r="B28" s="90">
        <f>COUNTIF(scheduled,"7")</f>
        <v>0</v>
      </c>
      <c r="C28" s="90"/>
      <c r="D28" s="58">
        <v>7</v>
      </c>
      <c r="E28" s="63">
        <f>COUNTIF(attended,"7")</f>
        <v>0</v>
      </c>
      <c r="F28" s="63"/>
      <c r="G28" s="58">
        <v>1</v>
      </c>
      <c r="H28" s="63">
        <f>COUNTIF(missed,"1")</f>
        <v>0</v>
      </c>
    </row>
    <row r="29" spans="1:8" ht="15">
      <c r="A29" s="58">
        <v>8</v>
      </c>
      <c r="B29" s="90">
        <f>COUNTIF(scheduled,"8")</f>
        <v>0</v>
      </c>
      <c r="C29" s="90"/>
      <c r="D29" s="58">
        <v>8</v>
      </c>
      <c r="E29" s="63">
        <f>COUNTIF(attended,"8")</f>
        <v>0</v>
      </c>
      <c r="F29" s="63"/>
      <c r="G29" s="58">
        <v>2</v>
      </c>
      <c r="H29" s="63">
        <f>COUNTIF(missed,"2")</f>
        <v>0</v>
      </c>
    </row>
    <row r="30" spans="1:8" ht="15">
      <c r="A30" s="58">
        <v>9</v>
      </c>
      <c r="B30" s="90">
        <f>COUNTIF(scheduled,"9")</f>
        <v>0</v>
      </c>
      <c r="C30" s="90"/>
      <c r="D30" s="58">
        <v>9</v>
      </c>
      <c r="E30" s="63">
        <f>COUNTIF(attended,"9")</f>
        <v>0</v>
      </c>
      <c r="F30" s="63"/>
      <c r="G30" s="58">
        <v>3</v>
      </c>
      <c r="H30" s="63">
        <f>COUNTIF(missed,"3")</f>
        <v>0</v>
      </c>
    </row>
    <row r="31" spans="1:8" ht="15">
      <c r="A31" s="58">
        <v>10</v>
      </c>
      <c r="B31" s="90">
        <f>COUNTIF(scheduled,"10")</f>
        <v>0</v>
      </c>
      <c r="C31" s="90"/>
      <c r="D31" s="58">
        <v>10</v>
      </c>
      <c r="E31" s="63">
        <f>COUNTIF(attended,"10")</f>
        <v>0</v>
      </c>
      <c r="F31" s="63"/>
      <c r="G31" s="58">
        <v>4</v>
      </c>
      <c r="H31" s="63">
        <f>COUNTIF(missed,"4")</f>
        <v>0</v>
      </c>
    </row>
    <row r="32" spans="1:8" ht="15">
      <c r="A32" s="58">
        <v>11</v>
      </c>
      <c r="B32" s="90">
        <f>COUNTIF(scheduled,"11")</f>
        <v>0</v>
      </c>
      <c r="C32" s="90"/>
      <c r="D32" s="58">
        <v>11</v>
      </c>
      <c r="E32" s="63">
        <f>COUNTIF(attended,"11")</f>
        <v>0</v>
      </c>
      <c r="F32" s="63"/>
      <c r="G32" s="58">
        <v>5</v>
      </c>
      <c r="H32" s="63">
        <f>COUNTIF(missed,"5")</f>
        <v>0</v>
      </c>
    </row>
    <row r="33" spans="1:8" ht="15">
      <c r="A33" s="58">
        <v>12</v>
      </c>
      <c r="B33" s="90">
        <f>COUNTIF(scheduled,"12")</f>
        <v>0</v>
      </c>
      <c r="C33" s="90"/>
      <c r="D33" s="58">
        <v>12</v>
      </c>
      <c r="E33" s="63">
        <f>COUNTIF(attended,"12")</f>
        <v>0</v>
      </c>
      <c r="F33" s="63"/>
      <c r="G33" s="58">
        <v>6</v>
      </c>
      <c r="H33" s="63">
        <f>COUNTIF(missed,"6")</f>
        <v>0</v>
      </c>
    </row>
    <row r="34" spans="1:8" ht="15">
      <c r="A34" s="58">
        <v>13</v>
      </c>
      <c r="B34" s="90">
        <f>COUNTIF(scheduled,"13")</f>
        <v>0</v>
      </c>
      <c r="C34" s="90"/>
      <c r="D34" s="58">
        <v>13</v>
      </c>
      <c r="E34" s="63">
        <f>COUNTIF(attended,"13")</f>
        <v>0</v>
      </c>
      <c r="F34" s="63"/>
      <c r="G34" s="58">
        <v>7</v>
      </c>
      <c r="H34" s="63">
        <f>COUNTIF(missed,"7")</f>
        <v>0</v>
      </c>
    </row>
    <row r="35" spans="1:8" ht="15">
      <c r="A35" s="58">
        <v>14</v>
      </c>
      <c r="B35" s="90">
        <f>COUNTIF(scheduled,"14")</f>
        <v>0</v>
      </c>
      <c r="C35" s="90"/>
      <c r="D35" s="58">
        <v>14</v>
      </c>
      <c r="E35" s="63">
        <f>COUNTIF(attended,"14")</f>
        <v>0</v>
      </c>
      <c r="F35" s="63"/>
      <c r="G35" s="58" t="s">
        <v>76</v>
      </c>
      <c r="H35" s="63">
        <f>COUNTIF(missed,"&gt;7")</f>
        <v>0</v>
      </c>
    </row>
    <row r="36" spans="1:6" ht="15">
      <c r="A36" s="58" t="s">
        <v>70</v>
      </c>
      <c r="B36" s="90">
        <f>COUNTIF(scheduled,"&gt;14")</f>
        <v>0</v>
      </c>
      <c r="C36" s="90"/>
      <c r="D36" s="58" t="s">
        <v>70</v>
      </c>
      <c r="E36" s="63">
        <f>COUNTIF(attended,"&gt;14")</f>
        <v>0</v>
      </c>
      <c r="F36" s="63"/>
    </row>
    <row r="37" ht="15.75" thickBot="1"/>
    <row r="38" spans="1:2" ht="15.75" thickBot="1">
      <c r="A38" s="159" t="s">
        <v>90</v>
      </c>
      <c r="B38" s="160"/>
    </row>
    <row r="39" spans="1:2" ht="15">
      <c r="A39" s="60" t="s">
        <v>67</v>
      </c>
      <c r="B39" t="s">
        <v>72</v>
      </c>
    </row>
    <row r="40" spans="1:2" ht="30">
      <c r="A40" s="98" t="s">
        <v>116</v>
      </c>
      <c r="B40">
        <f>'Mortality and morbidity'!B47</f>
        <v>0</v>
      </c>
    </row>
    <row r="41" spans="1:2" ht="30">
      <c r="A41" s="98" t="s">
        <v>117</v>
      </c>
      <c r="B41">
        <f>'Mortality and morbidity'!D47</f>
        <v>0</v>
      </c>
    </row>
    <row r="42" spans="1:2" ht="30">
      <c r="A42" s="98" t="s">
        <v>118</v>
      </c>
      <c r="B42">
        <f>'Mortality and morbidity'!F47</f>
        <v>0</v>
      </c>
    </row>
    <row r="43" spans="1:2" ht="30">
      <c r="A43" s="98" t="s">
        <v>119</v>
      </c>
      <c r="B43">
        <f>'Mortality and morbidity'!H47</f>
        <v>0</v>
      </c>
    </row>
    <row r="44" spans="1:2" ht="30">
      <c r="A44" s="98" t="s">
        <v>120</v>
      </c>
      <c r="B44">
        <f>'Mortality and morbidity'!J47</f>
        <v>0</v>
      </c>
    </row>
  </sheetData>
  <sheetProtection/>
  <mergeCells count="7">
    <mergeCell ref="G25:H25"/>
    <mergeCell ref="A1:D1"/>
    <mergeCell ref="A38:B38"/>
    <mergeCell ref="A3:B3"/>
    <mergeCell ref="D3:E3"/>
    <mergeCell ref="A25:B25"/>
    <mergeCell ref="D25:E25"/>
  </mergeCells>
  <printOptions/>
  <pageMargins left="0.7" right="0.7" top="0.75" bottom="0.75" header="0.3" footer="0.3"/>
  <pageSetup horizontalDpi="300" verticalDpi="300" orientation="landscape" paperSize="9" r:id="rId11"/>
  <ignoredErrors>
    <ignoredError sqref="B27:B30 B35:B36 B32:B34"/>
  </ignoredErrors>
  <drawing r:id="rId10"/>
  <legacyDrawing r:id="rId2"/>
  <tableParts>
    <tablePart r:id="rId9"/>
    <tablePart r:id="rId7"/>
    <tablePart r:id="rId4"/>
    <tablePart r:id="rId5"/>
    <tablePart r:id="rId8"/>
    <tablePart r:id="rId3"/>
    <tablePart r:id="rId6"/>
  </tableParts>
</worksheet>
</file>

<file path=xl/worksheets/sheet8.xml><?xml version="1.0" encoding="utf-8"?>
<worksheet xmlns="http://schemas.openxmlformats.org/spreadsheetml/2006/main" xmlns:r="http://schemas.openxmlformats.org/officeDocument/2006/relationships">
  <sheetPr codeName="Sheet6"/>
  <dimension ref="A1:A1"/>
  <sheetViews>
    <sheetView showGridLines="0" zoomScalePageLayoutView="0" workbookViewId="0" topLeftCell="A1">
      <selection activeCell="A2" sqref="A2"/>
    </sheetView>
  </sheetViews>
  <sheetFormatPr defaultColWidth="9.140625" defaultRowHeight="15"/>
  <sheetData>
    <row r="1" ht="15.75">
      <c r="A1" s="131" t="s">
        <v>166</v>
      </c>
    </row>
  </sheetData>
  <sheetProtection/>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7"/>
  <dimension ref="A1:C28"/>
  <sheetViews>
    <sheetView showGridLines="0" zoomScalePageLayoutView="0" workbookViewId="0" topLeftCell="A1">
      <selection activeCell="A2" sqref="A2"/>
    </sheetView>
  </sheetViews>
  <sheetFormatPr defaultColWidth="9.140625" defaultRowHeight="15"/>
  <cols>
    <col min="1" max="1" width="35.57421875" style="0" customWidth="1"/>
    <col min="2" max="2" width="11.8515625" style="0" customWidth="1"/>
  </cols>
  <sheetData>
    <row r="1" spans="1:3" ht="21.75" thickBot="1">
      <c r="A1" s="167" t="s">
        <v>6</v>
      </c>
      <c r="B1" s="168"/>
      <c r="C1" s="169"/>
    </row>
    <row r="2" s="2" customFormat="1" ht="13.5" thickBot="1"/>
    <row r="3" spans="1:2" s="2" customFormat="1" ht="13.5" thickBot="1">
      <c r="A3" s="20" t="s">
        <v>131</v>
      </c>
      <c r="B3" s="130" t="e">
        <f>AVERAGE(Age)</f>
        <v>#DIV/0!</v>
      </c>
    </row>
    <row r="4" spans="1:2" s="2" customFormat="1" ht="13.5" thickBot="1">
      <c r="A4" s="29" t="s">
        <v>45</v>
      </c>
      <c r="B4" s="40" t="str">
        <f>MIN('Complex social factors'!B7:B46)&amp;" - "&amp;MAX('Complex social factors'!B7:B46)</f>
        <v>0 - 0</v>
      </c>
    </row>
    <row r="5" spans="1:3" s="2" customFormat="1" ht="13.5" thickBot="1">
      <c r="A5" s="21"/>
      <c r="B5" s="39"/>
      <c r="C5" s="10"/>
    </row>
    <row r="6" spans="1:2" s="2" customFormat="1" ht="13.5" thickBot="1">
      <c r="A6" s="170" t="s">
        <v>20</v>
      </c>
      <c r="B6" s="171"/>
    </row>
    <row r="7" spans="1:2" s="2" customFormat="1" ht="13.5" thickBot="1">
      <c r="A7" s="170" t="s">
        <v>7</v>
      </c>
      <c r="B7" s="171"/>
    </row>
    <row r="8" spans="1:2" s="2" customFormat="1" ht="13.5" thickBot="1">
      <c r="A8" s="20" t="s">
        <v>10</v>
      </c>
      <c r="B8" s="11">
        <f>COUNTIF('Complex social factors'!C7:C47,"A1 White British")</f>
        <v>0</v>
      </c>
    </row>
    <row r="9" spans="1:2" s="2" customFormat="1" ht="13.5" thickBot="1">
      <c r="A9" s="20" t="s">
        <v>11</v>
      </c>
      <c r="B9" s="11">
        <f>COUNTIF('Complex social factors'!C7:C47,"A2 White Irish")</f>
        <v>0</v>
      </c>
    </row>
    <row r="10" spans="1:2" s="2" customFormat="1" ht="13.5" thickBot="1">
      <c r="A10" s="106" t="s">
        <v>122</v>
      </c>
      <c r="B10" s="11">
        <f>COUNTIF('Complex social factors'!C7:C47,"A3 Any other White background ")</f>
        <v>0</v>
      </c>
    </row>
    <row r="11" spans="1:2" s="2" customFormat="1" ht="13.5" thickBot="1">
      <c r="A11" s="170" t="s">
        <v>8</v>
      </c>
      <c r="B11" s="171"/>
    </row>
    <row r="12" spans="1:2" s="2" customFormat="1" ht="13.5" thickBot="1">
      <c r="A12" s="106" t="s">
        <v>123</v>
      </c>
      <c r="B12" s="11">
        <f>COUNTIF('Complex social factors'!C7:C47,"B1 Mixed White and Black Caribbean")</f>
        <v>0</v>
      </c>
    </row>
    <row r="13" spans="1:2" s="2" customFormat="1" ht="13.5" thickBot="1">
      <c r="A13" s="106" t="s">
        <v>124</v>
      </c>
      <c r="B13" s="11">
        <f>COUNTIF('Complex social factors'!C7:C47,"B2 Mixed White and Black African")</f>
        <v>0</v>
      </c>
    </row>
    <row r="14" spans="1:2" s="2" customFormat="1" ht="13.5" thickBot="1">
      <c r="A14" s="20" t="s">
        <v>12</v>
      </c>
      <c r="B14" s="11">
        <f>COUNTIF('Complex social factors'!C7:C47,"B3 Mixed White and Asian")</f>
        <v>0</v>
      </c>
    </row>
    <row r="15" spans="1:2" s="2" customFormat="1" ht="13.5" thickBot="1">
      <c r="A15" s="106" t="s">
        <v>125</v>
      </c>
      <c r="B15" s="11">
        <f>COUNTIF('Complex social factors'!C7:C47,"B4 Any other mixed background ")</f>
        <v>0</v>
      </c>
    </row>
    <row r="16" spans="1:2" s="2" customFormat="1" ht="13.5" thickBot="1">
      <c r="A16" s="170" t="s">
        <v>9</v>
      </c>
      <c r="B16" s="171"/>
    </row>
    <row r="17" spans="1:2" s="2" customFormat="1" ht="13.5" thickBot="1">
      <c r="A17" s="20" t="s">
        <v>13</v>
      </c>
      <c r="B17" s="11">
        <f>COUNTIF('Complex social factors'!C7:C47,"C1 Asian or Asian British Indian")</f>
        <v>0</v>
      </c>
    </row>
    <row r="18" spans="1:2" s="2" customFormat="1" ht="13.5" thickBot="1">
      <c r="A18" s="20" t="s">
        <v>14</v>
      </c>
      <c r="B18" s="11">
        <f>COUNTIF('Complex social factors'!C7:C47,"C2 Asian or Asian British Pakistani")</f>
        <v>0</v>
      </c>
    </row>
    <row r="19" spans="1:2" s="2" customFormat="1" ht="13.5" thickBot="1">
      <c r="A19" s="20" t="s">
        <v>15</v>
      </c>
      <c r="B19" s="11">
        <f>COUNTIF('Complex social factors'!C7:C47,"C3 Asian or Asian British Bangladeshi")</f>
        <v>0</v>
      </c>
    </row>
    <row r="20" spans="1:2" s="2" customFormat="1" ht="13.5" thickBot="1">
      <c r="A20" s="106" t="s">
        <v>126</v>
      </c>
      <c r="B20" s="11">
        <f>COUNTIF('Complex social factors'!C7:C47,"C4 Any other Asian background ")</f>
        <v>0</v>
      </c>
    </row>
    <row r="21" spans="1:2" s="2" customFormat="1" ht="13.5" thickBot="1">
      <c r="A21" s="165" t="s">
        <v>127</v>
      </c>
      <c r="B21" s="166"/>
    </row>
    <row r="22" spans="1:2" s="2" customFormat="1" ht="13.5" thickBot="1">
      <c r="A22" s="20" t="s">
        <v>16</v>
      </c>
      <c r="B22" s="11">
        <f>COUNTIF('Complex social factors'!C7:C47,"D1 Black or Black British Caribbean")</f>
        <v>0</v>
      </c>
    </row>
    <row r="23" spans="1:2" s="2" customFormat="1" ht="13.5" thickBot="1">
      <c r="A23" s="20" t="s">
        <v>17</v>
      </c>
      <c r="B23" s="11">
        <f>COUNTIF('Complex social factors'!C7:C47,"D2 Black or Black British African")</f>
        <v>0</v>
      </c>
    </row>
    <row r="24" spans="1:2" s="2" customFormat="1" ht="13.5" thickBot="1">
      <c r="A24" s="106" t="s">
        <v>128</v>
      </c>
      <c r="B24" s="11">
        <f>COUNTIF('Complex social factors'!C7:C47,"D3 Any other Black background ")</f>
        <v>0</v>
      </c>
    </row>
    <row r="25" spans="1:2" s="2" customFormat="1" ht="13.5" thickBot="1">
      <c r="A25" s="165" t="s">
        <v>129</v>
      </c>
      <c r="B25" s="166"/>
    </row>
    <row r="26" spans="1:2" s="2" customFormat="1" ht="13.5" thickBot="1">
      <c r="A26" s="20" t="s">
        <v>18</v>
      </c>
      <c r="B26" s="11">
        <f>COUNTIF('Complex social factors'!C7:C47,"E1 Chinese")</f>
        <v>0</v>
      </c>
    </row>
    <row r="27" spans="1:2" s="2" customFormat="1" ht="13.5" thickBot="1">
      <c r="A27" s="20" t="s">
        <v>19</v>
      </c>
      <c r="B27" s="11">
        <f>COUNTIF('Complex social factors'!C7:C47,"E2 Any other ethnic group ")</f>
        <v>0</v>
      </c>
    </row>
    <row r="28" spans="1:2" s="2" customFormat="1" ht="13.5" thickBot="1">
      <c r="A28" s="107" t="s">
        <v>130</v>
      </c>
      <c r="B28" s="11">
        <f>COUNTIF('Complex social factors'!C7:C47,"Z Not stated")</f>
        <v>0</v>
      </c>
    </row>
    <row r="29" s="2" customFormat="1" ht="12.75"/>
    <row r="30" s="2" customFormat="1" ht="12.75"/>
    <row r="31" s="2" customFormat="1" ht="12.75"/>
    <row r="32" s="2" customFormat="1" ht="12.75"/>
    <row r="33" s="2" customFormat="1" ht="12.75"/>
    <row r="34" s="2" customFormat="1" ht="12.75"/>
    <row r="35" s="2" customFormat="1" ht="12.75"/>
    <row r="36" s="2" customFormat="1" ht="12.75"/>
    <row r="37" s="2" customFormat="1" ht="12.75"/>
    <row r="38" s="2" customFormat="1" ht="12.75"/>
    <row r="39" s="2" customFormat="1" ht="12.75"/>
  </sheetData>
  <sheetProtection/>
  <mergeCells count="7">
    <mergeCell ref="A25:B25"/>
    <mergeCell ref="A1:C1"/>
    <mergeCell ref="A7:B7"/>
    <mergeCell ref="A6:B6"/>
    <mergeCell ref="A11:B11"/>
    <mergeCell ref="A16:B16"/>
    <mergeCell ref="A21:B2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 Administrator</dc:creator>
  <cp:keywords/>
  <dc:description/>
  <cp:lastModifiedBy>jwright</cp:lastModifiedBy>
  <cp:lastPrinted>2010-06-23T16:10:12Z</cp:lastPrinted>
  <dcterms:created xsi:type="dcterms:W3CDTF">2009-12-01T19:17:32Z</dcterms:created>
  <dcterms:modified xsi:type="dcterms:W3CDTF">2012-03-05T15:23:29Z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