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41D9D405-89DF-46AC-BCF5-AC1C9CE2BDEA}" xr6:coauthVersionLast="47" xr6:coauthVersionMax="47" xr10:uidLastSave="{00000000-0000-0000-0000-000000000000}"/>
  <bookViews>
    <workbookView xWindow="28680" yWindow="1665" windowWidth="29040" windowHeight="158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prices)'!$B$1:$S$297</definedName>
    <definedName name="_xlnm.Print_Area" localSheetId="8">'Capacity (national prices)'!$B$1:$S$153</definedName>
    <definedName name="_xlnm.Print_Area" localSheetId="1">Contents!$A$1:$P$29</definedName>
    <definedName name="_xlnm.Print_Area" localSheetId="0">Cover!$A$1:$P$33</definedName>
    <definedName name="_xlnm.Print_Area" localSheetId="6">'Financial impact (cash)'!$B$1:$J$47</definedName>
    <definedName name="_xlnm.Print_Area" localSheetId="3">'Inputs and eligible population'!$A$2:$S$144</definedName>
    <definedName name="_xlnm.Print_Area" localSheetId="2">'Population selection'!$B$11:$J$17</definedName>
    <definedName name="_xlnm.Print_Area" localSheetId="5">Summary!$B$1:$K$81</definedName>
    <definedName name="_xlnm.Print_Area" localSheetId="4">'Unit costs'!$B$1:$T$178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56" l="1"/>
  <c r="H22" i="56"/>
  <c r="G22" i="56"/>
  <c r="F22" i="56"/>
  <c r="E22" i="56"/>
  <c r="D23" i="56"/>
  <c r="D22" i="56"/>
  <c r="Q24" i="56"/>
  <c r="P24" i="56"/>
  <c r="O24" i="56"/>
  <c r="N24" i="56"/>
  <c r="M24" i="56"/>
  <c r="L24" i="56"/>
  <c r="I24" i="56"/>
  <c r="H24" i="56"/>
  <c r="G24" i="56"/>
  <c r="F24" i="56"/>
  <c r="E24" i="56"/>
  <c r="D24" i="56"/>
  <c r="R76" i="21"/>
  <c r="K41" i="56"/>
  <c r="K40" i="56"/>
  <c r="K39" i="56"/>
  <c r="K38" i="56"/>
  <c r="K37" i="56"/>
  <c r="K36" i="56"/>
  <c r="K35" i="56"/>
  <c r="K34" i="56"/>
  <c r="K33" i="56"/>
  <c r="K32" i="56"/>
  <c r="K31" i="56"/>
  <c r="K75" i="56"/>
  <c r="K74" i="56"/>
  <c r="K73" i="56"/>
  <c r="K72" i="56"/>
  <c r="K71" i="56"/>
  <c r="K70" i="56"/>
  <c r="K69" i="56"/>
  <c r="K68" i="56"/>
  <c r="K67" i="56"/>
  <c r="K66" i="56"/>
  <c r="K65" i="56"/>
  <c r="K58" i="56"/>
  <c r="K57" i="56"/>
  <c r="K56" i="56"/>
  <c r="K55" i="56"/>
  <c r="K54" i="56"/>
  <c r="K53" i="56"/>
  <c r="K52" i="56"/>
  <c r="K51" i="56"/>
  <c r="K50" i="56"/>
  <c r="K49" i="56"/>
  <c r="K48" i="56"/>
  <c r="K92" i="56"/>
  <c r="K91" i="56"/>
  <c r="K90" i="56"/>
  <c r="K89" i="56"/>
  <c r="K88" i="56"/>
  <c r="K87" i="56"/>
  <c r="K86" i="56"/>
  <c r="K85" i="56"/>
  <c r="K84" i="56"/>
  <c r="K83" i="56"/>
  <c r="K82" i="56"/>
  <c r="K143" i="56"/>
  <c r="K142" i="56"/>
  <c r="K141" i="56"/>
  <c r="K140" i="56"/>
  <c r="K139" i="56"/>
  <c r="K138" i="56"/>
  <c r="K137" i="56"/>
  <c r="K136" i="56"/>
  <c r="K135" i="56"/>
  <c r="K134" i="56"/>
  <c r="K133" i="56"/>
  <c r="K160" i="56"/>
  <c r="K159" i="56"/>
  <c r="K158" i="56"/>
  <c r="K157" i="56"/>
  <c r="K156" i="56"/>
  <c r="K155" i="56"/>
  <c r="K154" i="56"/>
  <c r="K153" i="56"/>
  <c r="K152" i="56"/>
  <c r="K151" i="56"/>
  <c r="K150" i="56"/>
  <c r="K177" i="56"/>
  <c r="K176" i="56"/>
  <c r="K175" i="56"/>
  <c r="K174" i="56"/>
  <c r="K173" i="56"/>
  <c r="K172" i="56"/>
  <c r="K171" i="56"/>
  <c r="K170" i="56"/>
  <c r="K169" i="56"/>
  <c r="K168" i="56"/>
  <c r="K167" i="56"/>
  <c r="K194" i="56"/>
  <c r="K193" i="56"/>
  <c r="K192" i="56"/>
  <c r="K191" i="56"/>
  <c r="K190" i="56"/>
  <c r="K189" i="56"/>
  <c r="K188" i="56"/>
  <c r="K187" i="56"/>
  <c r="K186" i="56"/>
  <c r="K185" i="56"/>
  <c r="K184" i="56"/>
  <c r="K211" i="56"/>
  <c r="K210" i="56"/>
  <c r="K209" i="56"/>
  <c r="K208" i="56"/>
  <c r="K207" i="56"/>
  <c r="K206" i="56"/>
  <c r="K205" i="56"/>
  <c r="K204" i="56"/>
  <c r="K203" i="56"/>
  <c r="K202" i="56"/>
  <c r="K201" i="56"/>
  <c r="K228" i="56"/>
  <c r="K227" i="56"/>
  <c r="K226" i="56"/>
  <c r="K225" i="56"/>
  <c r="K224" i="56"/>
  <c r="K223" i="56"/>
  <c r="K222" i="56"/>
  <c r="K221" i="56"/>
  <c r="K220" i="56"/>
  <c r="K219" i="56"/>
  <c r="K218" i="56"/>
  <c r="K245" i="56"/>
  <c r="K244" i="56"/>
  <c r="K243" i="56"/>
  <c r="K242" i="56"/>
  <c r="K241" i="56"/>
  <c r="K240" i="56"/>
  <c r="K239" i="56"/>
  <c r="K238" i="56"/>
  <c r="K237" i="56"/>
  <c r="K236" i="56"/>
  <c r="K235" i="56"/>
  <c r="K262" i="56"/>
  <c r="K261" i="56"/>
  <c r="K260" i="56"/>
  <c r="K259" i="56"/>
  <c r="K258" i="56"/>
  <c r="K257" i="56"/>
  <c r="K256" i="56"/>
  <c r="K255" i="56"/>
  <c r="K254" i="56"/>
  <c r="K253" i="56"/>
  <c r="K252" i="56"/>
  <c r="K294" i="56"/>
  <c r="K293" i="56"/>
  <c r="K292" i="56"/>
  <c r="K291" i="56"/>
  <c r="K290" i="56"/>
  <c r="K289" i="56"/>
  <c r="K288" i="56"/>
  <c r="K287" i="56"/>
  <c r="K286" i="56"/>
  <c r="K285" i="56"/>
  <c r="K284" i="56"/>
  <c r="K283" i="56"/>
  <c r="K282" i="56"/>
  <c r="K281" i="56"/>
  <c r="K280" i="56"/>
  <c r="K279" i="56"/>
  <c r="L279" i="56" s="1"/>
  <c r="K278" i="56"/>
  <c r="K277" i="56"/>
  <c r="K276" i="56"/>
  <c r="K275" i="56"/>
  <c r="K274" i="56"/>
  <c r="K273" i="56"/>
  <c r="K272" i="56"/>
  <c r="K271" i="56"/>
  <c r="K270" i="56"/>
  <c r="K269" i="56"/>
  <c r="L269" i="56" s="1"/>
  <c r="Q294" i="56"/>
  <c r="O294" i="56"/>
  <c r="I294" i="56"/>
  <c r="H294" i="56"/>
  <c r="P294" i="56" s="1"/>
  <c r="G294" i="56"/>
  <c r="F294" i="56"/>
  <c r="N294" i="56" s="1"/>
  <c r="E294" i="56"/>
  <c r="M294" i="56" s="1"/>
  <c r="D294" i="56"/>
  <c r="L294" i="56" s="1"/>
  <c r="L293" i="56"/>
  <c r="N293" i="56"/>
  <c r="I293" i="56"/>
  <c r="H293" i="56"/>
  <c r="P293" i="56" s="1"/>
  <c r="G293" i="56"/>
  <c r="F293" i="56"/>
  <c r="E293" i="56"/>
  <c r="M293" i="56" s="1"/>
  <c r="D293" i="56"/>
  <c r="Q292" i="56"/>
  <c r="I292" i="56"/>
  <c r="H292" i="56"/>
  <c r="P292" i="56" s="1"/>
  <c r="G292" i="56"/>
  <c r="O292" i="56" s="1"/>
  <c r="F292" i="56"/>
  <c r="N292" i="56" s="1"/>
  <c r="E292" i="56"/>
  <c r="M292" i="56" s="1"/>
  <c r="D292" i="56"/>
  <c r="L292" i="56" s="1"/>
  <c r="N291" i="56"/>
  <c r="P291" i="56"/>
  <c r="I291" i="56"/>
  <c r="Q291" i="56" s="1"/>
  <c r="H291" i="56"/>
  <c r="G291" i="56"/>
  <c r="O291" i="56" s="1"/>
  <c r="F291" i="56"/>
  <c r="E291" i="56"/>
  <c r="M291" i="56" s="1"/>
  <c r="D291" i="56"/>
  <c r="L291" i="56" s="1"/>
  <c r="M290" i="56"/>
  <c r="I290" i="56"/>
  <c r="Q290" i="56" s="1"/>
  <c r="H290" i="56"/>
  <c r="P290" i="56" s="1"/>
  <c r="G290" i="56"/>
  <c r="O290" i="56" s="1"/>
  <c r="F290" i="56"/>
  <c r="N290" i="56" s="1"/>
  <c r="E290" i="56"/>
  <c r="D290" i="56"/>
  <c r="L290" i="56" s="1"/>
  <c r="P289" i="56"/>
  <c r="I289" i="56"/>
  <c r="Q289" i="56" s="1"/>
  <c r="H289" i="56"/>
  <c r="G289" i="56"/>
  <c r="O289" i="56" s="1"/>
  <c r="F289" i="56"/>
  <c r="N289" i="56" s="1"/>
  <c r="E289" i="56"/>
  <c r="M289" i="56" s="1"/>
  <c r="D289" i="56"/>
  <c r="L289" i="56" s="1"/>
  <c r="M288" i="56"/>
  <c r="O288" i="56"/>
  <c r="I288" i="56"/>
  <c r="Q288" i="56" s="1"/>
  <c r="H288" i="56"/>
  <c r="P288" i="56" s="1"/>
  <c r="G288" i="56"/>
  <c r="F288" i="56"/>
  <c r="N288" i="56" s="1"/>
  <c r="E288" i="56"/>
  <c r="D288" i="56"/>
  <c r="L288" i="56" s="1"/>
  <c r="L287" i="56"/>
  <c r="I287" i="56"/>
  <c r="H287" i="56"/>
  <c r="G287" i="56"/>
  <c r="F287" i="56"/>
  <c r="E287" i="56"/>
  <c r="D287" i="56"/>
  <c r="Q286" i="56"/>
  <c r="O286" i="56"/>
  <c r="I286" i="56"/>
  <c r="H286" i="56"/>
  <c r="P286" i="56" s="1"/>
  <c r="G286" i="56"/>
  <c r="F286" i="56"/>
  <c r="N286" i="56" s="1"/>
  <c r="E286" i="56"/>
  <c r="M286" i="56" s="1"/>
  <c r="D286" i="56"/>
  <c r="L286" i="56" s="1"/>
  <c r="L285" i="56"/>
  <c r="N285" i="56"/>
  <c r="I285" i="56"/>
  <c r="Q285" i="56" s="1"/>
  <c r="H285" i="56"/>
  <c r="P285" i="56" s="1"/>
  <c r="G285" i="56"/>
  <c r="O285" i="56" s="1"/>
  <c r="F285" i="56"/>
  <c r="E285" i="56"/>
  <c r="M285" i="56" s="1"/>
  <c r="D285" i="56"/>
  <c r="Q284" i="56"/>
  <c r="I284" i="56"/>
  <c r="H284" i="56"/>
  <c r="P284" i="56" s="1"/>
  <c r="G284" i="56"/>
  <c r="O284" i="56" s="1"/>
  <c r="F284" i="56"/>
  <c r="N284" i="56" s="1"/>
  <c r="E284" i="56"/>
  <c r="M284" i="56" s="1"/>
  <c r="D284" i="56"/>
  <c r="L284" i="56" s="1"/>
  <c r="N283" i="56"/>
  <c r="P283" i="56"/>
  <c r="I283" i="56"/>
  <c r="Q283" i="56" s="1"/>
  <c r="H283" i="56"/>
  <c r="G283" i="56"/>
  <c r="O283" i="56" s="1"/>
  <c r="F283" i="56"/>
  <c r="E283" i="56"/>
  <c r="M283" i="56" s="1"/>
  <c r="D283" i="56"/>
  <c r="L283" i="56" s="1"/>
  <c r="M282" i="56"/>
  <c r="I282" i="56"/>
  <c r="Q282" i="56" s="1"/>
  <c r="H282" i="56"/>
  <c r="P282" i="56" s="1"/>
  <c r="G282" i="56"/>
  <c r="O282" i="56" s="1"/>
  <c r="F282" i="56"/>
  <c r="N282" i="56" s="1"/>
  <c r="E282" i="56"/>
  <c r="D282" i="56"/>
  <c r="L282" i="56" s="1"/>
  <c r="P281" i="56"/>
  <c r="I281" i="56"/>
  <c r="Q281" i="56" s="1"/>
  <c r="H281" i="56"/>
  <c r="G281" i="56"/>
  <c r="O281" i="56" s="1"/>
  <c r="F281" i="56"/>
  <c r="N281" i="56" s="1"/>
  <c r="E281" i="56"/>
  <c r="M281" i="56" s="1"/>
  <c r="D281" i="56"/>
  <c r="L281" i="56" s="1"/>
  <c r="M280" i="56"/>
  <c r="O280" i="56"/>
  <c r="I280" i="56"/>
  <c r="Q280" i="56" s="1"/>
  <c r="H280" i="56"/>
  <c r="P280" i="56" s="1"/>
  <c r="G280" i="56"/>
  <c r="F280" i="56"/>
  <c r="N280" i="56" s="1"/>
  <c r="E280" i="56"/>
  <c r="D280" i="56"/>
  <c r="L280" i="56" s="1"/>
  <c r="I279" i="56"/>
  <c r="H279" i="56"/>
  <c r="G279" i="56"/>
  <c r="F279" i="56"/>
  <c r="N279" i="56" s="1"/>
  <c r="E279" i="56"/>
  <c r="D279" i="56"/>
  <c r="Q278" i="56"/>
  <c r="O278" i="56"/>
  <c r="I278" i="56"/>
  <c r="H278" i="56"/>
  <c r="P278" i="56" s="1"/>
  <c r="G278" i="56"/>
  <c r="F278" i="56"/>
  <c r="N278" i="56" s="1"/>
  <c r="E278" i="56"/>
  <c r="M278" i="56" s="1"/>
  <c r="D278" i="56"/>
  <c r="L278" i="56" s="1"/>
  <c r="L277" i="56"/>
  <c r="N277" i="56"/>
  <c r="I277" i="56"/>
  <c r="Q277" i="56" s="1"/>
  <c r="H277" i="56"/>
  <c r="P277" i="56" s="1"/>
  <c r="G277" i="56"/>
  <c r="O277" i="56" s="1"/>
  <c r="F277" i="56"/>
  <c r="E277" i="56"/>
  <c r="M277" i="56" s="1"/>
  <c r="D277" i="56"/>
  <c r="Q276" i="56"/>
  <c r="I276" i="56"/>
  <c r="H276" i="56"/>
  <c r="P276" i="56" s="1"/>
  <c r="G276" i="56"/>
  <c r="O276" i="56" s="1"/>
  <c r="F276" i="56"/>
  <c r="N276" i="56" s="1"/>
  <c r="E276" i="56"/>
  <c r="M276" i="56" s="1"/>
  <c r="D276" i="56"/>
  <c r="L276" i="56" s="1"/>
  <c r="N275" i="56"/>
  <c r="P275" i="56"/>
  <c r="I275" i="56"/>
  <c r="Q275" i="56" s="1"/>
  <c r="H275" i="56"/>
  <c r="G275" i="56"/>
  <c r="O275" i="56" s="1"/>
  <c r="F275" i="56"/>
  <c r="E275" i="56"/>
  <c r="M275" i="56" s="1"/>
  <c r="D275" i="56"/>
  <c r="L275" i="56" s="1"/>
  <c r="M274" i="56"/>
  <c r="I274" i="56"/>
  <c r="Q274" i="56" s="1"/>
  <c r="H274" i="56"/>
  <c r="P274" i="56" s="1"/>
  <c r="G274" i="56"/>
  <c r="O274" i="56" s="1"/>
  <c r="F274" i="56"/>
  <c r="N274" i="56" s="1"/>
  <c r="E274" i="56"/>
  <c r="D274" i="56"/>
  <c r="L274" i="56" s="1"/>
  <c r="P273" i="56"/>
  <c r="I273" i="56"/>
  <c r="Q273" i="56" s="1"/>
  <c r="H273" i="56"/>
  <c r="G273" i="56"/>
  <c r="O273" i="56" s="1"/>
  <c r="F273" i="56"/>
  <c r="N273" i="56" s="1"/>
  <c r="E273" i="56"/>
  <c r="M273" i="56" s="1"/>
  <c r="D273" i="56"/>
  <c r="L273" i="56" s="1"/>
  <c r="M272" i="56"/>
  <c r="O272" i="56"/>
  <c r="I272" i="56"/>
  <c r="Q272" i="56" s="1"/>
  <c r="H272" i="56"/>
  <c r="P272" i="56" s="1"/>
  <c r="G272" i="56"/>
  <c r="F272" i="56"/>
  <c r="N272" i="56" s="1"/>
  <c r="E272" i="56"/>
  <c r="D272" i="56"/>
  <c r="L272" i="56" s="1"/>
  <c r="L271" i="56"/>
  <c r="I271" i="56"/>
  <c r="I295" i="56" s="1"/>
  <c r="H271" i="56"/>
  <c r="H295" i="56" s="1"/>
  <c r="G271" i="56"/>
  <c r="F271" i="56"/>
  <c r="E271" i="56"/>
  <c r="D271" i="56"/>
  <c r="Q270" i="56"/>
  <c r="O270" i="56"/>
  <c r="I270" i="56"/>
  <c r="H270" i="56"/>
  <c r="P270" i="56" s="1"/>
  <c r="G270" i="56"/>
  <c r="F270" i="56"/>
  <c r="N270" i="56" s="1"/>
  <c r="E270" i="56"/>
  <c r="M270" i="56" s="1"/>
  <c r="D270" i="56"/>
  <c r="L270" i="56" s="1"/>
  <c r="I269" i="56"/>
  <c r="H269" i="56"/>
  <c r="G269" i="56"/>
  <c r="G295" i="56" s="1"/>
  <c r="F269" i="56"/>
  <c r="F295" i="56" s="1"/>
  <c r="F296" i="56" s="1"/>
  <c r="E269" i="56"/>
  <c r="E295" i="56" s="1"/>
  <c r="E296" i="56" s="1"/>
  <c r="D269" i="56"/>
  <c r="D295" i="56" s="1"/>
  <c r="Q262" i="56"/>
  <c r="O262" i="56"/>
  <c r="P262" i="56"/>
  <c r="I262" i="56"/>
  <c r="H262" i="56"/>
  <c r="G262" i="56"/>
  <c r="F262" i="56"/>
  <c r="N262" i="56" s="1"/>
  <c r="E262" i="56"/>
  <c r="M262" i="56" s="1"/>
  <c r="D262" i="56"/>
  <c r="L262" i="56" s="1"/>
  <c r="C262" i="56"/>
  <c r="I261" i="56"/>
  <c r="Q261" i="56" s="1"/>
  <c r="H261" i="56"/>
  <c r="G261" i="56"/>
  <c r="F261" i="56"/>
  <c r="E261" i="56"/>
  <c r="M261" i="56" s="1"/>
  <c r="D261" i="56"/>
  <c r="L261" i="56" s="1"/>
  <c r="C261" i="56"/>
  <c r="I260" i="56"/>
  <c r="Q260" i="56" s="1"/>
  <c r="H260" i="56"/>
  <c r="G260" i="56"/>
  <c r="F260" i="56"/>
  <c r="E260" i="56"/>
  <c r="D260" i="56"/>
  <c r="C260" i="56"/>
  <c r="I259" i="56"/>
  <c r="Q259" i="56" s="1"/>
  <c r="H259" i="56"/>
  <c r="P259" i="56" s="1"/>
  <c r="G259" i="56"/>
  <c r="O259" i="56" s="1"/>
  <c r="F259" i="56"/>
  <c r="N259" i="56" s="1"/>
  <c r="E259" i="56"/>
  <c r="M259" i="56" s="1"/>
  <c r="D259" i="56"/>
  <c r="C259" i="56"/>
  <c r="F258" i="56"/>
  <c r="N258" i="56" s="1"/>
  <c r="E258" i="56"/>
  <c r="M258" i="56" s="1"/>
  <c r="D258" i="56"/>
  <c r="L258" i="56" s="1"/>
  <c r="C258" i="56"/>
  <c r="I258" i="56" s="1"/>
  <c r="Q258" i="56" s="1"/>
  <c r="D257" i="56"/>
  <c r="L257" i="56" s="1"/>
  <c r="C257" i="56"/>
  <c r="I257" i="56" s="1"/>
  <c r="I256" i="56"/>
  <c r="Q256" i="56" s="1"/>
  <c r="H256" i="56"/>
  <c r="G256" i="56"/>
  <c r="F256" i="56"/>
  <c r="E256" i="56"/>
  <c r="D256" i="56"/>
  <c r="C256" i="56"/>
  <c r="I255" i="56"/>
  <c r="H255" i="56"/>
  <c r="G255" i="56"/>
  <c r="F255" i="56"/>
  <c r="E255" i="56"/>
  <c r="D255" i="56"/>
  <c r="C255" i="56"/>
  <c r="I254" i="56"/>
  <c r="Q254" i="56" s="1"/>
  <c r="H254" i="56"/>
  <c r="P254" i="56" s="1"/>
  <c r="G254" i="56"/>
  <c r="O254" i="56" s="1"/>
  <c r="F254" i="56"/>
  <c r="N254" i="56" s="1"/>
  <c r="E254" i="56"/>
  <c r="M254" i="56" s="1"/>
  <c r="D254" i="56"/>
  <c r="L254" i="56" s="1"/>
  <c r="C254" i="56"/>
  <c r="I253" i="56"/>
  <c r="Q253" i="56" s="1"/>
  <c r="H253" i="56"/>
  <c r="G253" i="56"/>
  <c r="F253" i="56"/>
  <c r="E253" i="56"/>
  <c r="M253" i="56" s="1"/>
  <c r="D253" i="56"/>
  <c r="L253" i="56" s="1"/>
  <c r="C253" i="56"/>
  <c r="I252" i="56"/>
  <c r="Q252" i="56" s="1"/>
  <c r="H252" i="56"/>
  <c r="G252" i="56"/>
  <c r="F252" i="56"/>
  <c r="E252" i="56"/>
  <c r="D252" i="56"/>
  <c r="C252" i="56"/>
  <c r="Q245" i="56"/>
  <c r="O245" i="56"/>
  <c r="P245" i="56"/>
  <c r="I245" i="56"/>
  <c r="H245" i="56"/>
  <c r="G245" i="56"/>
  <c r="F245" i="56"/>
  <c r="N245" i="56" s="1"/>
  <c r="E245" i="56"/>
  <c r="M245" i="56" s="1"/>
  <c r="D245" i="56"/>
  <c r="L245" i="56" s="1"/>
  <c r="C245" i="56"/>
  <c r="I244" i="56"/>
  <c r="Q244" i="56" s="1"/>
  <c r="H244" i="56"/>
  <c r="G244" i="56"/>
  <c r="F244" i="56"/>
  <c r="E244" i="56"/>
  <c r="D244" i="56"/>
  <c r="L244" i="56" s="1"/>
  <c r="C244" i="56"/>
  <c r="I243" i="56"/>
  <c r="Q243" i="56" s="1"/>
  <c r="H243" i="56"/>
  <c r="G243" i="56"/>
  <c r="F243" i="56"/>
  <c r="E243" i="56"/>
  <c r="D243" i="56"/>
  <c r="C243" i="56"/>
  <c r="I242" i="56"/>
  <c r="Q242" i="56" s="1"/>
  <c r="H242" i="56"/>
  <c r="P242" i="56" s="1"/>
  <c r="G242" i="56"/>
  <c r="O242" i="56" s="1"/>
  <c r="F242" i="56"/>
  <c r="N242" i="56" s="1"/>
  <c r="E242" i="56"/>
  <c r="M242" i="56" s="1"/>
  <c r="D242" i="56"/>
  <c r="C242" i="56"/>
  <c r="F241" i="56"/>
  <c r="E241" i="56"/>
  <c r="D241" i="56"/>
  <c r="L241" i="56" s="1"/>
  <c r="C241" i="56"/>
  <c r="I241" i="56" s="1"/>
  <c r="D240" i="56"/>
  <c r="L240" i="56" s="1"/>
  <c r="C240" i="56"/>
  <c r="I240" i="56" s="1"/>
  <c r="I239" i="56"/>
  <c r="Q239" i="56" s="1"/>
  <c r="H239" i="56"/>
  <c r="G239" i="56"/>
  <c r="F239" i="56"/>
  <c r="E239" i="56"/>
  <c r="D239" i="56"/>
  <c r="C239" i="56"/>
  <c r="I238" i="56"/>
  <c r="H238" i="56"/>
  <c r="G238" i="56"/>
  <c r="F238" i="56"/>
  <c r="E238" i="56"/>
  <c r="D238" i="56"/>
  <c r="C238" i="56"/>
  <c r="P237" i="56"/>
  <c r="I237" i="56"/>
  <c r="Q237" i="56" s="1"/>
  <c r="H237" i="56"/>
  <c r="G237" i="56"/>
  <c r="O237" i="56" s="1"/>
  <c r="F237" i="56"/>
  <c r="N237" i="56" s="1"/>
  <c r="E237" i="56"/>
  <c r="M237" i="56" s="1"/>
  <c r="D237" i="56"/>
  <c r="L237" i="56" s="1"/>
  <c r="C237" i="56"/>
  <c r="Q236" i="56"/>
  <c r="I236" i="56"/>
  <c r="H236" i="56"/>
  <c r="G236" i="56"/>
  <c r="F236" i="56"/>
  <c r="E236" i="56"/>
  <c r="D236" i="56"/>
  <c r="C236" i="56"/>
  <c r="I235" i="56"/>
  <c r="Q235" i="56" s="1"/>
  <c r="H235" i="56"/>
  <c r="G235" i="56"/>
  <c r="F235" i="56"/>
  <c r="E235" i="56"/>
  <c r="D235" i="56"/>
  <c r="C235" i="56"/>
  <c r="Q228" i="56"/>
  <c r="O228" i="56"/>
  <c r="P228" i="56"/>
  <c r="I228" i="56"/>
  <c r="H228" i="56"/>
  <c r="G228" i="56"/>
  <c r="F228" i="56"/>
  <c r="N228" i="56" s="1"/>
  <c r="E228" i="56"/>
  <c r="M228" i="56" s="1"/>
  <c r="D228" i="56"/>
  <c r="L228" i="56" s="1"/>
  <c r="C228" i="56"/>
  <c r="Q227" i="56"/>
  <c r="I227" i="56"/>
  <c r="H227" i="56"/>
  <c r="G227" i="56"/>
  <c r="F227" i="56"/>
  <c r="E227" i="56"/>
  <c r="M227" i="56" s="1"/>
  <c r="D227" i="56"/>
  <c r="L227" i="56" s="1"/>
  <c r="C227" i="56"/>
  <c r="I226" i="56"/>
  <c r="Q226" i="56" s="1"/>
  <c r="H226" i="56"/>
  <c r="G226" i="56"/>
  <c r="F226" i="56"/>
  <c r="E226" i="56"/>
  <c r="D226" i="56"/>
  <c r="C226" i="56"/>
  <c r="I225" i="56"/>
  <c r="Q225" i="56" s="1"/>
  <c r="H225" i="56"/>
  <c r="P225" i="56" s="1"/>
  <c r="G225" i="56"/>
  <c r="O225" i="56" s="1"/>
  <c r="F225" i="56"/>
  <c r="N225" i="56" s="1"/>
  <c r="E225" i="56"/>
  <c r="M225" i="56" s="1"/>
  <c r="D225" i="56"/>
  <c r="C225" i="56"/>
  <c r="F224" i="56"/>
  <c r="N224" i="56" s="1"/>
  <c r="E224" i="56"/>
  <c r="M224" i="56" s="1"/>
  <c r="D224" i="56"/>
  <c r="L224" i="56" s="1"/>
  <c r="C224" i="56"/>
  <c r="I224" i="56" s="1"/>
  <c r="Q224" i="56" s="1"/>
  <c r="D223" i="56"/>
  <c r="C223" i="56"/>
  <c r="I223" i="56" s="1"/>
  <c r="I222" i="56"/>
  <c r="Q222" i="56" s="1"/>
  <c r="H222" i="56"/>
  <c r="G222" i="56"/>
  <c r="F222" i="56"/>
  <c r="E222" i="56"/>
  <c r="D222" i="56"/>
  <c r="C222" i="56"/>
  <c r="I221" i="56"/>
  <c r="Q221" i="56" s="1"/>
  <c r="H221" i="56"/>
  <c r="G221" i="56"/>
  <c r="F221" i="56"/>
  <c r="N221" i="56" s="1"/>
  <c r="E221" i="56"/>
  <c r="M221" i="56" s="1"/>
  <c r="D221" i="56"/>
  <c r="C221" i="56"/>
  <c r="I220" i="56"/>
  <c r="Q220" i="56" s="1"/>
  <c r="H220" i="56"/>
  <c r="P220" i="56" s="1"/>
  <c r="G220" i="56"/>
  <c r="O220" i="56" s="1"/>
  <c r="F220" i="56"/>
  <c r="N220" i="56" s="1"/>
  <c r="E220" i="56"/>
  <c r="M220" i="56" s="1"/>
  <c r="D220" i="56"/>
  <c r="L220" i="56" s="1"/>
  <c r="C220" i="56"/>
  <c r="I219" i="56"/>
  <c r="Q219" i="56" s="1"/>
  <c r="H219" i="56"/>
  <c r="G219" i="56"/>
  <c r="F219" i="56"/>
  <c r="E219" i="56"/>
  <c r="M219" i="56" s="1"/>
  <c r="D219" i="56"/>
  <c r="L219" i="56" s="1"/>
  <c r="C219" i="56"/>
  <c r="I218" i="56"/>
  <c r="Q218" i="56" s="1"/>
  <c r="H218" i="56"/>
  <c r="G218" i="56"/>
  <c r="F218" i="56"/>
  <c r="E218" i="56"/>
  <c r="D218" i="56"/>
  <c r="C218" i="56"/>
  <c r="Q211" i="56"/>
  <c r="O211" i="56"/>
  <c r="P211" i="56"/>
  <c r="I211" i="56"/>
  <c r="H211" i="56"/>
  <c r="G211" i="56"/>
  <c r="F211" i="56"/>
  <c r="N211" i="56" s="1"/>
  <c r="E211" i="56"/>
  <c r="M211" i="56" s="1"/>
  <c r="D211" i="56"/>
  <c r="L211" i="56" s="1"/>
  <c r="C211" i="56"/>
  <c r="I210" i="56"/>
  <c r="Q210" i="56" s="1"/>
  <c r="H210" i="56"/>
  <c r="G210" i="56"/>
  <c r="F210" i="56"/>
  <c r="E210" i="56"/>
  <c r="M210" i="56" s="1"/>
  <c r="D210" i="56"/>
  <c r="L210" i="56" s="1"/>
  <c r="C210" i="56"/>
  <c r="I209" i="56"/>
  <c r="Q209" i="56" s="1"/>
  <c r="H209" i="56"/>
  <c r="G209" i="56"/>
  <c r="F209" i="56"/>
  <c r="E209" i="56"/>
  <c r="D209" i="56"/>
  <c r="C209" i="56"/>
  <c r="I208" i="56"/>
  <c r="Q208" i="56" s="1"/>
  <c r="H208" i="56"/>
  <c r="P208" i="56" s="1"/>
  <c r="G208" i="56"/>
  <c r="O208" i="56" s="1"/>
  <c r="F208" i="56"/>
  <c r="N208" i="56" s="1"/>
  <c r="E208" i="56"/>
  <c r="M208" i="56" s="1"/>
  <c r="D208" i="56"/>
  <c r="C208" i="56"/>
  <c r="F207" i="56"/>
  <c r="N207" i="56" s="1"/>
  <c r="E207" i="56"/>
  <c r="M207" i="56" s="1"/>
  <c r="D207" i="56"/>
  <c r="L207" i="56" s="1"/>
  <c r="C207" i="56"/>
  <c r="I207" i="56" s="1"/>
  <c r="Q207" i="56" s="1"/>
  <c r="D206" i="56"/>
  <c r="C206" i="56"/>
  <c r="I206" i="56" s="1"/>
  <c r="I205" i="56"/>
  <c r="Q205" i="56" s="1"/>
  <c r="H205" i="56"/>
  <c r="G205" i="56"/>
  <c r="F205" i="56"/>
  <c r="E205" i="56"/>
  <c r="D205" i="56"/>
  <c r="C205" i="56"/>
  <c r="I204" i="56"/>
  <c r="H204" i="56"/>
  <c r="G204" i="56"/>
  <c r="F204" i="56"/>
  <c r="E204" i="56"/>
  <c r="M204" i="56" s="1"/>
  <c r="D204" i="56"/>
  <c r="C204" i="56"/>
  <c r="I203" i="56"/>
  <c r="Q203" i="56" s="1"/>
  <c r="H203" i="56"/>
  <c r="P203" i="56" s="1"/>
  <c r="G203" i="56"/>
  <c r="O203" i="56" s="1"/>
  <c r="F203" i="56"/>
  <c r="N203" i="56" s="1"/>
  <c r="E203" i="56"/>
  <c r="M203" i="56" s="1"/>
  <c r="D203" i="56"/>
  <c r="L203" i="56" s="1"/>
  <c r="C203" i="56"/>
  <c r="I202" i="56"/>
  <c r="Q202" i="56" s="1"/>
  <c r="H202" i="56"/>
  <c r="G202" i="56"/>
  <c r="F202" i="56"/>
  <c r="E202" i="56"/>
  <c r="M202" i="56" s="1"/>
  <c r="D202" i="56"/>
  <c r="L202" i="56" s="1"/>
  <c r="C202" i="56"/>
  <c r="I201" i="56"/>
  <c r="Q201" i="56" s="1"/>
  <c r="H201" i="56"/>
  <c r="G201" i="56"/>
  <c r="F201" i="56"/>
  <c r="E201" i="56"/>
  <c r="D201" i="56"/>
  <c r="C201" i="56"/>
  <c r="Q194" i="56"/>
  <c r="O194" i="56"/>
  <c r="P194" i="56"/>
  <c r="I194" i="56"/>
  <c r="H194" i="56"/>
  <c r="G194" i="56"/>
  <c r="F194" i="56"/>
  <c r="N194" i="56" s="1"/>
  <c r="E194" i="56"/>
  <c r="M194" i="56" s="1"/>
  <c r="D194" i="56"/>
  <c r="L194" i="56" s="1"/>
  <c r="C194" i="56"/>
  <c r="Q193" i="56"/>
  <c r="I193" i="56"/>
  <c r="H193" i="56"/>
  <c r="G193" i="56"/>
  <c r="F193" i="56"/>
  <c r="E193" i="56"/>
  <c r="M193" i="56" s="1"/>
  <c r="D193" i="56"/>
  <c r="L193" i="56" s="1"/>
  <c r="C193" i="56"/>
  <c r="I192" i="56"/>
  <c r="Q192" i="56" s="1"/>
  <c r="H192" i="56"/>
  <c r="G192" i="56"/>
  <c r="F192" i="56"/>
  <c r="E192" i="56"/>
  <c r="D192" i="56"/>
  <c r="C192" i="56"/>
  <c r="I191" i="56"/>
  <c r="Q191" i="56" s="1"/>
  <c r="H191" i="56"/>
  <c r="P191" i="56" s="1"/>
  <c r="G191" i="56"/>
  <c r="O191" i="56" s="1"/>
  <c r="F191" i="56"/>
  <c r="N191" i="56" s="1"/>
  <c r="E191" i="56"/>
  <c r="M191" i="56" s="1"/>
  <c r="D191" i="56"/>
  <c r="C191" i="56"/>
  <c r="F190" i="56"/>
  <c r="N190" i="56" s="1"/>
  <c r="E190" i="56"/>
  <c r="M190" i="56" s="1"/>
  <c r="D190" i="56"/>
  <c r="L190" i="56" s="1"/>
  <c r="C190" i="56"/>
  <c r="I190" i="56" s="1"/>
  <c r="Q190" i="56" s="1"/>
  <c r="D189" i="56"/>
  <c r="L189" i="56" s="1"/>
  <c r="C189" i="56"/>
  <c r="I189" i="56" s="1"/>
  <c r="I188" i="56"/>
  <c r="H188" i="56"/>
  <c r="G188" i="56"/>
  <c r="F188" i="56"/>
  <c r="E188" i="56"/>
  <c r="D188" i="56"/>
  <c r="C188" i="56"/>
  <c r="I187" i="56"/>
  <c r="H187" i="56"/>
  <c r="G187" i="56"/>
  <c r="F187" i="56"/>
  <c r="E187" i="56"/>
  <c r="D187" i="56"/>
  <c r="C187" i="56"/>
  <c r="I186" i="56"/>
  <c r="H186" i="56"/>
  <c r="P186" i="56" s="1"/>
  <c r="G186" i="56"/>
  <c r="O186" i="56" s="1"/>
  <c r="F186" i="56"/>
  <c r="N186" i="56" s="1"/>
  <c r="E186" i="56"/>
  <c r="M186" i="56" s="1"/>
  <c r="D186" i="56"/>
  <c r="L186" i="56" s="1"/>
  <c r="C186" i="56"/>
  <c r="I185" i="56"/>
  <c r="H185" i="56"/>
  <c r="P185" i="56" s="1"/>
  <c r="G185" i="56"/>
  <c r="F185" i="56"/>
  <c r="E185" i="56"/>
  <c r="D185" i="56"/>
  <c r="C185" i="56"/>
  <c r="I184" i="56"/>
  <c r="Q184" i="56" s="1"/>
  <c r="H184" i="56"/>
  <c r="G184" i="56"/>
  <c r="F184" i="56"/>
  <c r="N184" i="56" s="1"/>
  <c r="E184" i="56"/>
  <c r="D184" i="56"/>
  <c r="L184" i="56" s="1"/>
  <c r="C184" i="56"/>
  <c r="M177" i="56"/>
  <c r="L177" i="56"/>
  <c r="P177" i="56"/>
  <c r="I177" i="56"/>
  <c r="H177" i="56"/>
  <c r="G177" i="56"/>
  <c r="F177" i="56"/>
  <c r="E177" i="56"/>
  <c r="D177" i="56"/>
  <c r="C177" i="56"/>
  <c r="Q176" i="56"/>
  <c r="I176" i="56"/>
  <c r="H176" i="56"/>
  <c r="P176" i="56" s="1"/>
  <c r="G176" i="56"/>
  <c r="F176" i="56"/>
  <c r="N176" i="56" s="1"/>
  <c r="E176" i="56"/>
  <c r="D176" i="56"/>
  <c r="C176" i="56"/>
  <c r="M175" i="56"/>
  <c r="I175" i="56"/>
  <c r="Q175" i="56" s="1"/>
  <c r="H175" i="56"/>
  <c r="P175" i="56" s="1"/>
  <c r="G175" i="56"/>
  <c r="O175" i="56" s="1"/>
  <c r="F175" i="56"/>
  <c r="N175" i="56" s="1"/>
  <c r="E175" i="56"/>
  <c r="D175" i="56"/>
  <c r="L175" i="56" s="1"/>
  <c r="C175" i="56"/>
  <c r="I174" i="56"/>
  <c r="H174" i="56"/>
  <c r="G174" i="56"/>
  <c r="O174" i="56" s="1"/>
  <c r="F174" i="56"/>
  <c r="E174" i="56"/>
  <c r="D174" i="56"/>
  <c r="L174" i="56" s="1"/>
  <c r="C174" i="56"/>
  <c r="I173" i="56"/>
  <c r="G173" i="56"/>
  <c r="D173" i="56"/>
  <c r="L173" i="56" s="1"/>
  <c r="C173" i="56"/>
  <c r="I172" i="56"/>
  <c r="Q172" i="56" s="1"/>
  <c r="H172" i="56"/>
  <c r="G172" i="56"/>
  <c r="C172" i="56"/>
  <c r="I171" i="56"/>
  <c r="H171" i="56"/>
  <c r="P171" i="56" s="1"/>
  <c r="G171" i="56"/>
  <c r="F171" i="56"/>
  <c r="E171" i="56"/>
  <c r="D171" i="56"/>
  <c r="C171" i="56"/>
  <c r="I170" i="56"/>
  <c r="H170" i="56"/>
  <c r="G170" i="56"/>
  <c r="F170" i="56"/>
  <c r="E170" i="56"/>
  <c r="D170" i="56"/>
  <c r="L170" i="56" s="1"/>
  <c r="C170" i="56"/>
  <c r="I169" i="56"/>
  <c r="Q169" i="56" s="1"/>
  <c r="H169" i="56"/>
  <c r="P169" i="56" s="1"/>
  <c r="G169" i="56"/>
  <c r="F169" i="56"/>
  <c r="N169" i="56" s="1"/>
  <c r="E169" i="56"/>
  <c r="D169" i="56"/>
  <c r="L169" i="56" s="1"/>
  <c r="C169" i="56"/>
  <c r="L168" i="56"/>
  <c r="I168" i="56"/>
  <c r="Q168" i="56" s="1"/>
  <c r="H168" i="56"/>
  <c r="P168" i="56" s="1"/>
  <c r="G168" i="56"/>
  <c r="O168" i="56" s="1"/>
  <c r="F168" i="56"/>
  <c r="N168" i="56" s="1"/>
  <c r="E168" i="56"/>
  <c r="M168" i="56" s="1"/>
  <c r="D168" i="56"/>
  <c r="C168" i="56"/>
  <c r="I167" i="56"/>
  <c r="H167" i="56"/>
  <c r="P167" i="56" s="1"/>
  <c r="G167" i="56"/>
  <c r="O167" i="56" s="1"/>
  <c r="F167" i="56"/>
  <c r="E167" i="56"/>
  <c r="D167" i="56"/>
  <c r="C167" i="56"/>
  <c r="C160" i="56"/>
  <c r="I159" i="56"/>
  <c r="Q159" i="56" s="1"/>
  <c r="G159" i="56"/>
  <c r="O159" i="56" s="1"/>
  <c r="C159" i="56"/>
  <c r="H158" i="56"/>
  <c r="F158" i="56"/>
  <c r="C158" i="56"/>
  <c r="G157" i="56"/>
  <c r="E157" i="56"/>
  <c r="M157" i="56" s="1"/>
  <c r="C157" i="56"/>
  <c r="C156" i="56"/>
  <c r="E155" i="56"/>
  <c r="M155" i="56" s="1"/>
  <c r="C155" i="56"/>
  <c r="D155" i="56" s="1"/>
  <c r="L155" i="56" s="1"/>
  <c r="C154" i="56"/>
  <c r="E153" i="56"/>
  <c r="D153" i="56"/>
  <c r="L153" i="56" s="1"/>
  <c r="C153" i="56"/>
  <c r="E152" i="56"/>
  <c r="D152" i="56"/>
  <c r="L152" i="56" s="1"/>
  <c r="C152" i="56"/>
  <c r="C151" i="56"/>
  <c r="C150" i="56"/>
  <c r="L143" i="56"/>
  <c r="I143" i="56"/>
  <c r="H143" i="56"/>
  <c r="G143" i="56"/>
  <c r="F143" i="56"/>
  <c r="E143" i="56"/>
  <c r="D143" i="56"/>
  <c r="C143" i="56"/>
  <c r="I142" i="56"/>
  <c r="Q142" i="56" s="1"/>
  <c r="H142" i="56"/>
  <c r="P142" i="56" s="1"/>
  <c r="G142" i="56"/>
  <c r="O142" i="56" s="1"/>
  <c r="F142" i="56"/>
  <c r="N142" i="56" s="1"/>
  <c r="E142" i="56"/>
  <c r="M142" i="56" s="1"/>
  <c r="D142" i="56"/>
  <c r="L142" i="56" s="1"/>
  <c r="C142" i="56"/>
  <c r="I141" i="56"/>
  <c r="Q141" i="56" s="1"/>
  <c r="H141" i="56"/>
  <c r="G141" i="56"/>
  <c r="O141" i="56" s="1"/>
  <c r="F141" i="56"/>
  <c r="N141" i="56" s="1"/>
  <c r="E141" i="56"/>
  <c r="M141" i="56" s="1"/>
  <c r="D141" i="56"/>
  <c r="L141" i="56" s="1"/>
  <c r="C141" i="56"/>
  <c r="I140" i="56"/>
  <c r="H140" i="56"/>
  <c r="G140" i="56"/>
  <c r="F140" i="56"/>
  <c r="E140" i="56"/>
  <c r="D140" i="56"/>
  <c r="L140" i="56" s="1"/>
  <c r="C140" i="56"/>
  <c r="H139" i="56"/>
  <c r="P139" i="56" s="1"/>
  <c r="G139" i="56"/>
  <c r="O139" i="56" s="1"/>
  <c r="F139" i="56"/>
  <c r="N139" i="56" s="1"/>
  <c r="E139" i="56"/>
  <c r="C139" i="56"/>
  <c r="D139" i="56" s="1"/>
  <c r="L139" i="56" s="1"/>
  <c r="E138" i="56"/>
  <c r="D138" i="56"/>
  <c r="C138" i="56"/>
  <c r="I138" i="56" s="1"/>
  <c r="I137" i="56"/>
  <c r="H137" i="56"/>
  <c r="G137" i="56"/>
  <c r="F137" i="56"/>
  <c r="E137" i="56"/>
  <c r="D137" i="56"/>
  <c r="C137" i="56"/>
  <c r="I136" i="56"/>
  <c r="H136" i="56"/>
  <c r="G136" i="56"/>
  <c r="F136" i="56"/>
  <c r="N136" i="56" s="1"/>
  <c r="E136" i="56"/>
  <c r="D136" i="56"/>
  <c r="C136" i="56"/>
  <c r="I135" i="56"/>
  <c r="H135" i="56"/>
  <c r="G135" i="56"/>
  <c r="F135" i="56"/>
  <c r="N135" i="56" s="1"/>
  <c r="E135" i="56"/>
  <c r="M135" i="56" s="1"/>
  <c r="D135" i="56"/>
  <c r="L135" i="56" s="1"/>
  <c r="C135" i="56"/>
  <c r="I134" i="56"/>
  <c r="Q134" i="56" s="1"/>
  <c r="H134" i="56"/>
  <c r="P134" i="56" s="1"/>
  <c r="G134" i="56"/>
  <c r="O134" i="56" s="1"/>
  <c r="F134" i="56"/>
  <c r="N134" i="56" s="1"/>
  <c r="E134" i="56"/>
  <c r="M134" i="56" s="1"/>
  <c r="D134" i="56"/>
  <c r="L134" i="56" s="1"/>
  <c r="C134" i="56"/>
  <c r="I133" i="56"/>
  <c r="Q133" i="56" s="1"/>
  <c r="H133" i="56"/>
  <c r="P133" i="56" s="1"/>
  <c r="G133" i="56"/>
  <c r="O133" i="56" s="1"/>
  <c r="F133" i="56"/>
  <c r="N133" i="56" s="1"/>
  <c r="E133" i="56"/>
  <c r="D133" i="56"/>
  <c r="C133" i="56"/>
  <c r="I126" i="56"/>
  <c r="H126" i="56"/>
  <c r="G126" i="56"/>
  <c r="F126" i="56"/>
  <c r="E126" i="56"/>
  <c r="D126" i="56"/>
  <c r="C126" i="56"/>
  <c r="I125" i="56"/>
  <c r="H125" i="56"/>
  <c r="G125" i="56"/>
  <c r="F125" i="56"/>
  <c r="E125" i="56"/>
  <c r="D125" i="56"/>
  <c r="C125" i="56"/>
  <c r="I124" i="56"/>
  <c r="H124" i="56"/>
  <c r="G124" i="56"/>
  <c r="F124" i="56"/>
  <c r="E124" i="56"/>
  <c r="D124" i="56"/>
  <c r="C124" i="56"/>
  <c r="I123" i="56"/>
  <c r="H123" i="56"/>
  <c r="G123" i="56"/>
  <c r="F123" i="56"/>
  <c r="E123" i="56"/>
  <c r="D123" i="56"/>
  <c r="C123" i="56"/>
  <c r="C122" i="56"/>
  <c r="I121" i="56"/>
  <c r="H121" i="56"/>
  <c r="G121" i="56"/>
  <c r="F121" i="56"/>
  <c r="E121" i="56"/>
  <c r="D121" i="56"/>
  <c r="C121" i="56"/>
  <c r="I120" i="56"/>
  <c r="H120" i="56"/>
  <c r="G120" i="56"/>
  <c r="F120" i="56"/>
  <c r="E120" i="56"/>
  <c r="D120" i="56"/>
  <c r="C120" i="56"/>
  <c r="I119" i="56"/>
  <c r="H119" i="56"/>
  <c r="G119" i="56"/>
  <c r="F119" i="56"/>
  <c r="E119" i="56"/>
  <c r="D119" i="56"/>
  <c r="C119" i="56"/>
  <c r="I118" i="56"/>
  <c r="H118" i="56"/>
  <c r="G118" i="56"/>
  <c r="F118" i="56"/>
  <c r="E118" i="56"/>
  <c r="D118" i="56"/>
  <c r="C118" i="56"/>
  <c r="I117" i="56"/>
  <c r="H117" i="56"/>
  <c r="G117" i="56"/>
  <c r="F117" i="56"/>
  <c r="E117" i="56"/>
  <c r="D117" i="56"/>
  <c r="C117" i="56"/>
  <c r="I116" i="56"/>
  <c r="H116" i="56"/>
  <c r="G116" i="56"/>
  <c r="F116" i="56"/>
  <c r="E116" i="56"/>
  <c r="D116" i="56"/>
  <c r="C116" i="56"/>
  <c r="I109" i="56"/>
  <c r="H109" i="56"/>
  <c r="G109" i="56"/>
  <c r="F109" i="56"/>
  <c r="E109" i="56"/>
  <c r="D109" i="56"/>
  <c r="C109" i="56"/>
  <c r="I108" i="56"/>
  <c r="H108" i="56"/>
  <c r="G108" i="56"/>
  <c r="F108" i="56"/>
  <c r="E108" i="56"/>
  <c r="D108" i="56"/>
  <c r="C108" i="56"/>
  <c r="I107" i="56"/>
  <c r="H107" i="56"/>
  <c r="G107" i="56"/>
  <c r="F107" i="56"/>
  <c r="E107" i="56"/>
  <c r="D107" i="56"/>
  <c r="C107" i="56"/>
  <c r="I106" i="56"/>
  <c r="H106" i="56"/>
  <c r="G106" i="56"/>
  <c r="F106" i="56"/>
  <c r="E106" i="56"/>
  <c r="D106" i="56"/>
  <c r="C106" i="56"/>
  <c r="H105" i="56"/>
  <c r="G105" i="56"/>
  <c r="F105" i="56"/>
  <c r="E105" i="56"/>
  <c r="C105" i="56"/>
  <c r="D105" i="56" s="1"/>
  <c r="F104" i="56"/>
  <c r="E104" i="56"/>
  <c r="D104" i="56"/>
  <c r="C104" i="56"/>
  <c r="I104" i="56" s="1"/>
  <c r="I103" i="56"/>
  <c r="H103" i="56"/>
  <c r="G103" i="56"/>
  <c r="F103" i="56"/>
  <c r="E103" i="56"/>
  <c r="D103" i="56"/>
  <c r="C103" i="56"/>
  <c r="I102" i="56"/>
  <c r="H102" i="56"/>
  <c r="G102" i="56"/>
  <c r="F102" i="56"/>
  <c r="E102" i="56"/>
  <c r="D102" i="56"/>
  <c r="C102" i="56"/>
  <c r="I101" i="56"/>
  <c r="H101" i="56"/>
  <c r="G101" i="56"/>
  <c r="F101" i="56"/>
  <c r="E101" i="56"/>
  <c r="D101" i="56"/>
  <c r="C101" i="56"/>
  <c r="I100" i="56"/>
  <c r="H100" i="56"/>
  <c r="G100" i="56"/>
  <c r="F100" i="56"/>
  <c r="E100" i="56"/>
  <c r="D100" i="56"/>
  <c r="C100" i="56"/>
  <c r="I99" i="56"/>
  <c r="H99" i="56"/>
  <c r="G99" i="56"/>
  <c r="F99" i="56"/>
  <c r="E99" i="56"/>
  <c r="D99" i="56"/>
  <c r="C99" i="56"/>
  <c r="Q92" i="56"/>
  <c r="P92" i="56"/>
  <c r="I92" i="56"/>
  <c r="H92" i="56"/>
  <c r="G92" i="56"/>
  <c r="O92" i="56" s="1"/>
  <c r="F92" i="56"/>
  <c r="N92" i="56" s="1"/>
  <c r="E92" i="56"/>
  <c r="M92" i="56" s="1"/>
  <c r="D92" i="56"/>
  <c r="L92" i="56" s="1"/>
  <c r="C92" i="56"/>
  <c r="I91" i="56"/>
  <c r="Q91" i="56" s="1"/>
  <c r="H91" i="56"/>
  <c r="G91" i="56"/>
  <c r="O91" i="56" s="1"/>
  <c r="F91" i="56"/>
  <c r="N91" i="56" s="1"/>
  <c r="E91" i="56"/>
  <c r="M91" i="56" s="1"/>
  <c r="D91" i="56"/>
  <c r="L91" i="56" s="1"/>
  <c r="C91" i="56"/>
  <c r="M90" i="56"/>
  <c r="I90" i="56"/>
  <c r="Q90" i="56" s="1"/>
  <c r="H90" i="56"/>
  <c r="G90" i="56"/>
  <c r="F90" i="56"/>
  <c r="E90" i="56"/>
  <c r="D90" i="56"/>
  <c r="L90" i="56" s="1"/>
  <c r="C90" i="56"/>
  <c r="I89" i="56"/>
  <c r="H89" i="56"/>
  <c r="G89" i="56"/>
  <c r="F89" i="56"/>
  <c r="E89" i="56"/>
  <c r="D89" i="56"/>
  <c r="C89" i="56"/>
  <c r="H88" i="56"/>
  <c r="P88" i="56" s="1"/>
  <c r="G88" i="56"/>
  <c r="O88" i="56" s="1"/>
  <c r="F88" i="56"/>
  <c r="N88" i="56" s="1"/>
  <c r="E88" i="56"/>
  <c r="M88" i="56" s="1"/>
  <c r="C88" i="56"/>
  <c r="D88" i="56" s="1"/>
  <c r="L88" i="56" s="1"/>
  <c r="F87" i="56"/>
  <c r="E87" i="56"/>
  <c r="D87" i="56"/>
  <c r="L87" i="56" s="1"/>
  <c r="C87" i="56"/>
  <c r="I87" i="56" s="1"/>
  <c r="I86" i="56"/>
  <c r="H86" i="56"/>
  <c r="G86" i="56"/>
  <c r="F86" i="56"/>
  <c r="E86" i="56"/>
  <c r="M86" i="56" s="1"/>
  <c r="D86" i="56"/>
  <c r="C86" i="56"/>
  <c r="I85" i="56"/>
  <c r="H85" i="56"/>
  <c r="G85" i="56"/>
  <c r="F85" i="56"/>
  <c r="E85" i="56"/>
  <c r="D85" i="56"/>
  <c r="C85" i="56"/>
  <c r="I84" i="56"/>
  <c r="Q84" i="56" s="1"/>
  <c r="H84" i="56"/>
  <c r="P84" i="56" s="1"/>
  <c r="G84" i="56"/>
  <c r="O84" i="56" s="1"/>
  <c r="F84" i="56"/>
  <c r="N84" i="56" s="1"/>
  <c r="E84" i="56"/>
  <c r="M84" i="56" s="1"/>
  <c r="D84" i="56"/>
  <c r="L84" i="56" s="1"/>
  <c r="C84" i="56"/>
  <c r="M83" i="56"/>
  <c r="I83" i="56"/>
  <c r="Q83" i="56" s="1"/>
  <c r="H83" i="56"/>
  <c r="G83" i="56"/>
  <c r="O83" i="56" s="1"/>
  <c r="F83" i="56"/>
  <c r="N83" i="56" s="1"/>
  <c r="E83" i="56"/>
  <c r="D83" i="56"/>
  <c r="L83" i="56" s="1"/>
  <c r="C83" i="56"/>
  <c r="I82" i="56"/>
  <c r="H82" i="56"/>
  <c r="G82" i="56"/>
  <c r="F82" i="56"/>
  <c r="E82" i="56"/>
  <c r="D82" i="56"/>
  <c r="C82" i="56"/>
  <c r="Q75" i="56"/>
  <c r="P75" i="56"/>
  <c r="O75" i="56"/>
  <c r="L75" i="56"/>
  <c r="I75" i="56"/>
  <c r="H75" i="56"/>
  <c r="G75" i="56"/>
  <c r="F75" i="56"/>
  <c r="N75" i="56" s="1"/>
  <c r="E75" i="56"/>
  <c r="M75" i="56" s="1"/>
  <c r="D75" i="56"/>
  <c r="C75" i="56"/>
  <c r="I74" i="56"/>
  <c r="H74" i="56"/>
  <c r="G74" i="56"/>
  <c r="O74" i="56" s="1"/>
  <c r="F74" i="56"/>
  <c r="N74" i="56" s="1"/>
  <c r="E74" i="56"/>
  <c r="M74" i="56" s="1"/>
  <c r="D74" i="56"/>
  <c r="L74" i="56" s="1"/>
  <c r="C74" i="56"/>
  <c r="I73" i="56"/>
  <c r="H73" i="56"/>
  <c r="G73" i="56"/>
  <c r="F73" i="56"/>
  <c r="E73" i="56"/>
  <c r="M73" i="56" s="1"/>
  <c r="D73" i="56"/>
  <c r="C73" i="56"/>
  <c r="I72" i="56"/>
  <c r="H72" i="56"/>
  <c r="G72" i="56"/>
  <c r="F72" i="56"/>
  <c r="E72" i="56"/>
  <c r="D72" i="56"/>
  <c r="C72" i="56"/>
  <c r="H71" i="56"/>
  <c r="P71" i="56" s="1"/>
  <c r="G71" i="56"/>
  <c r="O71" i="56" s="1"/>
  <c r="F71" i="56"/>
  <c r="N71" i="56" s="1"/>
  <c r="E71" i="56"/>
  <c r="M71" i="56" s="1"/>
  <c r="D71" i="56"/>
  <c r="L71" i="56" s="1"/>
  <c r="C71" i="56"/>
  <c r="I71" i="56" s="1"/>
  <c r="Q71" i="56" s="1"/>
  <c r="F70" i="56"/>
  <c r="N70" i="56" s="1"/>
  <c r="E70" i="56"/>
  <c r="M70" i="56" s="1"/>
  <c r="D70" i="56"/>
  <c r="C70" i="56"/>
  <c r="I70" i="56" s="1"/>
  <c r="I69" i="56"/>
  <c r="H69" i="56"/>
  <c r="G69" i="56"/>
  <c r="F69" i="56"/>
  <c r="E69" i="56"/>
  <c r="D69" i="56"/>
  <c r="C69" i="56"/>
  <c r="I68" i="56"/>
  <c r="H68" i="56"/>
  <c r="G68" i="56"/>
  <c r="F68" i="56"/>
  <c r="E68" i="56"/>
  <c r="D68" i="56"/>
  <c r="C68" i="56"/>
  <c r="I67" i="56"/>
  <c r="Q67" i="56" s="1"/>
  <c r="H67" i="56"/>
  <c r="P67" i="56" s="1"/>
  <c r="G67" i="56"/>
  <c r="O67" i="56" s="1"/>
  <c r="F67" i="56"/>
  <c r="N67" i="56" s="1"/>
  <c r="E67" i="56"/>
  <c r="M67" i="56" s="1"/>
  <c r="D67" i="56"/>
  <c r="L67" i="56" s="1"/>
  <c r="C67" i="56"/>
  <c r="O66" i="56"/>
  <c r="I66" i="56"/>
  <c r="H66" i="56"/>
  <c r="G66" i="56"/>
  <c r="F66" i="56"/>
  <c r="N66" i="56" s="1"/>
  <c r="E66" i="56"/>
  <c r="M66" i="56" s="1"/>
  <c r="D66" i="56"/>
  <c r="C66" i="56"/>
  <c r="I65" i="56"/>
  <c r="H65" i="56"/>
  <c r="G65" i="56"/>
  <c r="F65" i="56"/>
  <c r="E65" i="56"/>
  <c r="D65" i="56"/>
  <c r="L65" i="56" s="1"/>
  <c r="C65" i="56"/>
  <c r="Q58" i="56"/>
  <c r="O58" i="56"/>
  <c r="I58" i="56"/>
  <c r="H58" i="56"/>
  <c r="P58" i="56" s="1"/>
  <c r="G58" i="56"/>
  <c r="F58" i="56"/>
  <c r="N58" i="56" s="1"/>
  <c r="E58" i="56"/>
  <c r="M58" i="56" s="1"/>
  <c r="D58" i="56"/>
  <c r="L58" i="56" s="1"/>
  <c r="C58" i="56"/>
  <c r="O57" i="56"/>
  <c r="I57" i="56"/>
  <c r="Q57" i="56" s="1"/>
  <c r="H57" i="56"/>
  <c r="P57" i="56" s="1"/>
  <c r="G57" i="56"/>
  <c r="F57" i="56"/>
  <c r="E57" i="56"/>
  <c r="D57" i="56"/>
  <c r="C57" i="56"/>
  <c r="I56" i="56"/>
  <c r="Q56" i="56" s="1"/>
  <c r="H56" i="56"/>
  <c r="P56" i="56" s="1"/>
  <c r="G56" i="56"/>
  <c r="O56" i="56" s="1"/>
  <c r="F56" i="56"/>
  <c r="N56" i="56" s="1"/>
  <c r="E56" i="56"/>
  <c r="M56" i="56" s="1"/>
  <c r="D56" i="56"/>
  <c r="L56" i="56" s="1"/>
  <c r="C56" i="56"/>
  <c r="M55" i="56"/>
  <c r="I55" i="56"/>
  <c r="H55" i="56"/>
  <c r="G55" i="56"/>
  <c r="F55" i="56"/>
  <c r="E55" i="56"/>
  <c r="D55" i="56"/>
  <c r="C55" i="56"/>
  <c r="I54" i="56"/>
  <c r="Q54" i="56" s="1"/>
  <c r="H54" i="56"/>
  <c r="P54" i="56" s="1"/>
  <c r="G54" i="56"/>
  <c r="D54" i="56"/>
  <c r="C54" i="56"/>
  <c r="F54" i="56" s="1"/>
  <c r="I53" i="56"/>
  <c r="H53" i="56"/>
  <c r="G53" i="56"/>
  <c r="F53" i="56"/>
  <c r="E53" i="56"/>
  <c r="D53" i="56"/>
  <c r="C53" i="56"/>
  <c r="O52" i="56"/>
  <c r="I52" i="56"/>
  <c r="Q52" i="56" s="1"/>
  <c r="H52" i="56"/>
  <c r="P52" i="56" s="1"/>
  <c r="G52" i="56"/>
  <c r="F52" i="56"/>
  <c r="N52" i="56" s="1"/>
  <c r="E52" i="56"/>
  <c r="M52" i="56" s="1"/>
  <c r="D52" i="56"/>
  <c r="L52" i="56" s="1"/>
  <c r="C52" i="56"/>
  <c r="I51" i="56"/>
  <c r="Q51" i="56" s="1"/>
  <c r="H51" i="56"/>
  <c r="G51" i="56"/>
  <c r="F51" i="56"/>
  <c r="E51" i="56"/>
  <c r="D51" i="56"/>
  <c r="C51" i="56"/>
  <c r="I50" i="56"/>
  <c r="Q50" i="56" s="1"/>
  <c r="H50" i="56"/>
  <c r="P50" i="56" s="1"/>
  <c r="G50" i="56"/>
  <c r="F50" i="56"/>
  <c r="E50" i="56"/>
  <c r="D50" i="56"/>
  <c r="C50" i="56"/>
  <c r="I49" i="56"/>
  <c r="Q49" i="56" s="1"/>
  <c r="H49" i="56"/>
  <c r="P49" i="56" s="1"/>
  <c r="G49" i="56"/>
  <c r="O49" i="56" s="1"/>
  <c r="F49" i="56"/>
  <c r="N49" i="56" s="1"/>
  <c r="E49" i="56"/>
  <c r="D49" i="56"/>
  <c r="C49" i="56"/>
  <c r="O48" i="56"/>
  <c r="N48" i="56"/>
  <c r="P48" i="56"/>
  <c r="I48" i="56"/>
  <c r="Q48" i="56" s="1"/>
  <c r="H48" i="56"/>
  <c r="G48" i="56"/>
  <c r="F48" i="56"/>
  <c r="E48" i="56"/>
  <c r="M48" i="56" s="1"/>
  <c r="D48" i="56"/>
  <c r="C48" i="56"/>
  <c r="Q41" i="56"/>
  <c r="P41" i="56"/>
  <c r="I41" i="56"/>
  <c r="H41" i="56"/>
  <c r="G41" i="56"/>
  <c r="F41" i="56"/>
  <c r="E41" i="56"/>
  <c r="D41" i="56"/>
  <c r="C41" i="56"/>
  <c r="I40" i="56"/>
  <c r="Q40" i="56" s="1"/>
  <c r="H40" i="56"/>
  <c r="P40" i="56" s="1"/>
  <c r="G40" i="56"/>
  <c r="O40" i="56" s="1"/>
  <c r="F40" i="56"/>
  <c r="N40" i="56" s="1"/>
  <c r="E40" i="56"/>
  <c r="D40" i="56"/>
  <c r="C40" i="56"/>
  <c r="I39" i="56"/>
  <c r="Q39" i="56" s="1"/>
  <c r="H39" i="56"/>
  <c r="P39" i="56" s="1"/>
  <c r="G39" i="56"/>
  <c r="O39" i="56" s="1"/>
  <c r="F39" i="56"/>
  <c r="N39" i="56" s="1"/>
  <c r="E39" i="56"/>
  <c r="M39" i="56" s="1"/>
  <c r="D39" i="56"/>
  <c r="L39" i="56" s="1"/>
  <c r="C39" i="56"/>
  <c r="I38" i="56"/>
  <c r="H38" i="56"/>
  <c r="G38" i="56"/>
  <c r="F38" i="56"/>
  <c r="E38" i="56"/>
  <c r="D38" i="56"/>
  <c r="L38" i="56" s="1"/>
  <c r="C38" i="56"/>
  <c r="I37" i="56"/>
  <c r="Q37" i="56" s="1"/>
  <c r="H37" i="56"/>
  <c r="P37" i="56" s="1"/>
  <c r="G37" i="56"/>
  <c r="E37" i="56"/>
  <c r="D37" i="56"/>
  <c r="C37" i="56"/>
  <c r="F37" i="56" s="1"/>
  <c r="H36" i="56"/>
  <c r="P36" i="56" s="1"/>
  <c r="G36" i="56"/>
  <c r="O36" i="56" s="1"/>
  <c r="F36" i="56"/>
  <c r="N36" i="56" s="1"/>
  <c r="C36" i="56"/>
  <c r="E36" i="56" s="1"/>
  <c r="I35" i="56"/>
  <c r="H35" i="56"/>
  <c r="P35" i="56" s="1"/>
  <c r="G35" i="56"/>
  <c r="F35" i="56"/>
  <c r="E35" i="56"/>
  <c r="M35" i="56" s="1"/>
  <c r="D35" i="56"/>
  <c r="C35" i="56"/>
  <c r="I34" i="56"/>
  <c r="H34" i="56"/>
  <c r="G34" i="56"/>
  <c r="F34" i="56"/>
  <c r="E34" i="56"/>
  <c r="M34" i="56" s="1"/>
  <c r="D34" i="56"/>
  <c r="C34" i="56"/>
  <c r="I33" i="56"/>
  <c r="Q33" i="56" s="1"/>
  <c r="H33" i="56"/>
  <c r="P33" i="56" s="1"/>
  <c r="G33" i="56"/>
  <c r="F33" i="56"/>
  <c r="E33" i="56"/>
  <c r="D33" i="56"/>
  <c r="C33" i="56"/>
  <c r="I32" i="56"/>
  <c r="Q32" i="56" s="1"/>
  <c r="H32" i="56"/>
  <c r="P32" i="56" s="1"/>
  <c r="G32" i="56"/>
  <c r="O32" i="56" s="1"/>
  <c r="F32" i="56"/>
  <c r="N32" i="56" s="1"/>
  <c r="E32" i="56"/>
  <c r="M32" i="56" s="1"/>
  <c r="D32" i="56"/>
  <c r="C32" i="56"/>
  <c r="I31" i="56"/>
  <c r="Q31" i="56" s="1"/>
  <c r="H31" i="56"/>
  <c r="P31" i="56" s="1"/>
  <c r="G31" i="56"/>
  <c r="O31" i="56" s="1"/>
  <c r="F31" i="56"/>
  <c r="N31" i="56" s="1"/>
  <c r="E31" i="56"/>
  <c r="M31" i="56" s="1"/>
  <c r="D31" i="56"/>
  <c r="L31" i="56" s="1"/>
  <c r="C31" i="56"/>
  <c r="O261" i="46"/>
  <c r="N261" i="46"/>
  <c r="K261" i="46"/>
  <c r="K260" i="46"/>
  <c r="K256" i="46"/>
  <c r="K255" i="46"/>
  <c r="I261" i="46"/>
  <c r="Q261" i="46" s="1"/>
  <c r="H261" i="46"/>
  <c r="P261" i="46" s="1"/>
  <c r="G261" i="46"/>
  <c r="F261" i="46"/>
  <c r="E261" i="46"/>
  <c r="M261" i="46" s="1"/>
  <c r="D261" i="46"/>
  <c r="L261" i="46" s="1"/>
  <c r="I260" i="46"/>
  <c r="Q260" i="46" s="1"/>
  <c r="H260" i="46"/>
  <c r="P260" i="46" s="1"/>
  <c r="G260" i="46"/>
  <c r="O260" i="46" s="1"/>
  <c r="F260" i="46"/>
  <c r="N260" i="46" s="1"/>
  <c r="E260" i="46"/>
  <c r="M260" i="46" s="1"/>
  <c r="D260" i="46"/>
  <c r="L260" i="46" s="1"/>
  <c r="I259" i="46"/>
  <c r="Q259" i="46" s="1"/>
  <c r="H259" i="46"/>
  <c r="P259" i="46" s="1"/>
  <c r="G259" i="46"/>
  <c r="O259" i="46" s="1"/>
  <c r="F259" i="46"/>
  <c r="N259" i="46" s="1"/>
  <c r="E259" i="46"/>
  <c r="M259" i="46" s="1"/>
  <c r="D259" i="46"/>
  <c r="L259" i="46" s="1"/>
  <c r="I256" i="46"/>
  <c r="Q256" i="46" s="1"/>
  <c r="H256" i="46"/>
  <c r="P256" i="46" s="1"/>
  <c r="G256" i="46"/>
  <c r="O256" i="46" s="1"/>
  <c r="F256" i="46"/>
  <c r="N256" i="46" s="1"/>
  <c r="E256" i="46"/>
  <c r="M256" i="46" s="1"/>
  <c r="D256" i="46"/>
  <c r="L256" i="46" s="1"/>
  <c r="I255" i="46"/>
  <c r="Q255" i="46" s="1"/>
  <c r="H255" i="46"/>
  <c r="P255" i="46" s="1"/>
  <c r="G255" i="46"/>
  <c r="O255" i="46" s="1"/>
  <c r="F255" i="46"/>
  <c r="N255" i="46" s="1"/>
  <c r="E255" i="46"/>
  <c r="M255" i="46" s="1"/>
  <c r="D255" i="46"/>
  <c r="L255" i="46" s="1"/>
  <c r="I254" i="46"/>
  <c r="Q254" i="46" s="1"/>
  <c r="H254" i="46"/>
  <c r="P254" i="46" s="1"/>
  <c r="G254" i="46"/>
  <c r="O254" i="46" s="1"/>
  <c r="F254" i="46"/>
  <c r="N254" i="46" s="1"/>
  <c r="E254" i="46"/>
  <c r="M254" i="46" s="1"/>
  <c r="C261" i="46"/>
  <c r="C260" i="46"/>
  <c r="C259" i="46"/>
  <c r="C256" i="46"/>
  <c r="C255" i="46"/>
  <c r="C254" i="46"/>
  <c r="K244" i="46"/>
  <c r="K243" i="46"/>
  <c r="K239" i="46"/>
  <c r="K238" i="46"/>
  <c r="C244" i="46"/>
  <c r="C243" i="46"/>
  <c r="C242" i="46"/>
  <c r="F244" i="46" s="1"/>
  <c r="C239" i="46"/>
  <c r="H239" i="46" s="1"/>
  <c r="C238" i="46"/>
  <c r="F238" i="46" s="1"/>
  <c r="C237" i="46"/>
  <c r="I237" i="46" s="1"/>
  <c r="K227" i="46"/>
  <c r="K226" i="46"/>
  <c r="K222" i="46"/>
  <c r="K221" i="46"/>
  <c r="C227" i="46"/>
  <c r="C226" i="46"/>
  <c r="C225" i="46"/>
  <c r="F227" i="46" s="1"/>
  <c r="C222" i="46"/>
  <c r="H222" i="46" s="1"/>
  <c r="C221" i="46"/>
  <c r="F221" i="46" s="1"/>
  <c r="C220" i="46"/>
  <c r="I220" i="46" s="1"/>
  <c r="K210" i="46"/>
  <c r="K209" i="46"/>
  <c r="K205" i="46"/>
  <c r="K204" i="46"/>
  <c r="C210" i="46"/>
  <c r="C209" i="46"/>
  <c r="C208" i="46"/>
  <c r="E210" i="46" s="1"/>
  <c r="C205" i="46"/>
  <c r="G205" i="46" s="1"/>
  <c r="C204" i="46"/>
  <c r="I204" i="46" s="1"/>
  <c r="C203" i="46"/>
  <c r="I203" i="46" s="1"/>
  <c r="K193" i="46"/>
  <c r="K192" i="46"/>
  <c r="K188" i="46"/>
  <c r="K187" i="46"/>
  <c r="C193" i="46"/>
  <c r="C192" i="46"/>
  <c r="C191" i="46"/>
  <c r="I193" i="46" s="1"/>
  <c r="C188" i="46"/>
  <c r="F188" i="46" s="1"/>
  <c r="C187" i="46"/>
  <c r="D187" i="46" s="1"/>
  <c r="C186" i="46"/>
  <c r="I186" i="46" s="1"/>
  <c r="C176" i="46"/>
  <c r="C175" i="46"/>
  <c r="C174" i="46"/>
  <c r="G176" i="46" s="1"/>
  <c r="K176" i="46"/>
  <c r="K175" i="46"/>
  <c r="C171" i="46"/>
  <c r="H171" i="46" s="1"/>
  <c r="P171" i="46" s="1"/>
  <c r="C170" i="46"/>
  <c r="I170" i="46" s="1"/>
  <c r="Q170" i="46" s="1"/>
  <c r="C169" i="46"/>
  <c r="I169" i="46" s="1"/>
  <c r="K159" i="46"/>
  <c r="K158" i="46"/>
  <c r="K154" i="46"/>
  <c r="K153" i="46"/>
  <c r="C159" i="46"/>
  <c r="C158" i="46"/>
  <c r="C157" i="46"/>
  <c r="F159" i="46" s="1"/>
  <c r="C154" i="46"/>
  <c r="H154" i="46" s="1"/>
  <c r="C153" i="46"/>
  <c r="F153" i="46" s="1"/>
  <c r="C152" i="46"/>
  <c r="I152" i="46" s="1"/>
  <c r="K142" i="46"/>
  <c r="K141" i="46"/>
  <c r="C142" i="46"/>
  <c r="C141" i="46"/>
  <c r="C140" i="46"/>
  <c r="H142" i="46" s="1"/>
  <c r="K137" i="46"/>
  <c r="K136" i="46"/>
  <c r="C137" i="46"/>
  <c r="I137" i="46" s="1"/>
  <c r="C136" i="46"/>
  <c r="G136" i="46" s="1"/>
  <c r="C135" i="46"/>
  <c r="E135" i="46" s="1"/>
  <c r="K124" i="46"/>
  <c r="K123" i="46"/>
  <c r="C124" i="46"/>
  <c r="C123" i="46"/>
  <c r="H124" i="46" s="1"/>
  <c r="C125" i="46"/>
  <c r="Q53" i="56" l="1"/>
  <c r="N87" i="56"/>
  <c r="M236" i="56"/>
  <c r="F157" i="56"/>
  <c r="N157" i="56" s="1"/>
  <c r="G158" i="56"/>
  <c r="O158" i="56" s="1"/>
  <c r="H159" i="56"/>
  <c r="P159" i="56" s="1"/>
  <c r="H157" i="56"/>
  <c r="P157" i="56" s="1"/>
  <c r="I158" i="56"/>
  <c r="Q158" i="56" s="1"/>
  <c r="I157" i="56"/>
  <c r="Q157" i="56" s="1"/>
  <c r="D159" i="56"/>
  <c r="L159" i="56" s="1"/>
  <c r="D158" i="56"/>
  <c r="L158" i="56" s="1"/>
  <c r="E159" i="56"/>
  <c r="M159" i="56" s="1"/>
  <c r="D157" i="56"/>
  <c r="L157" i="56" s="1"/>
  <c r="E158" i="56"/>
  <c r="M158" i="56" s="1"/>
  <c r="F159" i="56"/>
  <c r="N159" i="56" s="1"/>
  <c r="F155" i="56"/>
  <c r="N155" i="56" s="1"/>
  <c r="G155" i="56"/>
  <c r="O155" i="56" s="1"/>
  <c r="H155" i="56"/>
  <c r="P155" i="56" s="1"/>
  <c r="I155" i="56"/>
  <c r="Q155" i="56" s="1"/>
  <c r="F152" i="56"/>
  <c r="N152" i="56" s="1"/>
  <c r="F153" i="56"/>
  <c r="G154" i="56"/>
  <c r="O154" i="56" s="1"/>
  <c r="G152" i="56"/>
  <c r="O152" i="56" s="1"/>
  <c r="G153" i="56"/>
  <c r="O153" i="56" s="1"/>
  <c r="H154" i="56"/>
  <c r="F154" i="56"/>
  <c r="N154" i="56" s="1"/>
  <c r="H152" i="56"/>
  <c r="P152" i="56" s="1"/>
  <c r="H153" i="56"/>
  <c r="I154" i="56"/>
  <c r="Q154" i="56" s="1"/>
  <c r="I152" i="56"/>
  <c r="Q152" i="56" s="1"/>
  <c r="I153" i="56"/>
  <c r="E154" i="56"/>
  <c r="M154" i="56" s="1"/>
  <c r="D154" i="56"/>
  <c r="L154" i="56" s="1"/>
  <c r="M244" i="56"/>
  <c r="D263" i="56"/>
  <c r="Q238" i="56"/>
  <c r="Q187" i="56"/>
  <c r="D212" i="56"/>
  <c r="D20" i="56" s="1"/>
  <c r="D93" i="56"/>
  <c r="D13" i="56" s="1"/>
  <c r="N174" i="56"/>
  <c r="Q35" i="56"/>
  <c r="Q188" i="56"/>
  <c r="G42" i="56"/>
  <c r="G10" i="56" s="1"/>
  <c r="Q171" i="56"/>
  <c r="Q204" i="56"/>
  <c r="D110" i="56"/>
  <c r="D14" i="56" s="1"/>
  <c r="Q136" i="56"/>
  <c r="Q255" i="56"/>
  <c r="P170" i="56"/>
  <c r="D59" i="56"/>
  <c r="D11" i="56" s="1"/>
  <c r="F42" i="56"/>
  <c r="F10" i="56" s="1"/>
  <c r="D246" i="56"/>
  <c r="H42" i="56"/>
  <c r="H10" i="56" s="1"/>
  <c r="I59" i="56"/>
  <c r="F110" i="56"/>
  <c r="F14" i="56" s="1"/>
  <c r="D144" i="56"/>
  <c r="D16" i="56" s="1"/>
  <c r="D195" i="56"/>
  <c r="D19" i="56" s="1"/>
  <c r="D229" i="56"/>
  <c r="D21" i="56" s="1"/>
  <c r="L35" i="56"/>
  <c r="N35" i="56"/>
  <c r="O35" i="56"/>
  <c r="Q68" i="56"/>
  <c r="N53" i="56"/>
  <c r="O53" i="56"/>
  <c r="P53" i="56"/>
  <c r="Q87" i="56"/>
  <c r="M87" i="56"/>
  <c r="P136" i="56"/>
  <c r="L136" i="56"/>
  <c r="Q138" i="56"/>
  <c r="M136" i="56"/>
  <c r="L138" i="56"/>
  <c r="M138" i="56"/>
  <c r="N170" i="56"/>
  <c r="M174" i="56"/>
  <c r="M170" i="56"/>
  <c r="O171" i="56"/>
  <c r="O170" i="56"/>
  <c r="L171" i="56"/>
  <c r="P174" i="56"/>
  <c r="M171" i="56"/>
  <c r="Q174" i="56"/>
  <c r="Q170" i="56"/>
  <c r="N171" i="56"/>
  <c r="M167" i="56"/>
  <c r="N167" i="56"/>
  <c r="P187" i="56"/>
  <c r="M187" i="56"/>
  <c r="N187" i="56"/>
  <c r="O187" i="56"/>
  <c r="L206" i="56"/>
  <c r="N204" i="56"/>
  <c r="L223" i="56"/>
  <c r="N238" i="56"/>
  <c r="Q241" i="56"/>
  <c r="M241" i="56"/>
  <c r="L236" i="56"/>
  <c r="N241" i="56"/>
  <c r="M238" i="56"/>
  <c r="N255" i="56"/>
  <c r="M255" i="56"/>
  <c r="O279" i="56"/>
  <c r="O293" i="56"/>
  <c r="P279" i="56"/>
  <c r="M271" i="56"/>
  <c r="Q279" i="56"/>
  <c r="M287" i="56"/>
  <c r="Q293" i="56"/>
  <c r="N271" i="56"/>
  <c r="N287" i="56"/>
  <c r="O271" i="56"/>
  <c r="O287" i="56"/>
  <c r="P287" i="56"/>
  <c r="M279" i="56"/>
  <c r="Q287" i="56"/>
  <c r="P269" i="56"/>
  <c r="Q269" i="56"/>
  <c r="N269" i="56"/>
  <c r="M36" i="56"/>
  <c r="I42" i="56"/>
  <c r="I10" i="56" s="1"/>
  <c r="E42" i="56"/>
  <c r="E10" i="56" s="1"/>
  <c r="Q82" i="56"/>
  <c r="P82" i="56"/>
  <c r="O82" i="56"/>
  <c r="N82" i="56"/>
  <c r="P85" i="56"/>
  <c r="O85" i="56"/>
  <c r="N85" i="56"/>
  <c r="M85" i="56"/>
  <c r="L85" i="56"/>
  <c r="L34" i="56"/>
  <c r="E144" i="56"/>
  <c r="F59" i="56"/>
  <c r="I76" i="56"/>
  <c r="L33" i="56"/>
  <c r="N34" i="56"/>
  <c r="I36" i="56"/>
  <c r="Q36" i="56" s="1"/>
  <c r="L37" i="56"/>
  <c r="N38" i="56"/>
  <c r="L41" i="56"/>
  <c r="G59" i="56"/>
  <c r="L50" i="56"/>
  <c r="N51" i="56"/>
  <c r="L54" i="56"/>
  <c r="N55" i="56"/>
  <c r="Q65" i="56"/>
  <c r="P65" i="56"/>
  <c r="O65" i="56"/>
  <c r="N65" i="56"/>
  <c r="P68" i="56"/>
  <c r="O68" i="56"/>
  <c r="N68" i="56"/>
  <c r="M68" i="56"/>
  <c r="L68" i="56"/>
  <c r="L70" i="56"/>
  <c r="E93" i="56"/>
  <c r="Q89" i="56"/>
  <c r="P89" i="56"/>
  <c r="O89" i="56"/>
  <c r="N89" i="56"/>
  <c r="M89" i="56"/>
  <c r="L89" i="56"/>
  <c r="G178" i="56"/>
  <c r="G18" i="56" s="1"/>
  <c r="D42" i="56"/>
  <c r="Q73" i="56"/>
  <c r="P73" i="56"/>
  <c r="O73" i="56"/>
  <c r="N73" i="56"/>
  <c r="L82" i="56"/>
  <c r="Q85" i="56"/>
  <c r="Q153" i="56"/>
  <c r="P153" i="56"/>
  <c r="N153" i="56"/>
  <c r="M153" i="56"/>
  <c r="M51" i="56"/>
  <c r="M82" i="56"/>
  <c r="M33" i="56"/>
  <c r="M41" i="56"/>
  <c r="H59" i="56"/>
  <c r="M50" i="56"/>
  <c r="O51" i="56"/>
  <c r="O55" i="56"/>
  <c r="Q69" i="56"/>
  <c r="P69" i="56"/>
  <c r="O69" i="56"/>
  <c r="N69" i="56"/>
  <c r="F93" i="56"/>
  <c r="N37" i="56"/>
  <c r="L40" i="56"/>
  <c r="L49" i="56"/>
  <c r="N50" i="56"/>
  <c r="P51" i="56"/>
  <c r="L53" i="56"/>
  <c r="E54" i="56"/>
  <c r="M54" i="56" s="1"/>
  <c r="N54" i="56"/>
  <c r="P55" i="56"/>
  <c r="L57" i="56"/>
  <c r="D76" i="56"/>
  <c r="D12" i="56" s="1"/>
  <c r="M65" i="56"/>
  <c r="L66" i="56"/>
  <c r="L69" i="56"/>
  <c r="Q137" i="56"/>
  <c r="P137" i="56"/>
  <c r="O137" i="56"/>
  <c r="N137" i="56"/>
  <c r="M137" i="56"/>
  <c r="L137" i="56"/>
  <c r="P158" i="56"/>
  <c r="N158" i="56"/>
  <c r="I178" i="56"/>
  <c r="I18" i="56" s="1"/>
  <c r="Q167" i="56"/>
  <c r="G76" i="56"/>
  <c r="L51" i="56"/>
  <c r="L55" i="56"/>
  <c r="Q86" i="56"/>
  <c r="P86" i="56"/>
  <c r="O86" i="56"/>
  <c r="N86" i="56"/>
  <c r="M38" i="56"/>
  <c r="L86" i="56"/>
  <c r="O34" i="56"/>
  <c r="M37" i="56"/>
  <c r="O38" i="56"/>
  <c r="L32" i="56"/>
  <c r="N33" i="56"/>
  <c r="P34" i="56"/>
  <c r="P38" i="56"/>
  <c r="N41" i="56"/>
  <c r="O33" i="56"/>
  <c r="Q34" i="56"/>
  <c r="D36" i="56"/>
  <c r="L36" i="56" s="1"/>
  <c r="O37" i="56"/>
  <c r="Q38" i="56"/>
  <c r="M40" i="56"/>
  <c r="O41" i="56"/>
  <c r="M49" i="56"/>
  <c r="O50" i="56"/>
  <c r="M53" i="56"/>
  <c r="O54" i="56"/>
  <c r="Q55" i="56"/>
  <c r="Q59" i="56" s="1"/>
  <c r="Q11" i="56" s="1"/>
  <c r="M57" i="56"/>
  <c r="E76" i="56"/>
  <c r="M69" i="56"/>
  <c r="M143" i="56"/>
  <c r="Q143" i="56"/>
  <c r="P143" i="56"/>
  <c r="O143" i="56"/>
  <c r="N143" i="56"/>
  <c r="D156" i="56"/>
  <c r="L156" i="56" s="1"/>
  <c r="I156" i="56"/>
  <c r="Q156" i="56" s="1"/>
  <c r="H156" i="56"/>
  <c r="G156" i="56"/>
  <c r="O156" i="56" s="1"/>
  <c r="F156" i="56"/>
  <c r="N156" i="56" s="1"/>
  <c r="E156" i="56"/>
  <c r="M156" i="56" s="1"/>
  <c r="P72" i="56"/>
  <c r="O72" i="56"/>
  <c r="N72" i="56"/>
  <c r="M72" i="56"/>
  <c r="L72" i="56"/>
  <c r="E59" i="56"/>
  <c r="Q72" i="56"/>
  <c r="L73" i="56"/>
  <c r="E110" i="56"/>
  <c r="E14" i="56" s="1"/>
  <c r="O140" i="56"/>
  <c r="Q140" i="56"/>
  <c r="P140" i="56"/>
  <c r="N140" i="56"/>
  <c r="M140" i="56"/>
  <c r="L48" i="56"/>
  <c r="N57" i="56"/>
  <c r="F76" i="56"/>
  <c r="D122" i="56"/>
  <c r="D127" i="56" s="1"/>
  <c r="D15" i="56" s="1"/>
  <c r="I122" i="56"/>
  <c r="H122" i="56"/>
  <c r="H127" i="56" s="1"/>
  <c r="H15" i="56" s="1"/>
  <c r="G122" i="56"/>
  <c r="G127" i="56" s="1"/>
  <c r="G15" i="56" s="1"/>
  <c r="F122" i="56"/>
  <c r="E122" i="56"/>
  <c r="E127" i="56" s="1"/>
  <c r="E15" i="56" s="1"/>
  <c r="O173" i="56"/>
  <c r="N173" i="56"/>
  <c r="Q173" i="56"/>
  <c r="P66" i="56"/>
  <c r="G70" i="56"/>
  <c r="O70" i="56" s="1"/>
  <c r="P74" i="56"/>
  <c r="P83" i="56"/>
  <c r="G87" i="56"/>
  <c r="O87" i="56" s="1"/>
  <c r="I88" i="56"/>
  <c r="Q88" i="56" s="1"/>
  <c r="N90" i="56"/>
  <c r="P91" i="56"/>
  <c r="G104" i="56"/>
  <c r="G110" i="56" s="1"/>
  <c r="G14" i="56" s="1"/>
  <c r="I105" i="56"/>
  <c r="I110" i="56" s="1"/>
  <c r="I14" i="56" s="1"/>
  <c r="O135" i="56"/>
  <c r="F138" i="56"/>
  <c r="I139" i="56"/>
  <c r="Q139" i="56" s="1"/>
  <c r="P141" i="56"/>
  <c r="P154" i="56"/>
  <c r="D172" i="56"/>
  <c r="L172" i="56" s="1"/>
  <c r="F172" i="56"/>
  <c r="N172" i="56" s="1"/>
  <c r="P172" i="56"/>
  <c r="G296" i="56"/>
  <c r="Q66" i="56"/>
  <c r="H70" i="56"/>
  <c r="H76" i="56" s="1"/>
  <c r="Q70" i="56"/>
  <c r="Q74" i="56"/>
  <c r="H87" i="56"/>
  <c r="H93" i="56" s="1"/>
  <c r="O90" i="56"/>
  <c r="H104" i="56"/>
  <c r="H110" i="56" s="1"/>
  <c r="H14" i="56" s="1"/>
  <c r="P135" i="56"/>
  <c r="G138" i="56"/>
  <c r="O138" i="56" s="1"/>
  <c r="M139" i="56"/>
  <c r="M152" i="56"/>
  <c r="L167" i="56"/>
  <c r="E172" i="56"/>
  <c r="P184" i="56"/>
  <c r="I212" i="56"/>
  <c r="I20" i="56" s="1"/>
  <c r="I229" i="56"/>
  <c r="I246" i="56"/>
  <c r="I263" i="56"/>
  <c r="P90" i="56"/>
  <c r="Q135" i="56"/>
  <c r="O136" i="56"/>
  <c r="H138" i="56"/>
  <c r="O157" i="56"/>
  <c r="M169" i="56"/>
  <c r="O169" i="56"/>
  <c r="F173" i="56"/>
  <c r="E173" i="56"/>
  <c r="E178" i="56" s="1"/>
  <c r="E18" i="56" s="1"/>
  <c r="H173" i="56"/>
  <c r="H178" i="56" s="1"/>
  <c r="H18" i="56" s="1"/>
  <c r="M176" i="56"/>
  <c r="L176" i="56"/>
  <c r="O176" i="56"/>
  <c r="H296" i="56"/>
  <c r="L133" i="56"/>
  <c r="Q189" i="56"/>
  <c r="Q206" i="56"/>
  <c r="Q212" i="56" s="1"/>
  <c r="Q20" i="56" s="1"/>
  <c r="Q223" i="56"/>
  <c r="Q229" i="56" s="1"/>
  <c r="Q21" i="56" s="1"/>
  <c r="Q240" i="56"/>
  <c r="Q257" i="56"/>
  <c r="N295" i="56"/>
  <c r="N296" i="56" s="1"/>
  <c r="I296" i="56"/>
  <c r="M133" i="56"/>
  <c r="M185" i="56"/>
  <c r="L185" i="56"/>
  <c r="Q185" i="56"/>
  <c r="O185" i="56"/>
  <c r="L295" i="56"/>
  <c r="M172" i="56"/>
  <c r="O172" i="56"/>
  <c r="O177" i="56"/>
  <c r="N177" i="56"/>
  <c r="Q177" i="56"/>
  <c r="N185" i="56"/>
  <c r="I195" i="56"/>
  <c r="I19" i="56" s="1"/>
  <c r="Q186" i="56"/>
  <c r="L188" i="56"/>
  <c r="E189" i="56"/>
  <c r="M189" i="56" s="1"/>
  <c r="N189" i="56"/>
  <c r="G190" i="56"/>
  <c r="O190" i="56" s="1"/>
  <c r="L192" i="56"/>
  <c r="N193" i="56"/>
  <c r="L201" i="56"/>
  <c r="N202" i="56"/>
  <c r="L205" i="56"/>
  <c r="E206" i="56"/>
  <c r="M206" i="56" s="1"/>
  <c r="N206" i="56"/>
  <c r="G207" i="56"/>
  <c r="O207" i="56" s="1"/>
  <c r="L209" i="56"/>
  <c r="N210" i="56"/>
  <c r="L218" i="56"/>
  <c r="N219" i="56"/>
  <c r="L222" i="56"/>
  <c r="E223" i="56"/>
  <c r="M223" i="56" s="1"/>
  <c r="N223" i="56"/>
  <c r="G224" i="56"/>
  <c r="O224" i="56" s="1"/>
  <c r="L226" i="56"/>
  <c r="N227" i="56"/>
  <c r="L235" i="56"/>
  <c r="N236" i="56"/>
  <c r="L239" i="56"/>
  <c r="E240" i="56"/>
  <c r="M240" i="56" s="1"/>
  <c r="N240" i="56"/>
  <c r="G241" i="56"/>
  <c r="O241" i="56" s="1"/>
  <c r="L243" i="56"/>
  <c r="N244" i="56"/>
  <c r="L252" i="56"/>
  <c r="N253" i="56"/>
  <c r="L256" i="56"/>
  <c r="E257" i="56"/>
  <c r="M257" i="56" s="1"/>
  <c r="N257" i="56"/>
  <c r="G258" i="56"/>
  <c r="O258" i="56" s="1"/>
  <c r="L260" i="56"/>
  <c r="N261" i="56"/>
  <c r="M269" i="56"/>
  <c r="M184" i="56"/>
  <c r="M188" i="56"/>
  <c r="F189" i="56"/>
  <c r="F195" i="56" s="1"/>
  <c r="F19" i="56" s="1"/>
  <c r="H190" i="56"/>
  <c r="P190" i="56" s="1"/>
  <c r="M192" i="56"/>
  <c r="O193" i="56"/>
  <c r="M201" i="56"/>
  <c r="O202" i="56"/>
  <c r="M205" i="56"/>
  <c r="F206" i="56"/>
  <c r="F212" i="56" s="1"/>
  <c r="F20" i="56" s="1"/>
  <c r="H207" i="56"/>
  <c r="P207" i="56" s="1"/>
  <c r="M209" i="56"/>
  <c r="O210" i="56"/>
  <c r="M218" i="56"/>
  <c r="O219" i="56"/>
  <c r="M222" i="56"/>
  <c r="F223" i="56"/>
  <c r="F229" i="56" s="1"/>
  <c r="H224" i="56"/>
  <c r="P224" i="56" s="1"/>
  <c r="M226" i="56"/>
  <c r="O227" i="56"/>
  <c r="M235" i="56"/>
  <c r="O236" i="56"/>
  <c r="M239" i="56"/>
  <c r="F240" i="56"/>
  <c r="F246" i="56" s="1"/>
  <c r="H241" i="56"/>
  <c r="P241" i="56" s="1"/>
  <c r="M243" i="56"/>
  <c r="O244" i="56"/>
  <c r="M252" i="56"/>
  <c r="O253" i="56"/>
  <c r="M256" i="56"/>
  <c r="F257" i="56"/>
  <c r="F263" i="56" s="1"/>
  <c r="F23" i="56" s="1"/>
  <c r="H258" i="56"/>
  <c r="P258" i="56" s="1"/>
  <c r="M260" i="56"/>
  <c r="O261" i="56"/>
  <c r="L187" i="56"/>
  <c r="N188" i="56"/>
  <c r="G189" i="56"/>
  <c r="O189" i="56" s="1"/>
  <c r="L191" i="56"/>
  <c r="N192" i="56"/>
  <c r="P193" i="56"/>
  <c r="N201" i="56"/>
  <c r="P202" i="56"/>
  <c r="L204" i="56"/>
  <c r="N205" i="56"/>
  <c r="G206" i="56"/>
  <c r="O206" i="56" s="1"/>
  <c r="L208" i="56"/>
  <c r="N209" i="56"/>
  <c r="P210" i="56"/>
  <c r="N218" i="56"/>
  <c r="P219" i="56"/>
  <c r="L221" i="56"/>
  <c r="N222" i="56"/>
  <c r="G223" i="56"/>
  <c r="O223" i="56" s="1"/>
  <c r="P223" i="56"/>
  <c r="L225" i="56"/>
  <c r="N226" i="56"/>
  <c r="P227" i="56"/>
  <c r="N235" i="56"/>
  <c r="P236" i="56"/>
  <c r="L238" i="56"/>
  <c r="N239" i="56"/>
  <c r="G240" i="56"/>
  <c r="L242" i="56"/>
  <c r="N243" i="56"/>
  <c r="P244" i="56"/>
  <c r="N252" i="56"/>
  <c r="P253" i="56"/>
  <c r="L255" i="56"/>
  <c r="N256" i="56"/>
  <c r="G257" i="56"/>
  <c r="L259" i="56"/>
  <c r="N260" i="56"/>
  <c r="P261" i="56"/>
  <c r="O269" i="56"/>
  <c r="O295" i="56" s="1"/>
  <c r="O184" i="56"/>
  <c r="O188" i="56"/>
  <c r="H189" i="56"/>
  <c r="P189" i="56" s="1"/>
  <c r="O192" i="56"/>
  <c r="O201" i="56"/>
  <c r="O205" i="56"/>
  <c r="H206" i="56"/>
  <c r="H212" i="56" s="1"/>
  <c r="O209" i="56"/>
  <c r="O218" i="56"/>
  <c r="O222" i="56"/>
  <c r="H223" i="56"/>
  <c r="O226" i="56"/>
  <c r="O235" i="56"/>
  <c r="O239" i="56"/>
  <c r="H240" i="56"/>
  <c r="H246" i="56" s="1"/>
  <c r="O243" i="56"/>
  <c r="O252" i="56"/>
  <c r="O256" i="56"/>
  <c r="H257" i="56"/>
  <c r="O260" i="56"/>
  <c r="P188" i="56"/>
  <c r="P192" i="56"/>
  <c r="P201" i="56"/>
  <c r="P205" i="56"/>
  <c r="P209" i="56"/>
  <c r="P218" i="56"/>
  <c r="P222" i="56"/>
  <c r="P226" i="56"/>
  <c r="P235" i="56"/>
  <c r="P239" i="56"/>
  <c r="P243" i="56"/>
  <c r="P252" i="56"/>
  <c r="P256" i="56"/>
  <c r="P260" i="56"/>
  <c r="O204" i="56"/>
  <c r="O221" i="56"/>
  <c r="O238" i="56"/>
  <c r="O255" i="56"/>
  <c r="P271" i="56"/>
  <c r="P295" i="56" s="1"/>
  <c r="P296" i="56" s="1"/>
  <c r="P204" i="56"/>
  <c r="P221" i="56"/>
  <c r="P238" i="56"/>
  <c r="P255" i="56"/>
  <c r="Q271" i="56"/>
  <c r="G238" i="46"/>
  <c r="O238" i="46" s="1"/>
  <c r="I239" i="46"/>
  <c r="Q239" i="46" s="1"/>
  <c r="E237" i="46"/>
  <c r="G244" i="46"/>
  <c r="O244" i="46" s="1"/>
  <c r="F237" i="46"/>
  <c r="H244" i="46"/>
  <c r="P244" i="46" s="1"/>
  <c r="H238" i="46"/>
  <c r="P238" i="46" s="1"/>
  <c r="D242" i="46"/>
  <c r="E243" i="46"/>
  <c r="M243" i="46" s="1"/>
  <c r="F243" i="46"/>
  <c r="N243" i="46" s="1"/>
  <c r="G237" i="46"/>
  <c r="I238" i="46"/>
  <c r="Q238" i="46" s="1"/>
  <c r="E242" i="46"/>
  <c r="G243" i="46"/>
  <c r="O243" i="46" s="1"/>
  <c r="I244" i="46"/>
  <c r="Q244" i="46" s="1"/>
  <c r="N238" i="46"/>
  <c r="P239" i="46"/>
  <c r="H237" i="46"/>
  <c r="D239" i="46"/>
  <c r="L239" i="46" s="1"/>
  <c r="F242" i="46"/>
  <c r="H243" i="46"/>
  <c r="P243" i="46" s="1"/>
  <c r="E239" i="46"/>
  <c r="M239" i="46" s="1"/>
  <c r="G242" i="46"/>
  <c r="I243" i="46"/>
  <c r="Q243" i="46" s="1"/>
  <c r="D238" i="46"/>
  <c r="L238" i="46" s="1"/>
  <c r="F239" i="46"/>
  <c r="N239" i="46" s="1"/>
  <c r="H242" i="46"/>
  <c r="D244" i="46"/>
  <c r="L244" i="46" s="1"/>
  <c r="E238" i="46"/>
  <c r="M238" i="46" s="1"/>
  <c r="G239" i="46"/>
  <c r="O239" i="46" s="1"/>
  <c r="I242" i="46"/>
  <c r="E244" i="46"/>
  <c r="M244" i="46" s="1"/>
  <c r="N244" i="46"/>
  <c r="D243" i="46"/>
  <c r="L243" i="46" s="1"/>
  <c r="I222" i="46"/>
  <c r="H225" i="46"/>
  <c r="D225" i="46"/>
  <c r="E220" i="46"/>
  <c r="E226" i="46"/>
  <c r="M226" i="46" s="1"/>
  <c r="D221" i="46"/>
  <c r="L221" i="46" s="1"/>
  <c r="F226" i="46"/>
  <c r="N226" i="46" s="1"/>
  <c r="G221" i="46"/>
  <c r="O221" i="46" s="1"/>
  <c r="D227" i="46"/>
  <c r="H221" i="46"/>
  <c r="P221" i="46" s="1"/>
  <c r="G227" i="46"/>
  <c r="O227" i="46" s="1"/>
  <c r="F222" i="46"/>
  <c r="N222" i="46" s="1"/>
  <c r="H227" i="46"/>
  <c r="P227" i="46" s="1"/>
  <c r="M210" i="46"/>
  <c r="G220" i="46"/>
  <c r="I221" i="46"/>
  <c r="Q221" i="46" s="1"/>
  <c r="E225" i="46"/>
  <c r="G226" i="46"/>
  <c r="O226" i="46" s="1"/>
  <c r="I227" i="46"/>
  <c r="Q227" i="46" s="1"/>
  <c r="N221" i="46"/>
  <c r="P222" i="46"/>
  <c r="H220" i="46"/>
  <c r="D222" i="46"/>
  <c r="L222" i="46" s="1"/>
  <c r="F225" i="46"/>
  <c r="H226" i="46"/>
  <c r="P226" i="46" s="1"/>
  <c r="Q222" i="46"/>
  <c r="F220" i="46"/>
  <c r="E222" i="46"/>
  <c r="M222" i="46" s="1"/>
  <c r="G225" i="46"/>
  <c r="I226" i="46"/>
  <c r="Q226" i="46" s="1"/>
  <c r="L227" i="46"/>
  <c r="E221" i="46"/>
  <c r="M221" i="46" s="1"/>
  <c r="G222" i="46"/>
  <c r="O222" i="46" s="1"/>
  <c r="I225" i="46"/>
  <c r="E227" i="46"/>
  <c r="M227" i="46" s="1"/>
  <c r="N227" i="46"/>
  <c r="D226" i="46"/>
  <c r="L226" i="46" s="1"/>
  <c r="F210" i="46"/>
  <c r="N210" i="46" s="1"/>
  <c r="H208" i="46"/>
  <c r="O205" i="46"/>
  <c r="H209" i="46"/>
  <c r="P209" i="46" s="1"/>
  <c r="I210" i="46"/>
  <c r="Q210" i="46" s="1"/>
  <c r="E208" i="46"/>
  <c r="F208" i="46"/>
  <c r="H210" i="46"/>
  <c r="P210" i="46" s="1"/>
  <c r="D209" i="46"/>
  <c r="L209" i="46" s="1"/>
  <c r="F209" i="46"/>
  <c r="N209" i="46" s="1"/>
  <c r="G209" i="46"/>
  <c r="O209" i="46" s="1"/>
  <c r="G203" i="46"/>
  <c r="D208" i="46"/>
  <c r="D210" i="46"/>
  <c r="Q204" i="46"/>
  <c r="F204" i="46"/>
  <c r="N204" i="46" s="1"/>
  <c r="H205" i="46"/>
  <c r="P205" i="46" s="1"/>
  <c r="L187" i="46"/>
  <c r="E203" i="46"/>
  <c r="G204" i="46"/>
  <c r="O204" i="46" s="1"/>
  <c r="I205" i="46"/>
  <c r="Q205" i="46" s="1"/>
  <c r="E209" i="46"/>
  <c r="M209" i="46" s="1"/>
  <c r="G210" i="46"/>
  <c r="O210" i="46" s="1"/>
  <c r="F203" i="46"/>
  <c r="H204" i="46"/>
  <c r="P204" i="46" s="1"/>
  <c r="H203" i="46"/>
  <c r="D205" i="46"/>
  <c r="L205" i="46" s="1"/>
  <c r="E205" i="46"/>
  <c r="M205" i="46" s="1"/>
  <c r="G208" i="46"/>
  <c r="I209" i="46"/>
  <c r="Q209" i="46" s="1"/>
  <c r="L210" i="46"/>
  <c r="F205" i="46"/>
  <c r="N205" i="46" s="1"/>
  <c r="D204" i="46"/>
  <c r="L204" i="46" s="1"/>
  <c r="E204" i="46"/>
  <c r="M204" i="46" s="1"/>
  <c r="I208" i="46"/>
  <c r="N188" i="46"/>
  <c r="D170" i="46"/>
  <c r="L170" i="46" s="1"/>
  <c r="Q193" i="46"/>
  <c r="E187" i="46"/>
  <c r="M187" i="46" s="1"/>
  <c r="E170" i="46"/>
  <c r="M170" i="46" s="1"/>
  <c r="F170" i="46"/>
  <c r="N170" i="46" s="1"/>
  <c r="G170" i="46"/>
  <c r="O170" i="46" s="1"/>
  <c r="I192" i="46"/>
  <c r="Q192" i="46" s="1"/>
  <c r="F187" i="46"/>
  <c r="N187" i="46" s="1"/>
  <c r="H170" i="46"/>
  <c r="P170" i="46" s="1"/>
  <c r="F191" i="46"/>
  <c r="G191" i="46"/>
  <c r="H192" i="46"/>
  <c r="P192" i="46" s="1"/>
  <c r="G188" i="46"/>
  <c r="O188" i="46" s="1"/>
  <c r="E186" i="46"/>
  <c r="G187" i="46"/>
  <c r="O187" i="46" s="1"/>
  <c r="I188" i="46"/>
  <c r="Q188" i="46" s="1"/>
  <c r="H191" i="46"/>
  <c r="D193" i="46"/>
  <c r="L193" i="46" s="1"/>
  <c r="H188" i="46"/>
  <c r="P188" i="46" s="1"/>
  <c r="F186" i="46"/>
  <c r="H187" i="46"/>
  <c r="P187" i="46" s="1"/>
  <c r="I191" i="46"/>
  <c r="E193" i="46"/>
  <c r="M193" i="46" s="1"/>
  <c r="G186" i="46"/>
  <c r="I187" i="46"/>
  <c r="Q187" i="46" s="1"/>
  <c r="D192" i="46"/>
  <c r="L192" i="46" s="1"/>
  <c r="F193" i="46"/>
  <c r="N193" i="46" s="1"/>
  <c r="H186" i="46"/>
  <c r="D188" i="46"/>
  <c r="L188" i="46" s="1"/>
  <c r="E192" i="46"/>
  <c r="M192" i="46" s="1"/>
  <c r="G193" i="46"/>
  <c r="O193" i="46" s="1"/>
  <c r="E188" i="46"/>
  <c r="M188" i="46" s="1"/>
  <c r="D191" i="46"/>
  <c r="F192" i="46"/>
  <c r="N192" i="46" s="1"/>
  <c r="H193" i="46"/>
  <c r="P193" i="46" s="1"/>
  <c r="E191" i="46"/>
  <c r="G192" i="46"/>
  <c r="O192" i="46" s="1"/>
  <c r="N153" i="46"/>
  <c r="D174" i="46"/>
  <c r="E174" i="46"/>
  <c r="G175" i="46"/>
  <c r="O175" i="46" s="1"/>
  <c r="F175" i="46"/>
  <c r="N175" i="46" s="1"/>
  <c r="E169" i="46"/>
  <c r="H175" i="46"/>
  <c r="P175" i="46" s="1"/>
  <c r="H176" i="46"/>
  <c r="P176" i="46" s="1"/>
  <c r="I176" i="46"/>
  <c r="Q176" i="46" s="1"/>
  <c r="O176" i="46"/>
  <c r="G174" i="46"/>
  <c r="I175" i="46"/>
  <c r="Q175" i="46" s="1"/>
  <c r="H174" i="46"/>
  <c r="D176" i="46"/>
  <c r="L176" i="46" s="1"/>
  <c r="E176" i="46"/>
  <c r="M176" i="46" s="1"/>
  <c r="D175" i="46"/>
  <c r="L175" i="46" s="1"/>
  <c r="F176" i="46"/>
  <c r="N176" i="46" s="1"/>
  <c r="F174" i="46"/>
  <c r="I174" i="46"/>
  <c r="E175" i="46"/>
  <c r="M175" i="46" s="1"/>
  <c r="G169" i="46"/>
  <c r="F169" i="46"/>
  <c r="H169" i="46"/>
  <c r="D171" i="46"/>
  <c r="L171" i="46" s="1"/>
  <c r="I171" i="46"/>
  <c r="Q171" i="46" s="1"/>
  <c r="E171" i="46"/>
  <c r="M171" i="46" s="1"/>
  <c r="F171" i="46"/>
  <c r="N171" i="46" s="1"/>
  <c r="G171" i="46"/>
  <c r="O171" i="46" s="1"/>
  <c r="I141" i="46"/>
  <c r="Q141" i="46" s="1"/>
  <c r="E157" i="46"/>
  <c r="I123" i="46"/>
  <c r="Q123" i="46" s="1"/>
  <c r="E152" i="46"/>
  <c r="E125" i="46"/>
  <c r="G158" i="46"/>
  <c r="O158" i="46" s="1"/>
  <c r="G152" i="46"/>
  <c r="E140" i="46"/>
  <c r="G159" i="46"/>
  <c r="O159" i="46" s="1"/>
  <c r="P154" i="46"/>
  <c r="G153" i="46"/>
  <c r="O153" i="46" s="1"/>
  <c r="G140" i="46"/>
  <c r="I159" i="46"/>
  <c r="Q159" i="46" s="1"/>
  <c r="F154" i="46"/>
  <c r="N154" i="46" s="1"/>
  <c r="G141" i="46"/>
  <c r="O141" i="46" s="1"/>
  <c r="I154" i="46"/>
  <c r="Q154" i="46" s="1"/>
  <c r="G123" i="46"/>
  <c r="O123" i="46" s="1"/>
  <c r="I142" i="46"/>
  <c r="Q142" i="46" s="1"/>
  <c r="I124" i="46"/>
  <c r="Q124" i="46" s="1"/>
  <c r="E158" i="46"/>
  <c r="M158" i="46" s="1"/>
  <c r="F152" i="46"/>
  <c r="H153" i="46"/>
  <c r="P153" i="46" s="1"/>
  <c r="H123" i="46"/>
  <c r="P123" i="46" s="1"/>
  <c r="D125" i="46"/>
  <c r="F140" i="46"/>
  <c r="H141" i="46"/>
  <c r="P141" i="46" s="1"/>
  <c r="D157" i="46"/>
  <c r="F158" i="46"/>
  <c r="N158" i="46" s="1"/>
  <c r="H159" i="46"/>
  <c r="P159" i="46" s="1"/>
  <c r="I153" i="46"/>
  <c r="Q153" i="46" s="1"/>
  <c r="H152" i="46"/>
  <c r="D154" i="46"/>
  <c r="L154" i="46" s="1"/>
  <c r="D124" i="46"/>
  <c r="L124" i="46" s="1"/>
  <c r="F125" i="46"/>
  <c r="H140" i="46"/>
  <c r="D142" i="46"/>
  <c r="L142" i="46" s="1"/>
  <c r="F157" i="46"/>
  <c r="H158" i="46"/>
  <c r="P158" i="46" s="1"/>
  <c r="E154" i="46"/>
  <c r="M154" i="46" s="1"/>
  <c r="E124" i="46"/>
  <c r="M124" i="46" s="1"/>
  <c r="G125" i="46"/>
  <c r="I140" i="46"/>
  <c r="E142" i="46"/>
  <c r="M142" i="46" s="1"/>
  <c r="G157" i="46"/>
  <c r="I158" i="46"/>
  <c r="Q158" i="46" s="1"/>
  <c r="D123" i="46"/>
  <c r="L123" i="46" s="1"/>
  <c r="F124" i="46"/>
  <c r="N124" i="46" s="1"/>
  <c r="H125" i="46"/>
  <c r="D141" i="46"/>
  <c r="L141" i="46" s="1"/>
  <c r="F142" i="46"/>
  <c r="N142" i="46" s="1"/>
  <c r="H157" i="46"/>
  <c r="D159" i="46"/>
  <c r="L159" i="46" s="1"/>
  <c r="D153" i="46"/>
  <c r="L153" i="46" s="1"/>
  <c r="E153" i="46"/>
  <c r="M153" i="46" s="1"/>
  <c r="G154" i="46"/>
  <c r="O154" i="46" s="1"/>
  <c r="E123" i="46"/>
  <c r="M123" i="46" s="1"/>
  <c r="G124" i="46"/>
  <c r="O124" i="46" s="1"/>
  <c r="I125" i="46"/>
  <c r="E141" i="46"/>
  <c r="M141" i="46" s="1"/>
  <c r="G142" i="46"/>
  <c r="O142" i="46" s="1"/>
  <c r="I157" i="46"/>
  <c r="E159" i="46"/>
  <c r="M159" i="46" s="1"/>
  <c r="N159" i="46"/>
  <c r="F123" i="46"/>
  <c r="N123" i="46" s="1"/>
  <c r="D140" i="46"/>
  <c r="F141" i="46"/>
  <c r="N141" i="46" s="1"/>
  <c r="D158" i="46"/>
  <c r="L158" i="46" s="1"/>
  <c r="Q137" i="46"/>
  <c r="O136" i="46"/>
  <c r="P142" i="46"/>
  <c r="F135" i="46"/>
  <c r="H135" i="46"/>
  <c r="D137" i="46"/>
  <c r="L137" i="46" s="1"/>
  <c r="H136" i="46"/>
  <c r="P136" i="46" s="1"/>
  <c r="G135" i="46"/>
  <c r="I136" i="46"/>
  <c r="Q136" i="46" s="1"/>
  <c r="I135" i="46"/>
  <c r="E137" i="46"/>
  <c r="M137" i="46" s="1"/>
  <c r="D136" i="46"/>
  <c r="L136" i="46" s="1"/>
  <c r="F137" i="46"/>
  <c r="N137" i="46" s="1"/>
  <c r="G137" i="46"/>
  <c r="O137" i="46" s="1"/>
  <c r="E136" i="46"/>
  <c r="M136" i="46" s="1"/>
  <c r="F136" i="46"/>
  <c r="N136" i="46" s="1"/>
  <c r="H137" i="46"/>
  <c r="P137" i="46" s="1"/>
  <c r="K120" i="46"/>
  <c r="K119" i="46"/>
  <c r="P124" i="46"/>
  <c r="C120" i="46"/>
  <c r="I120" i="46" s="1"/>
  <c r="C119" i="46"/>
  <c r="E119" i="46" s="1"/>
  <c r="C118" i="46"/>
  <c r="I118" i="46" s="1"/>
  <c r="Q246" i="56" l="1"/>
  <c r="Q22" i="56" s="1"/>
  <c r="P173" i="56"/>
  <c r="P178" i="56" s="1"/>
  <c r="P18" i="56" s="1"/>
  <c r="G263" i="56"/>
  <c r="G23" i="56" s="1"/>
  <c r="G246" i="56"/>
  <c r="H229" i="56"/>
  <c r="H230" i="56" s="1"/>
  <c r="H263" i="56"/>
  <c r="H23" i="56" s="1"/>
  <c r="I93" i="56"/>
  <c r="I94" i="56" s="1"/>
  <c r="F178" i="56"/>
  <c r="F18" i="56" s="1"/>
  <c r="I144" i="56"/>
  <c r="I145" i="56" s="1"/>
  <c r="E246" i="56"/>
  <c r="P257" i="56"/>
  <c r="E229" i="56"/>
  <c r="E21" i="56" s="1"/>
  <c r="P240" i="56"/>
  <c r="E212" i="56"/>
  <c r="E20" i="56" s="1"/>
  <c r="G93" i="56"/>
  <c r="G94" i="56" s="1"/>
  <c r="Q263" i="56"/>
  <c r="Q23" i="56" s="1"/>
  <c r="I264" i="56"/>
  <c r="I23" i="56"/>
  <c r="H213" i="56"/>
  <c r="H20" i="56"/>
  <c r="I230" i="56"/>
  <c r="I21" i="56"/>
  <c r="F21" i="56"/>
  <c r="F230" i="56"/>
  <c r="F264" i="56"/>
  <c r="F213" i="56"/>
  <c r="I213" i="56"/>
  <c r="P59" i="56"/>
  <c r="P11" i="56" s="1"/>
  <c r="O144" i="56"/>
  <c r="O16" i="56" s="1"/>
  <c r="H111" i="56"/>
  <c r="G111" i="56"/>
  <c r="E111" i="56"/>
  <c r="I111" i="56"/>
  <c r="E247" i="56"/>
  <c r="H247" i="56"/>
  <c r="F111" i="56"/>
  <c r="F43" i="56"/>
  <c r="I247" i="56"/>
  <c r="G247" i="56"/>
  <c r="I196" i="56"/>
  <c r="F247" i="56"/>
  <c r="F60" i="56"/>
  <c r="F11" i="56"/>
  <c r="G77" i="56"/>
  <c r="G12" i="56"/>
  <c r="F94" i="56"/>
  <c r="F13" i="56"/>
  <c r="H60" i="56"/>
  <c r="H11" i="56"/>
  <c r="E77" i="56"/>
  <c r="E12" i="56"/>
  <c r="E94" i="56"/>
  <c r="E13" i="56"/>
  <c r="E145" i="56"/>
  <c r="E16" i="56"/>
  <c r="E60" i="56"/>
  <c r="E11" i="56"/>
  <c r="G43" i="56"/>
  <c r="D10" i="56"/>
  <c r="I77" i="56"/>
  <c r="I12" i="56"/>
  <c r="G60" i="56"/>
  <c r="G11" i="56"/>
  <c r="H94" i="56"/>
  <c r="H13" i="56"/>
  <c r="I60" i="56"/>
  <c r="I11" i="56"/>
  <c r="F77" i="56"/>
  <c r="F12" i="56"/>
  <c r="F196" i="56"/>
  <c r="H77" i="56"/>
  <c r="H12" i="56"/>
  <c r="P42" i="56"/>
  <c r="P10" i="56" s="1"/>
  <c r="M42" i="56"/>
  <c r="M10" i="56" s="1"/>
  <c r="N42" i="56"/>
  <c r="N10" i="56" s="1"/>
  <c r="L42" i="56"/>
  <c r="Q42" i="56"/>
  <c r="Q10" i="56" s="1"/>
  <c r="O42" i="56"/>
  <c r="L76" i="56"/>
  <c r="L12" i="56" s="1"/>
  <c r="M76" i="56"/>
  <c r="M12" i="56" s="1"/>
  <c r="N59" i="56"/>
  <c r="N11" i="56" s="1"/>
  <c r="O59" i="56"/>
  <c r="O11" i="56" s="1"/>
  <c r="M59" i="56"/>
  <c r="M11" i="56" s="1"/>
  <c r="M93" i="56"/>
  <c r="M13" i="56" s="1"/>
  <c r="Q144" i="56"/>
  <c r="Q16" i="56" s="1"/>
  <c r="O178" i="56"/>
  <c r="O18" i="56" s="1"/>
  <c r="N178" i="56"/>
  <c r="N18" i="56" s="1"/>
  <c r="Q178" i="56"/>
  <c r="Q18" i="56" s="1"/>
  <c r="N195" i="56"/>
  <c r="N19" i="56" s="1"/>
  <c r="Q195" i="56"/>
  <c r="Q19" i="56" s="1"/>
  <c r="L195" i="56"/>
  <c r="L19" i="56" s="1"/>
  <c r="N212" i="56"/>
  <c r="N20" i="56" s="1"/>
  <c r="M295" i="56"/>
  <c r="Q295" i="56"/>
  <c r="Q296" i="56" s="1"/>
  <c r="M296" i="56"/>
  <c r="O296" i="56"/>
  <c r="F144" i="56"/>
  <c r="N138" i="56"/>
  <c r="N144" i="56" s="1"/>
  <c r="G195" i="56"/>
  <c r="I43" i="56"/>
  <c r="O240" i="56"/>
  <c r="O246" i="56" s="1"/>
  <c r="O22" i="56" s="1"/>
  <c r="G229" i="56"/>
  <c r="G128" i="56"/>
  <c r="P195" i="56"/>
  <c r="P19" i="56" s="1"/>
  <c r="H128" i="56"/>
  <c r="D178" i="56"/>
  <c r="N93" i="56"/>
  <c r="O229" i="56"/>
  <c r="O21" i="56" s="1"/>
  <c r="O195" i="56"/>
  <c r="O19" i="56" s="1"/>
  <c r="P206" i="56"/>
  <c r="P212" i="56" s="1"/>
  <c r="P20" i="56" s="1"/>
  <c r="O257" i="56"/>
  <c r="O263" i="56" s="1"/>
  <c r="O23" i="56" s="1"/>
  <c r="P138" i="56"/>
  <c r="P144" i="56" s="1"/>
  <c r="P16" i="56" s="1"/>
  <c r="H144" i="56"/>
  <c r="H195" i="56"/>
  <c r="P263" i="56"/>
  <c r="P23" i="56" s="1"/>
  <c r="E195" i="56"/>
  <c r="M173" i="56"/>
  <c r="M178" i="56" s="1"/>
  <c r="M18" i="56" s="1"/>
  <c r="L59" i="56"/>
  <c r="I127" i="56"/>
  <c r="L93" i="56"/>
  <c r="L13" i="56" s="1"/>
  <c r="N76" i="56"/>
  <c r="O93" i="56"/>
  <c r="G212" i="56"/>
  <c r="L178" i="56"/>
  <c r="L18" i="56" s="1"/>
  <c r="P87" i="56"/>
  <c r="E128" i="56"/>
  <c r="O76" i="56"/>
  <c r="P93" i="56"/>
  <c r="H43" i="56"/>
  <c r="N246" i="56"/>
  <c r="N22" i="56" s="1"/>
  <c r="M195" i="56"/>
  <c r="M19" i="56" s="1"/>
  <c r="M144" i="56"/>
  <c r="P156" i="56"/>
  <c r="Q93" i="56"/>
  <c r="E43" i="56"/>
  <c r="P229" i="56"/>
  <c r="P21" i="56" s="1"/>
  <c r="N263" i="56"/>
  <c r="N23" i="56" s="1"/>
  <c r="P246" i="56"/>
  <c r="P22" i="56" s="1"/>
  <c r="O212" i="56"/>
  <c r="O20" i="56" s="1"/>
  <c r="N229" i="56"/>
  <c r="N21" i="56" s="1"/>
  <c r="M263" i="56"/>
  <c r="M23" i="56" s="1"/>
  <c r="M246" i="56"/>
  <c r="M22" i="56" s="1"/>
  <c r="M229" i="56"/>
  <c r="M21" i="56" s="1"/>
  <c r="M212" i="56"/>
  <c r="M20" i="56" s="1"/>
  <c r="L263" i="56"/>
  <c r="L246" i="56"/>
  <c r="L229" i="56"/>
  <c r="L212" i="56"/>
  <c r="F127" i="56"/>
  <c r="Q76" i="56"/>
  <c r="E263" i="56"/>
  <c r="L144" i="56"/>
  <c r="P70" i="56"/>
  <c r="P76" i="56" s="1"/>
  <c r="G144" i="56"/>
  <c r="Q120" i="46"/>
  <c r="H119" i="46"/>
  <c r="P119" i="46" s="1"/>
  <c r="I119" i="46"/>
  <c r="Q119" i="46" s="1"/>
  <c r="D120" i="46"/>
  <c r="L120" i="46" s="1"/>
  <c r="M119" i="46"/>
  <c r="E120" i="46"/>
  <c r="M120" i="46" s="1"/>
  <c r="D119" i="46"/>
  <c r="L119" i="46" s="1"/>
  <c r="G120" i="46"/>
  <c r="O120" i="46" s="1"/>
  <c r="F119" i="46"/>
  <c r="N119" i="46" s="1"/>
  <c r="G119" i="46"/>
  <c r="O119" i="46" s="1"/>
  <c r="F120" i="46"/>
  <c r="N120" i="46" s="1"/>
  <c r="H120" i="46"/>
  <c r="P120" i="46" s="1"/>
  <c r="E118" i="46"/>
  <c r="H118" i="46"/>
  <c r="G118" i="46"/>
  <c r="F118" i="46"/>
  <c r="K108" i="46"/>
  <c r="K107" i="46"/>
  <c r="K103" i="46"/>
  <c r="K102" i="46"/>
  <c r="C108" i="46"/>
  <c r="C107" i="46"/>
  <c r="C106" i="46"/>
  <c r="C103" i="46"/>
  <c r="F103" i="46" s="1"/>
  <c r="C102" i="46"/>
  <c r="D102" i="46" s="1"/>
  <c r="C101" i="46"/>
  <c r="I101" i="46" s="1"/>
  <c r="K74" i="46"/>
  <c r="K73" i="46"/>
  <c r="K72" i="46"/>
  <c r="K69" i="46"/>
  <c r="K68" i="46"/>
  <c r="C91" i="46"/>
  <c r="C90" i="46"/>
  <c r="C89" i="46"/>
  <c r="C74" i="46"/>
  <c r="C73" i="46"/>
  <c r="C72" i="46"/>
  <c r="C69" i="46"/>
  <c r="G69" i="46" s="1"/>
  <c r="C68" i="46"/>
  <c r="F68" i="46" s="1"/>
  <c r="C67" i="46"/>
  <c r="I67" i="46" s="1"/>
  <c r="K57" i="46"/>
  <c r="K56" i="46"/>
  <c r="K52" i="46"/>
  <c r="K51" i="46"/>
  <c r="C57" i="46"/>
  <c r="C56" i="46"/>
  <c r="C55" i="46"/>
  <c r="C52" i="46"/>
  <c r="I52" i="46" s="1"/>
  <c r="C51" i="46"/>
  <c r="H51" i="46" s="1"/>
  <c r="C50" i="46"/>
  <c r="F50" i="46" s="1"/>
  <c r="I13" i="56" l="1"/>
  <c r="G264" i="56"/>
  <c r="H21" i="56"/>
  <c r="H264" i="56"/>
  <c r="I16" i="56"/>
  <c r="E230" i="56"/>
  <c r="E213" i="56"/>
  <c r="G13" i="56"/>
  <c r="Q247" i="56"/>
  <c r="L22" i="56"/>
  <c r="Q264" i="56"/>
  <c r="L23" i="56"/>
  <c r="E264" i="56"/>
  <c r="E23" i="56"/>
  <c r="I128" i="56"/>
  <c r="I15" i="56"/>
  <c r="E179" i="56"/>
  <c r="D18" i="56"/>
  <c r="G21" i="56"/>
  <c r="G230" i="56"/>
  <c r="F128" i="56"/>
  <c r="F15" i="56"/>
  <c r="Q213" i="56"/>
  <c r="L20" i="56"/>
  <c r="E196" i="56"/>
  <c r="E19" i="56"/>
  <c r="H196" i="56"/>
  <c r="H19" i="56"/>
  <c r="Q230" i="56"/>
  <c r="L21" i="56"/>
  <c r="G213" i="56"/>
  <c r="G20" i="56"/>
  <c r="G196" i="56"/>
  <c r="G19" i="56"/>
  <c r="O179" i="56"/>
  <c r="M196" i="56"/>
  <c r="P196" i="56"/>
  <c r="H179" i="56"/>
  <c r="Q196" i="56"/>
  <c r="O196" i="56"/>
  <c r="Q43" i="56"/>
  <c r="G145" i="56"/>
  <c r="G16" i="56"/>
  <c r="F179" i="56"/>
  <c r="O43" i="56"/>
  <c r="O10" i="56"/>
  <c r="H145" i="56"/>
  <c r="H16" i="56"/>
  <c r="O145" i="56"/>
  <c r="L16" i="56"/>
  <c r="N145" i="56"/>
  <c r="N16" i="56"/>
  <c r="O60" i="56"/>
  <c r="L11" i="56"/>
  <c r="F145" i="56"/>
  <c r="F16" i="56"/>
  <c r="M43" i="56"/>
  <c r="L10" i="56"/>
  <c r="M77" i="56"/>
  <c r="M145" i="56"/>
  <c r="M16" i="56"/>
  <c r="N196" i="56"/>
  <c r="P43" i="56"/>
  <c r="N43" i="56"/>
  <c r="O77" i="56"/>
  <c r="O12" i="56"/>
  <c r="N77" i="56"/>
  <c r="N12" i="56"/>
  <c r="P77" i="56"/>
  <c r="P12" i="56"/>
  <c r="Q77" i="56"/>
  <c r="Q12" i="56"/>
  <c r="P60" i="56"/>
  <c r="Q60" i="56"/>
  <c r="M94" i="56"/>
  <c r="O94" i="56"/>
  <c r="O13" i="56"/>
  <c r="Q94" i="56"/>
  <c r="Q13" i="56"/>
  <c r="P94" i="56"/>
  <c r="P13" i="56"/>
  <c r="N94" i="56"/>
  <c r="N13" i="56"/>
  <c r="Q145" i="56"/>
  <c r="P213" i="56"/>
  <c r="N230" i="56"/>
  <c r="N247" i="56"/>
  <c r="P247" i="56"/>
  <c r="M247" i="56"/>
  <c r="O247" i="56"/>
  <c r="O264" i="56"/>
  <c r="N179" i="56"/>
  <c r="O213" i="56"/>
  <c r="M179" i="56"/>
  <c r="Q179" i="56"/>
  <c r="G179" i="56"/>
  <c r="N60" i="56"/>
  <c r="P145" i="56"/>
  <c r="M213" i="56"/>
  <c r="N264" i="56"/>
  <c r="N213" i="56"/>
  <c r="P264" i="56"/>
  <c r="I179" i="56"/>
  <c r="M60" i="56"/>
  <c r="O230" i="56"/>
  <c r="M230" i="56"/>
  <c r="P179" i="56"/>
  <c r="P230" i="56"/>
  <c r="M264" i="56"/>
  <c r="H56" i="46"/>
  <c r="P56" i="46" s="1"/>
  <c r="F55" i="46"/>
  <c r="H57" i="46"/>
  <c r="P57" i="46" s="1"/>
  <c r="D55" i="46"/>
  <c r="G55" i="46"/>
  <c r="I57" i="46"/>
  <c r="Q57" i="46" s="1"/>
  <c r="G56" i="46"/>
  <c r="O56" i="46" s="1"/>
  <c r="E55" i="46"/>
  <c r="F56" i="46"/>
  <c r="N56" i="46" s="1"/>
  <c r="I56" i="46"/>
  <c r="Q56" i="46" s="1"/>
  <c r="I55" i="46"/>
  <c r="G57" i="46"/>
  <c r="O57" i="46" s="1"/>
  <c r="E56" i="46"/>
  <c r="M56" i="46" s="1"/>
  <c r="E57" i="46"/>
  <c r="M57" i="46" s="1"/>
  <c r="F57" i="46"/>
  <c r="N57" i="46" s="1"/>
  <c r="D56" i="46"/>
  <c r="L56" i="46" s="1"/>
  <c r="D57" i="46"/>
  <c r="L57" i="46" s="1"/>
  <c r="H55" i="46"/>
  <c r="D108" i="46"/>
  <c r="L108" i="46" s="1"/>
  <c r="H106" i="46"/>
  <c r="I107" i="46"/>
  <c r="Q107" i="46" s="1"/>
  <c r="G106" i="46"/>
  <c r="H107" i="46"/>
  <c r="P107" i="46" s="1"/>
  <c r="F106" i="46"/>
  <c r="E107" i="46"/>
  <c r="M107" i="46" s="1"/>
  <c r="I108" i="46"/>
  <c r="Q108" i="46" s="1"/>
  <c r="G107" i="46"/>
  <c r="O107" i="46" s="1"/>
  <c r="E106" i="46"/>
  <c r="G108" i="46"/>
  <c r="O108" i="46" s="1"/>
  <c r="I106" i="46"/>
  <c r="H108" i="46"/>
  <c r="P108" i="46" s="1"/>
  <c r="F107" i="46"/>
  <c r="N107" i="46" s="1"/>
  <c r="D106" i="46"/>
  <c r="E108" i="46"/>
  <c r="M108" i="46" s="1"/>
  <c r="F108" i="46"/>
  <c r="N108" i="46" s="1"/>
  <c r="D107" i="46"/>
  <c r="L107" i="46" s="1"/>
  <c r="H74" i="46"/>
  <c r="P74" i="46" s="1"/>
  <c r="F73" i="46"/>
  <c r="N73" i="46" s="1"/>
  <c r="D72" i="46"/>
  <c r="L72" i="46" s="1"/>
  <c r="I73" i="46"/>
  <c r="Q73" i="46" s="1"/>
  <c r="G74" i="46"/>
  <c r="O74" i="46" s="1"/>
  <c r="E73" i="46"/>
  <c r="M73" i="46" s="1"/>
  <c r="D73" i="46"/>
  <c r="L73" i="46" s="1"/>
  <c r="G72" i="46"/>
  <c r="O72" i="46" s="1"/>
  <c r="F74" i="46"/>
  <c r="N74" i="46" s="1"/>
  <c r="E74" i="46"/>
  <c r="M74" i="46" s="1"/>
  <c r="I72" i="46"/>
  <c r="Q72" i="46" s="1"/>
  <c r="I74" i="46"/>
  <c r="Q74" i="46" s="1"/>
  <c r="G73" i="46"/>
  <c r="O73" i="46" s="1"/>
  <c r="D74" i="46"/>
  <c r="L74" i="46" s="1"/>
  <c r="H72" i="46"/>
  <c r="P72" i="46" s="1"/>
  <c r="E72" i="46"/>
  <c r="M72" i="46" s="1"/>
  <c r="H73" i="46"/>
  <c r="P73" i="46" s="1"/>
  <c r="F72" i="46"/>
  <c r="N72" i="46" s="1"/>
  <c r="F91" i="46"/>
  <c r="D90" i="46"/>
  <c r="E90" i="46"/>
  <c r="E91" i="46"/>
  <c r="I89" i="46"/>
  <c r="G91" i="46"/>
  <c r="D91" i="46"/>
  <c r="H89" i="46"/>
  <c r="I91" i="46"/>
  <c r="I90" i="46"/>
  <c r="G89" i="46"/>
  <c r="E89" i="46"/>
  <c r="H90" i="46"/>
  <c r="F89" i="46"/>
  <c r="G90" i="46"/>
  <c r="H91" i="46"/>
  <c r="F90" i="46"/>
  <c r="D89" i="46"/>
  <c r="N103" i="46"/>
  <c r="E102" i="46"/>
  <c r="M102" i="46" s="1"/>
  <c r="G68" i="46"/>
  <c r="O68" i="46" s="1"/>
  <c r="E101" i="46"/>
  <c r="G103" i="46"/>
  <c r="O103" i="46" s="1"/>
  <c r="L102" i="46"/>
  <c r="I103" i="46"/>
  <c r="Q103" i="46" s="1"/>
  <c r="G50" i="46"/>
  <c r="I51" i="46"/>
  <c r="Q51" i="46" s="1"/>
  <c r="I50" i="46"/>
  <c r="F69" i="46"/>
  <c r="N69" i="46" s="1"/>
  <c r="F102" i="46"/>
  <c r="N102" i="46" s="1"/>
  <c r="H103" i="46"/>
  <c r="P103" i="46" s="1"/>
  <c r="E52" i="46"/>
  <c r="M52" i="46" s="1"/>
  <c r="I69" i="46"/>
  <c r="Q69" i="46" s="1"/>
  <c r="F101" i="46"/>
  <c r="H102" i="46"/>
  <c r="P102" i="46" s="1"/>
  <c r="G101" i="46"/>
  <c r="I102" i="46"/>
  <c r="Q102" i="46" s="1"/>
  <c r="H101" i="46"/>
  <c r="D103" i="46"/>
  <c r="L103" i="46" s="1"/>
  <c r="H69" i="46"/>
  <c r="P69" i="46" s="1"/>
  <c r="G102" i="46"/>
  <c r="O102" i="46" s="1"/>
  <c r="E67" i="46"/>
  <c r="E103" i="46"/>
  <c r="M103" i="46" s="1"/>
  <c r="G67" i="46"/>
  <c r="P51" i="46"/>
  <c r="Q52" i="46"/>
  <c r="H50" i="46"/>
  <c r="D52" i="46"/>
  <c r="L52" i="46" s="1"/>
  <c r="F67" i="46"/>
  <c r="H68" i="46"/>
  <c r="P68" i="46" s="1"/>
  <c r="D51" i="46"/>
  <c r="L51" i="46" s="1"/>
  <c r="F52" i="46"/>
  <c r="N52" i="46" s="1"/>
  <c r="H67" i="46"/>
  <c r="D69" i="46"/>
  <c r="L69" i="46" s="1"/>
  <c r="E51" i="46"/>
  <c r="M51" i="46" s="1"/>
  <c r="G52" i="46"/>
  <c r="O52" i="46" s="1"/>
  <c r="E69" i="46"/>
  <c r="M69" i="46" s="1"/>
  <c r="F51" i="46"/>
  <c r="N51" i="46" s="1"/>
  <c r="H52" i="46"/>
  <c r="P52" i="46" s="1"/>
  <c r="D68" i="46"/>
  <c r="L68" i="46" s="1"/>
  <c r="E50" i="46"/>
  <c r="G51" i="46"/>
  <c r="O51" i="46" s="1"/>
  <c r="E68" i="46"/>
  <c r="M68" i="46" s="1"/>
  <c r="I68" i="46"/>
  <c r="Q68" i="46" s="1"/>
  <c r="N68" i="46"/>
  <c r="O69" i="46"/>
  <c r="C40" i="46" l="1"/>
  <c r="C39" i="46"/>
  <c r="C38" i="46"/>
  <c r="D40" i="46" l="1"/>
  <c r="I39" i="46"/>
  <c r="H39" i="46"/>
  <c r="E40" i="46"/>
  <c r="E39" i="46"/>
  <c r="I40" i="46"/>
  <c r="G39" i="46"/>
  <c r="G40" i="46"/>
  <c r="H40" i="46"/>
  <c r="F39" i="46"/>
  <c r="F40" i="46"/>
  <c r="D39" i="46"/>
  <c r="H38" i="46"/>
  <c r="D38" i="46"/>
  <c r="F38" i="46"/>
  <c r="E38" i="46"/>
  <c r="I38" i="46"/>
  <c r="G38" i="46"/>
  <c r="K40" i="46" l="1"/>
  <c r="K39" i="46"/>
  <c r="K35" i="46"/>
  <c r="K34" i="46"/>
  <c r="C35" i="46"/>
  <c r="C34" i="46"/>
  <c r="C33" i="46"/>
  <c r="C86" i="46"/>
  <c r="C85" i="46"/>
  <c r="K91" i="46"/>
  <c r="K90" i="46"/>
  <c r="K86" i="46"/>
  <c r="K85" i="46"/>
  <c r="I42" i="42"/>
  <c r="H42" i="42"/>
  <c r="G42" i="42"/>
  <c r="F42" i="42"/>
  <c r="E42" i="42"/>
  <c r="D42" i="42"/>
  <c r="H24" i="47"/>
  <c r="G24" i="47"/>
  <c r="F24" i="47"/>
  <c r="E24" i="47"/>
  <c r="D24" i="47"/>
  <c r="C24" i="47"/>
  <c r="H23" i="47"/>
  <c r="G23" i="47"/>
  <c r="F23" i="47"/>
  <c r="E23" i="47"/>
  <c r="D23" i="47"/>
  <c r="C23" i="47"/>
  <c r="H22" i="47"/>
  <c r="G22" i="47"/>
  <c r="F22" i="47"/>
  <c r="E22" i="47"/>
  <c r="D22" i="47"/>
  <c r="C22" i="47"/>
  <c r="D13" i="47" a="1"/>
  <c r="D13" i="47" s="1"/>
  <c r="C13" i="47"/>
  <c r="I26" i="42"/>
  <c r="H26" i="42"/>
  <c r="G26" i="42"/>
  <c r="F26" i="42"/>
  <c r="E26" i="42"/>
  <c r="D26" i="42"/>
  <c r="I25" i="42"/>
  <c r="H25" i="42"/>
  <c r="G25" i="42"/>
  <c r="F25" i="42"/>
  <c r="E25" i="42"/>
  <c r="D25" i="42"/>
  <c r="I24" i="42"/>
  <c r="H24" i="42"/>
  <c r="H27" i="42" s="1"/>
  <c r="G24" i="42"/>
  <c r="G27" i="42" s="1"/>
  <c r="F24" i="42"/>
  <c r="E24" i="42"/>
  <c r="D24" i="42"/>
  <c r="F27" i="42"/>
  <c r="E27" i="42"/>
  <c r="M87" i="50"/>
  <c r="N87" i="50"/>
  <c r="O87" i="50"/>
  <c r="P87" i="50"/>
  <c r="Q87" i="50"/>
  <c r="L87" i="50"/>
  <c r="M86" i="50"/>
  <c r="N86" i="50"/>
  <c r="O86" i="50"/>
  <c r="P86" i="50"/>
  <c r="Q86" i="50"/>
  <c r="L86" i="50"/>
  <c r="E31" i="50"/>
  <c r="J174" i="21"/>
  <c r="H174" i="21"/>
  <c r="N84" i="21"/>
  <c r="O84" i="21" s="1"/>
  <c r="N83" i="21"/>
  <c r="O83" i="21" s="1"/>
  <c r="N82" i="21"/>
  <c r="O82" i="21" s="1"/>
  <c r="Q76" i="21"/>
  <c r="Q70" i="21"/>
  <c r="Q39" i="21"/>
  <c r="Q38" i="21"/>
  <c r="Q33" i="21"/>
  <c r="Q32" i="21"/>
  <c r="Q26" i="21"/>
  <c r="D237" i="46" l="1"/>
  <c r="D254" i="46"/>
  <c r="L254" i="46" s="1"/>
  <c r="D203" i="46"/>
  <c r="D220" i="46"/>
  <c r="D169" i="46"/>
  <c r="D186" i="46"/>
  <c r="D135" i="46"/>
  <c r="D152" i="46"/>
  <c r="D101" i="46"/>
  <c r="D118" i="46"/>
  <c r="D67" i="46"/>
  <c r="F33" i="46"/>
  <c r="G33" i="46"/>
  <c r="D84" i="46"/>
  <c r="E33" i="46"/>
  <c r="I33" i="46"/>
  <c r="D50" i="46"/>
  <c r="D33" i="46"/>
  <c r="H33" i="46"/>
  <c r="I86" i="46"/>
  <c r="Q86" i="46" s="1"/>
  <c r="H86" i="46"/>
  <c r="P86" i="46" s="1"/>
  <c r="G86" i="46"/>
  <c r="O86" i="46" s="1"/>
  <c r="F86" i="46"/>
  <c r="N86" i="46" s="1"/>
  <c r="E86" i="46"/>
  <c r="M86" i="46" s="1"/>
  <c r="D86" i="46"/>
  <c r="L86" i="46" s="1"/>
  <c r="I34" i="46"/>
  <c r="Q34" i="46" s="1"/>
  <c r="H34" i="46"/>
  <c r="P34" i="46" s="1"/>
  <c r="G34" i="46"/>
  <c r="O34" i="46" s="1"/>
  <c r="F34" i="46"/>
  <c r="N34" i="46" s="1"/>
  <c r="D34" i="46"/>
  <c r="L34" i="46" s="1"/>
  <c r="E34" i="46"/>
  <c r="M34" i="46" s="1"/>
  <c r="D35" i="46"/>
  <c r="L35" i="46" s="1"/>
  <c r="G35" i="46"/>
  <c r="O35" i="46" s="1"/>
  <c r="I35" i="46"/>
  <c r="Q35" i="46" s="1"/>
  <c r="H35" i="46"/>
  <c r="P35" i="46" s="1"/>
  <c r="E35" i="46"/>
  <c r="M35" i="46" s="1"/>
  <c r="F35" i="46"/>
  <c r="N35" i="46" s="1"/>
  <c r="M90" i="46"/>
  <c r="L90" i="46"/>
  <c r="P90" i="46"/>
  <c r="Q90" i="46"/>
  <c r="O90" i="46"/>
  <c r="N90" i="46"/>
  <c r="O91" i="46"/>
  <c r="N91" i="46"/>
  <c r="M91" i="46"/>
  <c r="L91" i="46"/>
  <c r="Q91" i="46"/>
  <c r="P91" i="46"/>
  <c r="P39" i="46"/>
  <c r="Q39" i="46"/>
  <c r="O39" i="46"/>
  <c r="N39" i="46"/>
  <c r="L39" i="46"/>
  <c r="M39" i="46"/>
  <c r="G85" i="46"/>
  <c r="O85" i="46" s="1"/>
  <c r="F85" i="46"/>
  <c r="N85" i="46" s="1"/>
  <c r="E85" i="46"/>
  <c r="M85" i="46" s="1"/>
  <c r="D85" i="46"/>
  <c r="L85" i="46" s="1"/>
  <c r="H85" i="46"/>
  <c r="P85" i="46" s="1"/>
  <c r="I85" i="46"/>
  <c r="Q85" i="46" s="1"/>
  <c r="O40" i="46"/>
  <c r="N40" i="46"/>
  <c r="P40" i="46"/>
  <c r="L40" i="46"/>
  <c r="Q40" i="46"/>
  <c r="M40" i="46"/>
  <c r="D27" i="42"/>
  <c r="I27" i="42"/>
  <c r="N76" i="21"/>
  <c r="N70" i="21"/>
  <c r="N64" i="21"/>
  <c r="N57" i="21"/>
  <c r="N56" i="21"/>
  <c r="N49" i="21"/>
  <c r="N48" i="21"/>
  <c r="N47" i="21"/>
  <c r="L76" i="21"/>
  <c r="H76" i="21"/>
  <c r="R70" i="21"/>
  <c r="L70" i="21"/>
  <c r="H70" i="21"/>
  <c r="N39" i="21"/>
  <c r="O39" i="21" s="1"/>
  <c r="N38" i="21"/>
  <c r="N33" i="21"/>
  <c r="O33" i="21" s="1"/>
  <c r="N32" i="21"/>
  <c r="N27" i="21"/>
  <c r="N26" i="21"/>
  <c r="I39" i="21"/>
  <c r="H39" i="21"/>
  <c r="L38" i="21"/>
  <c r="H38" i="21"/>
  <c r="I33" i="21"/>
  <c r="H33" i="21"/>
  <c r="L32" i="21"/>
  <c r="H32" i="21"/>
  <c r="N19" i="21"/>
  <c r="N18" i="21"/>
  <c r="N11" i="21"/>
  <c r="N10" i="21"/>
  <c r="N9" i="21"/>
  <c r="O76" i="21" l="1"/>
  <c r="P76" i="21" s="1"/>
  <c r="O70" i="21"/>
  <c r="P70" i="21" s="1"/>
  <c r="S70" i="21" s="1"/>
  <c r="S72" i="21" s="1"/>
  <c r="C40" i="42" s="1"/>
  <c r="P39" i="21"/>
  <c r="S39" i="21" s="1"/>
  <c r="O38" i="21"/>
  <c r="P38" i="21" s="1"/>
  <c r="S38" i="21" s="1"/>
  <c r="O32" i="21"/>
  <c r="P32" i="21" s="1"/>
  <c r="S32" i="21" s="1"/>
  <c r="P33" i="21"/>
  <c r="S33" i="21" s="1"/>
  <c r="S76" i="21" l="1"/>
  <c r="S78" i="21" s="1"/>
  <c r="C41" i="42" s="1"/>
  <c r="E40" i="42"/>
  <c r="I40" i="42"/>
  <c r="H40" i="42"/>
  <c r="G40" i="42"/>
  <c r="F40" i="42"/>
  <c r="D40" i="42"/>
  <c r="S41" i="21"/>
  <c r="C36" i="42" s="1"/>
  <c r="S35" i="21"/>
  <c r="C35" i="42" s="1"/>
  <c r="E41" i="42" l="1"/>
  <c r="I41" i="42"/>
  <c r="H41" i="42"/>
  <c r="G41" i="42"/>
  <c r="F41" i="42"/>
  <c r="D41" i="42"/>
  <c r="I36" i="42"/>
  <c r="H36" i="42"/>
  <c r="G36" i="42"/>
  <c r="F36" i="42"/>
  <c r="E36" i="42"/>
  <c r="E35" i="42"/>
  <c r="I35" i="42"/>
  <c r="G35" i="42"/>
  <c r="H35" i="42"/>
  <c r="F35" i="42"/>
  <c r="D36" i="42"/>
  <c r="D35" i="42"/>
  <c r="K252" i="46"/>
  <c r="E60" i="47"/>
  <c r="B24" i="56"/>
  <c r="J173" i="21" l="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H155" i="21"/>
  <c r="K262" i="46"/>
  <c r="K259" i="46"/>
  <c r="K258" i="46"/>
  <c r="K257" i="46"/>
  <c r="K254" i="46"/>
  <c r="K253" i="46"/>
  <c r="C262" i="46"/>
  <c r="C258" i="46"/>
  <c r="C257" i="46"/>
  <c r="C253" i="46"/>
  <c r="C252" i="46"/>
  <c r="K245" i="46"/>
  <c r="K242" i="46"/>
  <c r="K241" i="46"/>
  <c r="K240" i="46"/>
  <c r="K237" i="46"/>
  <c r="K236" i="46"/>
  <c r="K235" i="46"/>
  <c r="C245" i="46"/>
  <c r="C241" i="46"/>
  <c r="C240" i="46"/>
  <c r="C236" i="46"/>
  <c r="C235" i="46"/>
  <c r="C228" i="46"/>
  <c r="C224" i="46"/>
  <c r="C223" i="46"/>
  <c r="C219" i="46"/>
  <c r="C218" i="46"/>
  <c r="C211" i="46"/>
  <c r="C207" i="46"/>
  <c r="C206" i="46"/>
  <c r="C202" i="46"/>
  <c r="C201" i="46"/>
  <c r="C194" i="46"/>
  <c r="C190" i="46"/>
  <c r="C189" i="46"/>
  <c r="C185" i="46"/>
  <c r="C184" i="46"/>
  <c r="C177" i="46"/>
  <c r="C173" i="46"/>
  <c r="C172" i="46"/>
  <c r="C168" i="46"/>
  <c r="C167" i="46"/>
  <c r="C156" i="46"/>
  <c r="C160" i="46"/>
  <c r="C155" i="46"/>
  <c r="C151" i="46"/>
  <c r="C150" i="46"/>
  <c r="C143" i="46"/>
  <c r="C139" i="46"/>
  <c r="C138" i="46"/>
  <c r="C134" i="46"/>
  <c r="C133" i="46"/>
  <c r="C126" i="46"/>
  <c r="C122" i="46"/>
  <c r="C121" i="46"/>
  <c r="C117" i="46"/>
  <c r="C116" i="46"/>
  <c r="C109" i="46"/>
  <c r="C105" i="46"/>
  <c r="C104" i="46"/>
  <c r="C100" i="46"/>
  <c r="C99" i="46"/>
  <c r="C92" i="46"/>
  <c r="C88" i="46"/>
  <c r="C84" i="46"/>
  <c r="C83" i="46"/>
  <c r="C75" i="46"/>
  <c r="C71" i="46"/>
  <c r="C70" i="46"/>
  <c r="C66" i="46"/>
  <c r="C65" i="46"/>
  <c r="C58" i="46"/>
  <c r="C54" i="46"/>
  <c r="C53" i="46"/>
  <c r="C49" i="46"/>
  <c r="C48" i="46"/>
  <c r="G160" i="56" l="1"/>
  <c r="O160" i="56" s="1"/>
  <c r="H160" i="56"/>
  <c r="P160" i="56" s="1"/>
  <c r="F160" i="56"/>
  <c r="N160" i="56" s="1"/>
  <c r="E160" i="56"/>
  <c r="M160" i="56" s="1"/>
  <c r="D160" i="56"/>
  <c r="L160" i="56" s="1"/>
  <c r="I160" i="56"/>
  <c r="Q160" i="56" s="1"/>
  <c r="I151" i="56"/>
  <c r="Q151" i="56" s="1"/>
  <c r="F151" i="56"/>
  <c r="N151" i="56" s="1"/>
  <c r="H151" i="56"/>
  <c r="P151" i="56" s="1"/>
  <c r="G151" i="56"/>
  <c r="O151" i="56" s="1"/>
  <c r="E151" i="56"/>
  <c r="M151" i="56" s="1"/>
  <c r="D151" i="56"/>
  <c r="L151" i="56" s="1"/>
  <c r="I150" i="56"/>
  <c r="H150" i="56"/>
  <c r="G150" i="56"/>
  <c r="F150" i="56"/>
  <c r="E150" i="56"/>
  <c r="D150" i="56"/>
  <c r="Q237" i="46"/>
  <c r="P237" i="46"/>
  <c r="O237" i="46"/>
  <c r="N237" i="46"/>
  <c r="M237" i="46"/>
  <c r="L237" i="46"/>
  <c r="Q242" i="46"/>
  <c r="P242" i="46"/>
  <c r="M242" i="46"/>
  <c r="O242" i="46"/>
  <c r="N242" i="46"/>
  <c r="L242" i="46"/>
  <c r="E84" i="46"/>
  <c r="H84" i="46"/>
  <c r="F84" i="46"/>
  <c r="I84" i="46"/>
  <c r="G84" i="46"/>
  <c r="C41" i="46"/>
  <c r="C37" i="46"/>
  <c r="C36" i="46"/>
  <c r="C32" i="46"/>
  <c r="C31" i="46"/>
  <c r="N98" i="50"/>
  <c r="K33" i="46" s="1"/>
  <c r="N112" i="50"/>
  <c r="I103" i="50"/>
  <c r="F103" i="50"/>
  <c r="H11" i="47"/>
  <c r="H25" i="47" s="1"/>
  <c r="G11" i="47"/>
  <c r="G25" i="47" s="1"/>
  <c r="F11" i="47"/>
  <c r="F25" i="47" s="1"/>
  <c r="E11" i="47"/>
  <c r="E25" i="47" s="1"/>
  <c r="D11" i="47"/>
  <c r="D25" i="47" s="1"/>
  <c r="C11" i="47"/>
  <c r="C25" i="47" s="1"/>
  <c r="L150" i="56" l="1"/>
  <c r="L161" i="56" s="1"/>
  <c r="L17" i="56" s="1"/>
  <c r="D161" i="56"/>
  <c r="D17" i="56" s="1"/>
  <c r="M150" i="56"/>
  <c r="M161" i="56" s="1"/>
  <c r="E161" i="56"/>
  <c r="N150" i="56"/>
  <c r="N161" i="56" s="1"/>
  <c r="F161" i="56"/>
  <c r="G161" i="56"/>
  <c r="O150" i="56"/>
  <c r="O161" i="56" s="1"/>
  <c r="P150" i="56"/>
  <c r="P161" i="56" s="1"/>
  <c r="H161" i="56"/>
  <c r="Q150" i="56"/>
  <c r="Q161" i="56" s="1"/>
  <c r="I161" i="56"/>
  <c r="I41" i="46"/>
  <c r="G41" i="46"/>
  <c r="H41" i="46"/>
  <c r="Q33" i="46"/>
  <c r="P33" i="46"/>
  <c r="O33" i="46"/>
  <c r="N33" i="46"/>
  <c r="M33" i="46"/>
  <c r="L33" i="46"/>
  <c r="K37" i="46"/>
  <c r="C82" i="46"/>
  <c r="C87" i="46"/>
  <c r="K31" i="46"/>
  <c r="K36" i="46"/>
  <c r="K38" i="46"/>
  <c r="K41" i="46"/>
  <c r="K32" i="46"/>
  <c r="K185" i="46"/>
  <c r="K184" i="46"/>
  <c r="K194" i="46"/>
  <c r="K191" i="46"/>
  <c r="K186" i="46"/>
  <c r="K190" i="46"/>
  <c r="K189" i="46"/>
  <c r="O162" i="56" l="1"/>
  <c r="O17" i="56"/>
  <c r="P162" i="56"/>
  <c r="P17" i="56"/>
  <c r="G17" i="56"/>
  <c r="G162" i="56"/>
  <c r="N162" i="56"/>
  <c r="N17" i="56"/>
  <c r="Q162" i="56"/>
  <c r="Q17" i="56"/>
  <c r="M162" i="56"/>
  <c r="M17" i="56"/>
  <c r="F162" i="56"/>
  <c r="F17" i="56"/>
  <c r="I17" i="56"/>
  <c r="I162" i="56"/>
  <c r="E17" i="56"/>
  <c r="E162" i="56"/>
  <c r="H17" i="56"/>
  <c r="H162" i="56"/>
  <c r="Q186" i="46"/>
  <c r="P186" i="46"/>
  <c r="O186" i="46"/>
  <c r="N186" i="46"/>
  <c r="M186" i="46"/>
  <c r="L186" i="46"/>
  <c r="M191" i="46"/>
  <c r="Q191" i="46"/>
  <c r="P191" i="46"/>
  <c r="O191" i="46"/>
  <c r="N191" i="46"/>
  <c r="L191" i="46"/>
  <c r="Q41" i="46"/>
  <c r="P41" i="46"/>
  <c r="O41" i="46"/>
  <c r="R84" i="21"/>
  <c r="R83" i="21"/>
  <c r="Q84" i="21"/>
  <c r="Q83" i="21"/>
  <c r="I84" i="21"/>
  <c r="L84" i="21" s="1"/>
  <c r="I83" i="21"/>
  <c r="L83" i="21" s="1"/>
  <c r="I82" i="21"/>
  <c r="L82" i="21" s="1"/>
  <c r="H84" i="21"/>
  <c r="H83" i="21"/>
  <c r="R82" i="21"/>
  <c r="Q82" i="21"/>
  <c r="H82" i="21"/>
  <c r="R64" i="21"/>
  <c r="P82" i="21" l="1"/>
  <c r="S82" i="21" s="1"/>
  <c r="Q57" i="21"/>
  <c r="R57" i="21"/>
  <c r="R56" i="21"/>
  <c r="Q56" i="21"/>
  <c r="Q64" i="21"/>
  <c r="R49" i="21"/>
  <c r="Q49" i="21"/>
  <c r="R48" i="21"/>
  <c r="Q48" i="21"/>
  <c r="Q47" i="21"/>
  <c r="R47" i="21"/>
  <c r="I47" i="21"/>
  <c r="L47" i="21" s="1"/>
  <c r="L64" i="21"/>
  <c r="O64" i="21" s="1"/>
  <c r="H64" i="21"/>
  <c r="J57" i="21"/>
  <c r="L57" i="21" s="1"/>
  <c r="H57" i="21"/>
  <c r="L56" i="21"/>
  <c r="H56" i="21"/>
  <c r="J49" i="21"/>
  <c r="L49" i="21" s="1"/>
  <c r="H49" i="21"/>
  <c r="L48" i="21"/>
  <c r="H48" i="21"/>
  <c r="H47" i="21"/>
  <c r="Q27" i="21"/>
  <c r="I27" i="21"/>
  <c r="H27" i="21"/>
  <c r="H26" i="21"/>
  <c r="H10" i="21"/>
  <c r="O27" i="21"/>
  <c r="H54" i="50"/>
  <c r="H53" i="50"/>
  <c r="H52" i="50"/>
  <c r="H51" i="50"/>
  <c r="R19" i="21"/>
  <c r="Q19" i="21"/>
  <c r="J19" i="21"/>
  <c r="L19" i="21" s="1"/>
  <c r="H19" i="21"/>
  <c r="Q18" i="21"/>
  <c r="R11" i="21"/>
  <c r="Q11" i="21"/>
  <c r="J11" i="21"/>
  <c r="L11" i="21" s="1"/>
  <c r="H11" i="21"/>
  <c r="C37" i="50"/>
  <c r="G37" i="50"/>
  <c r="R10" i="21"/>
  <c r="Q10" i="21"/>
  <c r="L10" i="21"/>
  <c r="Q9" i="21"/>
  <c r="J80" i="50"/>
  <c r="I80" i="50"/>
  <c r="H80" i="50"/>
  <c r="G80" i="50"/>
  <c r="F80" i="50"/>
  <c r="E80" i="50"/>
  <c r="P84" i="21" l="1"/>
  <c r="S84" i="21" s="1"/>
  <c r="P83" i="21"/>
  <c r="S83" i="21" s="1"/>
  <c r="O11" i="21"/>
  <c r="P11" i="21" s="1"/>
  <c r="S11" i="21" s="1"/>
  <c r="O57" i="21"/>
  <c r="P57" i="21" s="1"/>
  <c r="S57" i="21" s="1"/>
  <c r="P64" i="21"/>
  <c r="S64" i="21" s="1"/>
  <c r="S66" i="21" s="1"/>
  <c r="C39" i="42" s="1"/>
  <c r="O47" i="21"/>
  <c r="P47" i="21" s="1"/>
  <c r="S47" i="21" s="1"/>
  <c r="O48" i="21"/>
  <c r="P48" i="21" s="1"/>
  <c r="S48" i="21" s="1"/>
  <c r="O56" i="21"/>
  <c r="P56" i="21" s="1"/>
  <c r="S56" i="21" s="1"/>
  <c r="O49" i="21"/>
  <c r="P49" i="21" s="1"/>
  <c r="S49" i="21" s="1"/>
  <c r="O19" i="21"/>
  <c r="P19" i="21" s="1"/>
  <c r="S19" i="21" s="1"/>
  <c r="P27" i="21"/>
  <c r="S27" i="21" s="1"/>
  <c r="O10" i="21"/>
  <c r="P10" i="21" s="1"/>
  <c r="S10" i="21" s="1"/>
  <c r="H39" i="42" l="1"/>
  <c r="I39" i="42"/>
  <c r="G39" i="42"/>
  <c r="D39" i="42"/>
  <c r="F39" i="42"/>
  <c r="E39" i="42"/>
  <c r="S86" i="21"/>
  <c r="C42" i="42" s="1"/>
  <c r="S59" i="21"/>
  <c r="C38" i="42" s="1"/>
  <c r="S51" i="21"/>
  <c r="C37" i="42" s="1"/>
  <c r="L173" i="21"/>
  <c r="L172" i="21"/>
  <c r="L171" i="21"/>
  <c r="K292" i="46" s="1"/>
  <c r="L170" i="21"/>
  <c r="K291" i="46" s="1"/>
  <c r="L169" i="21"/>
  <c r="K290" i="46" s="1"/>
  <c r="L168" i="21"/>
  <c r="K289" i="46" s="1"/>
  <c r="L167" i="21"/>
  <c r="K288" i="46" s="1"/>
  <c r="L166" i="21"/>
  <c r="K287" i="46" s="1"/>
  <c r="L165" i="21"/>
  <c r="K286" i="46" s="1"/>
  <c r="L164" i="21"/>
  <c r="K285" i="46" s="1"/>
  <c r="L163" i="21"/>
  <c r="L162" i="21"/>
  <c r="L161" i="21"/>
  <c r="K282" i="46" s="1"/>
  <c r="L160" i="21"/>
  <c r="K281" i="46" s="1"/>
  <c r="L159" i="21"/>
  <c r="L158" i="21"/>
  <c r="L157" i="21"/>
  <c r="K278" i="46" s="1"/>
  <c r="L156" i="21"/>
  <c r="K277" i="46" s="1"/>
  <c r="L155" i="21"/>
  <c r="K276" i="46" s="1"/>
  <c r="L154" i="21"/>
  <c r="K275" i="46" s="1"/>
  <c r="L153" i="21"/>
  <c r="K274" i="46" s="1"/>
  <c r="L152" i="21"/>
  <c r="K273" i="46" s="1"/>
  <c r="L151" i="21"/>
  <c r="L150" i="21"/>
  <c r="L149" i="21"/>
  <c r="L148" i="21"/>
  <c r="K269" i="46" s="1"/>
  <c r="I155" i="21"/>
  <c r="I169" i="21"/>
  <c r="I157" i="21"/>
  <c r="I152" i="21"/>
  <c r="I150" i="21"/>
  <c r="I173" i="21"/>
  <c r="H173" i="21"/>
  <c r="I172" i="21"/>
  <c r="H172" i="21"/>
  <c r="I171" i="21"/>
  <c r="H171" i="21"/>
  <c r="I170" i="21"/>
  <c r="H170" i="21"/>
  <c r="H169" i="21"/>
  <c r="I163" i="21"/>
  <c r="H163" i="21"/>
  <c r="H162" i="21"/>
  <c r="I161" i="21"/>
  <c r="H161" i="21"/>
  <c r="I160" i="21"/>
  <c r="H160" i="21"/>
  <c r="H159" i="21"/>
  <c r="I158" i="21"/>
  <c r="H158" i="21"/>
  <c r="H154" i="21"/>
  <c r="I153" i="21"/>
  <c r="H153" i="21"/>
  <c r="H152" i="21"/>
  <c r="I151" i="21"/>
  <c r="H151" i="21"/>
  <c r="H150" i="21"/>
  <c r="I149" i="21"/>
  <c r="H149" i="21"/>
  <c r="O173" i="21" l="1"/>
  <c r="K294" i="46"/>
  <c r="N151" i="21"/>
  <c r="K272" i="46"/>
  <c r="O150" i="21"/>
  <c r="K271" i="46"/>
  <c r="O162" i="21"/>
  <c r="K283" i="46"/>
  <c r="O172" i="21"/>
  <c r="K293" i="46"/>
  <c r="O149" i="21"/>
  <c r="K270" i="46"/>
  <c r="O158" i="21"/>
  <c r="K279" i="46"/>
  <c r="O159" i="21"/>
  <c r="K280" i="46"/>
  <c r="O163" i="21"/>
  <c r="K284" i="46"/>
  <c r="O155" i="21"/>
  <c r="M155" i="21"/>
  <c r="N155" i="21"/>
  <c r="O156" i="21"/>
  <c r="N156" i="21"/>
  <c r="M156" i="21"/>
  <c r="O164" i="21"/>
  <c r="O165" i="21"/>
  <c r="O166" i="21"/>
  <c r="O167" i="21"/>
  <c r="O168" i="21"/>
  <c r="M172" i="21"/>
  <c r="N162" i="21"/>
  <c r="N172" i="21"/>
  <c r="M159" i="21"/>
  <c r="M153" i="21"/>
  <c r="O153" i="21"/>
  <c r="N161" i="21"/>
  <c r="O161" i="21"/>
  <c r="N169" i="21"/>
  <c r="O169" i="21"/>
  <c r="N154" i="21"/>
  <c r="O154" i="21"/>
  <c r="N170" i="21"/>
  <c r="O170" i="21"/>
  <c r="M171" i="21"/>
  <c r="O171" i="21"/>
  <c r="M148" i="21"/>
  <c r="O148" i="21"/>
  <c r="N148" i="21"/>
  <c r="M157" i="21"/>
  <c r="O157" i="21"/>
  <c r="M151" i="21"/>
  <c r="O151" i="21"/>
  <c r="N152" i="21"/>
  <c r="O152" i="21"/>
  <c r="N160" i="21"/>
  <c r="O160" i="21"/>
  <c r="M169" i="21"/>
  <c r="N153" i="21"/>
  <c r="M154" i="21"/>
  <c r="M161" i="21"/>
  <c r="M170" i="21"/>
  <c r="M152" i="21"/>
  <c r="M160" i="21"/>
  <c r="N159" i="21"/>
  <c r="M162" i="21"/>
  <c r="M149" i="21"/>
  <c r="N157" i="21"/>
  <c r="N171" i="21"/>
  <c r="N149" i="21"/>
  <c r="M163" i="21"/>
  <c r="M173" i="21"/>
  <c r="N163" i="21"/>
  <c r="N173" i="21"/>
  <c r="M150" i="21"/>
  <c r="M158" i="21"/>
  <c r="N150" i="21"/>
  <c r="N158" i="21"/>
  <c r="I154" i="21"/>
  <c r="I162" i="21"/>
  <c r="I159" i="21"/>
  <c r="H148" i="21"/>
  <c r="I148" i="21"/>
  <c r="H157" i="21"/>
  <c r="O174" i="21" l="1"/>
  <c r="E29" i="50" l="1"/>
  <c r="N116" i="50" l="1"/>
  <c r="N114" i="50"/>
  <c r="N110" i="50"/>
  <c r="N108" i="50"/>
  <c r="K150" i="46" s="1"/>
  <c r="N106" i="50"/>
  <c r="N105" i="50"/>
  <c r="N104" i="50"/>
  <c r="N103" i="50"/>
  <c r="N102" i="50"/>
  <c r="N100"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R18" i="21"/>
  <c r="L18" i="21"/>
  <c r="L9" i="21"/>
  <c r="R9" i="21"/>
  <c r="K89" i="46" l="1"/>
  <c r="K92" i="46"/>
  <c r="K88" i="46"/>
  <c r="K87" i="46"/>
  <c r="K84" i="46"/>
  <c r="K83" i="46"/>
  <c r="K82" i="46"/>
  <c r="K101" i="46"/>
  <c r="K109" i="46"/>
  <c r="K99" i="46"/>
  <c r="K106" i="46"/>
  <c r="K105" i="46"/>
  <c r="K104" i="46"/>
  <c r="K100" i="46"/>
  <c r="K49" i="46"/>
  <c r="K48" i="46"/>
  <c r="K58" i="46"/>
  <c r="K54" i="46"/>
  <c r="K55" i="46"/>
  <c r="K50" i="46"/>
  <c r="K53" i="46"/>
  <c r="K70" i="46"/>
  <c r="K67" i="46"/>
  <c r="K75" i="46"/>
  <c r="K66" i="46"/>
  <c r="K65" i="46"/>
  <c r="K71" i="46"/>
  <c r="K117" i="46"/>
  <c r="K122" i="46"/>
  <c r="K116" i="46"/>
  <c r="K126" i="46"/>
  <c r="K125" i="46"/>
  <c r="K118" i="46"/>
  <c r="K121" i="46"/>
  <c r="K138" i="46"/>
  <c r="K135" i="46"/>
  <c r="K134" i="46"/>
  <c r="K133" i="46"/>
  <c r="K139" i="46"/>
  <c r="K143" i="46"/>
  <c r="K140" i="46"/>
  <c r="K157" i="46"/>
  <c r="K156" i="46"/>
  <c r="K155" i="46"/>
  <c r="K152" i="46"/>
  <c r="K151" i="46"/>
  <c r="K160" i="46"/>
  <c r="K177" i="46"/>
  <c r="K167" i="46"/>
  <c r="K174" i="46"/>
  <c r="K169" i="46"/>
  <c r="K173" i="46"/>
  <c r="K172" i="46"/>
  <c r="K168" i="46"/>
  <c r="K206" i="46"/>
  <c r="K203" i="46"/>
  <c r="K202" i="46"/>
  <c r="K201" i="46"/>
  <c r="K207" i="46"/>
  <c r="K211" i="46"/>
  <c r="K208" i="46"/>
  <c r="K224" i="46"/>
  <c r="K225" i="46"/>
  <c r="K223" i="46"/>
  <c r="K228" i="46"/>
  <c r="K220" i="46"/>
  <c r="K219" i="46"/>
  <c r="K218" i="46"/>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O18" i="21"/>
  <c r="O9" i="21"/>
  <c r="Q225" i="46" l="1"/>
  <c r="P225" i="46"/>
  <c r="M225" i="46"/>
  <c r="L225" i="46"/>
  <c r="O225" i="46"/>
  <c r="N225" i="46"/>
  <c r="Q220" i="46"/>
  <c r="O220" i="46"/>
  <c r="P220" i="46"/>
  <c r="N220" i="46"/>
  <c r="M220" i="46"/>
  <c r="L220" i="46"/>
  <c r="Q208" i="46"/>
  <c r="P208" i="46"/>
  <c r="O208" i="46"/>
  <c r="N208" i="46"/>
  <c r="M208" i="46"/>
  <c r="L208" i="46"/>
  <c r="Q203" i="46"/>
  <c r="P203" i="46"/>
  <c r="L203" i="46"/>
  <c r="O203" i="46"/>
  <c r="N203" i="46"/>
  <c r="M203" i="46"/>
  <c r="Q169" i="46"/>
  <c r="P169" i="46"/>
  <c r="O169" i="46"/>
  <c r="N169" i="46"/>
  <c r="L169" i="46"/>
  <c r="M169" i="46"/>
  <c r="M174" i="46"/>
  <c r="L174" i="46"/>
  <c r="P174" i="46"/>
  <c r="Q174" i="46"/>
  <c r="O174" i="46"/>
  <c r="N174" i="46"/>
  <c r="Q157" i="46"/>
  <c r="P157" i="46"/>
  <c r="N157" i="46"/>
  <c r="O157" i="46"/>
  <c r="M157" i="46"/>
  <c r="L157" i="46"/>
  <c r="Q152" i="46"/>
  <c r="P152" i="46"/>
  <c r="O152" i="46"/>
  <c r="N152" i="46"/>
  <c r="L152" i="46"/>
  <c r="M152" i="46"/>
  <c r="Q135" i="46"/>
  <c r="P135" i="46"/>
  <c r="O135" i="46"/>
  <c r="M135" i="46"/>
  <c r="N135" i="46"/>
  <c r="L135" i="46"/>
  <c r="Q140" i="46"/>
  <c r="P140" i="46"/>
  <c r="M140" i="46"/>
  <c r="N140" i="46"/>
  <c r="L140" i="46"/>
  <c r="O140" i="46"/>
  <c r="N118" i="46"/>
  <c r="Q118" i="46"/>
  <c r="M118" i="46"/>
  <c r="P118" i="46"/>
  <c r="O118" i="46"/>
  <c r="Q101" i="46"/>
  <c r="P101" i="46"/>
  <c r="L101" i="46"/>
  <c r="O101" i="46"/>
  <c r="N101" i="46"/>
  <c r="M101" i="46"/>
  <c r="Q106" i="46"/>
  <c r="P106" i="46"/>
  <c r="N106" i="46"/>
  <c r="O106" i="46"/>
  <c r="M106" i="46"/>
  <c r="L106" i="46"/>
  <c r="P67" i="46"/>
  <c r="Q67" i="46"/>
  <c r="O67" i="46"/>
  <c r="N67" i="46"/>
  <c r="M67" i="46"/>
  <c r="L67" i="46"/>
  <c r="Q84" i="46"/>
  <c r="P84" i="46"/>
  <c r="O84" i="46"/>
  <c r="L84" i="46"/>
  <c r="N84" i="46"/>
  <c r="M84" i="46"/>
  <c r="N50" i="46"/>
  <c r="M50" i="46"/>
  <c r="Q50" i="46"/>
  <c r="L50" i="46"/>
  <c r="O50" i="46"/>
  <c r="P50" i="46"/>
  <c r="Q55" i="46"/>
  <c r="P55" i="46"/>
  <c r="O55" i="46"/>
  <c r="M55" i="46"/>
  <c r="N55" i="46"/>
  <c r="L55" i="46"/>
  <c r="Q89" i="46"/>
  <c r="P89" i="46"/>
  <c r="O89" i="46"/>
  <c r="N89" i="46"/>
  <c r="M89" i="46"/>
  <c r="L89" i="46"/>
  <c r="H27" i="57"/>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R26" i="21"/>
  <c r="L26" i="21"/>
  <c r="H18" i="21"/>
  <c r="P18" i="21" s="1"/>
  <c r="S18" i="21" s="1"/>
  <c r="S21" i="21" s="1"/>
  <c r="C33" i="42" s="1"/>
  <c r="H9" i="21"/>
  <c r="P9" i="21" s="1"/>
  <c r="S9" i="21" s="1"/>
  <c r="F19" i="50"/>
  <c r="G13" i="50"/>
  <c r="G40" i="50"/>
  <c r="O26" i="21" l="1"/>
  <c r="P26" i="21" s="1"/>
  <c r="S26" i="21" s="1"/>
  <c r="G35" i="50"/>
  <c r="L43"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B1" i="56"/>
  <c r="B1" i="46"/>
  <c r="B1" i="42"/>
  <c r="B1" i="47"/>
  <c r="B1" i="21"/>
  <c r="C43" i="50" l="1"/>
  <c r="C6" i="47" l="1"/>
  <c r="F16" i="50"/>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N164" i="21" l="1"/>
  <c r="N165" i="21"/>
  <c r="N166" i="21"/>
  <c r="N167" i="21"/>
  <c r="N168" i="21"/>
  <c r="M164" i="21"/>
  <c r="M165" i="21"/>
  <c r="M166" i="21"/>
  <c r="M167" i="21"/>
  <c r="M168" i="21"/>
  <c r="H164" i="21"/>
  <c r="I164" i="21"/>
  <c r="H165" i="21"/>
  <c r="I165" i="21"/>
  <c r="H166" i="21"/>
  <c r="I166" i="21"/>
  <c r="H167" i="21"/>
  <c r="I167" i="21"/>
  <c r="H168" i="21"/>
  <c r="I168" i="21"/>
  <c r="I156" i="21"/>
  <c r="H156" i="21"/>
  <c r="B24" i="46"/>
  <c r="B17" i="46"/>
  <c r="B16" i="46"/>
  <c r="N174" i="21" l="1"/>
  <c r="M174" i="21"/>
  <c r="I174" i="21"/>
  <c r="C42" i="50"/>
  <c r="G38" i="50"/>
  <c r="C35" i="50" l="1"/>
  <c r="F17" i="50"/>
  <c r="C17" i="50"/>
  <c r="F15" i="50"/>
  <c r="E6" i="47"/>
  <c r="F6" i="47"/>
  <c r="G6" i="47"/>
  <c r="H6" i="47"/>
  <c r="D6" i="47"/>
  <c r="F20" i="50" l="1"/>
  <c r="H40" i="50" l="1"/>
  <c r="I40" i="50" s="1"/>
  <c r="J40" i="50" s="1"/>
  <c r="K40" i="50" s="1"/>
  <c r="G41" i="50" l="1"/>
  <c r="H41" i="50" l="1"/>
  <c r="I41" i="50" s="1"/>
  <c r="J41" i="50" s="1"/>
  <c r="K41"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74" i="50"/>
  <c r="I74" i="50"/>
  <c r="H74" i="50"/>
  <c r="G74" i="50"/>
  <c r="F74" i="50"/>
  <c r="E74" i="50"/>
  <c r="H55" i="50"/>
  <c r="H50"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S13" i="21" l="1"/>
  <c r="C32"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S29" i="21" l="1"/>
  <c r="C34" i="42" s="1"/>
  <c r="E16" i="32"/>
  <c r="D16" i="32"/>
  <c r="E34" i="42" l="1"/>
  <c r="D34" i="42"/>
  <c r="I34" i="42"/>
  <c r="H34" i="42"/>
  <c r="G34" i="42"/>
  <c r="F34" i="42"/>
  <c r="F14" i="32"/>
  <c r="G12" i="50" s="1"/>
  <c r="G14" i="50" s="1"/>
  <c r="F25" i="50" l="1"/>
  <c r="F27" i="50" s="1"/>
  <c r="F28" i="50" s="1"/>
  <c r="F29" i="50" s="1"/>
  <c r="F30" i="50" s="1"/>
  <c r="F31" i="50" s="1"/>
  <c r="F42" i="50"/>
  <c r="F15" i="32"/>
  <c r="F16" i="32" s="1"/>
  <c r="F44" i="50" l="1"/>
  <c r="G42" i="50"/>
  <c r="D9" i="42" l="1"/>
  <c r="C10" i="47"/>
  <c r="L78" i="50"/>
  <c r="D19" i="42" s="1"/>
  <c r="C12" i="47" s="1"/>
  <c r="L79" i="50"/>
  <c r="K44" i="50"/>
  <c r="Q78" i="50" s="1"/>
  <c r="J44" i="50"/>
  <c r="P78" i="50" s="1"/>
  <c r="I44" i="50"/>
  <c r="O78" i="50" s="1"/>
  <c r="H44" i="50"/>
  <c r="N78" i="50" s="1"/>
  <c r="G44" i="50"/>
  <c r="M78" i="50" s="1"/>
  <c r="K42" i="50"/>
  <c r="G26" i="50" s="1"/>
  <c r="G27" i="50" s="1"/>
  <c r="G28" i="50" s="1"/>
  <c r="G29" i="50" s="1"/>
  <c r="G30" i="50" s="1"/>
  <c r="G31" i="50" s="1"/>
  <c r="J42" i="50"/>
  <c r="I42" i="50"/>
  <c r="H42" i="50"/>
  <c r="D20" i="42" l="1"/>
  <c r="C18" i="47"/>
  <c r="F9" i="42"/>
  <c r="E10" i="47"/>
  <c r="G9" i="42"/>
  <c r="F10" i="47"/>
  <c r="H9" i="42"/>
  <c r="G10" i="47"/>
  <c r="I9" i="42"/>
  <c r="H10" i="47"/>
  <c r="E9" i="42"/>
  <c r="D10" i="47"/>
  <c r="E19" i="42"/>
  <c r="D12" i="47" s="1"/>
  <c r="M79" i="50"/>
  <c r="Q79" i="50"/>
  <c r="I19" i="42"/>
  <c r="H12" i="47" s="1"/>
  <c r="N79" i="50"/>
  <c r="F19" i="42"/>
  <c r="E12" i="47" s="1"/>
  <c r="G19" i="42"/>
  <c r="O79" i="50"/>
  <c r="P79" i="50"/>
  <c r="H19" i="42"/>
  <c r="G12" i="47" s="1"/>
  <c r="L80" i="50"/>
  <c r="F43" i="50"/>
  <c r="D7" i="56" s="1"/>
  <c r="D262" i="46" l="1"/>
  <c r="L262" i="46" s="1"/>
  <c r="D228" i="46"/>
  <c r="L228" i="46" s="1"/>
  <c r="D177" i="46"/>
  <c r="L177" i="46" s="1"/>
  <c r="D92" i="46"/>
  <c r="L92" i="46" s="1"/>
  <c r="D109" i="46"/>
  <c r="L109" i="46" s="1"/>
  <c r="D126" i="46"/>
  <c r="L126" i="46" s="1"/>
  <c r="D58" i="46"/>
  <c r="L58" i="46" s="1"/>
  <c r="D194" i="46"/>
  <c r="L194" i="46" s="1"/>
  <c r="D143" i="46"/>
  <c r="L143" i="46" s="1"/>
  <c r="D211" i="46"/>
  <c r="L211" i="46" s="1"/>
  <c r="D245" i="46"/>
  <c r="L245" i="46" s="1"/>
  <c r="D75" i="46"/>
  <c r="L75" i="46" s="1"/>
  <c r="D160" i="46"/>
  <c r="L160" i="46" s="1"/>
  <c r="D41" i="46"/>
  <c r="L41" i="46" s="1"/>
  <c r="D21" i="42"/>
  <c r="E20" i="42"/>
  <c r="D18" i="47"/>
  <c r="H20" i="42"/>
  <c r="G18" i="47"/>
  <c r="G20" i="42"/>
  <c r="F18" i="47"/>
  <c r="F12" i="47"/>
  <c r="F20" i="42"/>
  <c r="E18" i="47"/>
  <c r="F245" i="46" s="1"/>
  <c r="N245" i="46" s="1"/>
  <c r="I20" i="42"/>
  <c r="H18" i="47"/>
  <c r="I143" i="46" s="1"/>
  <c r="Q143" i="46" s="1"/>
  <c r="P80" i="50"/>
  <c r="N80" i="50"/>
  <c r="Q80" i="50"/>
  <c r="O80" i="50"/>
  <c r="M80" i="50"/>
  <c r="C5" i="47"/>
  <c r="D8" i="42"/>
  <c r="L72" i="50"/>
  <c r="G43" i="50"/>
  <c r="D7" i="46"/>
  <c r="L73" i="50"/>
  <c r="L85" i="50" s="1"/>
  <c r="I43" i="50"/>
  <c r="O72" i="50" s="1"/>
  <c r="H43" i="50"/>
  <c r="K43" i="50"/>
  <c r="J43" i="50"/>
  <c r="D14" i="42" l="1"/>
  <c r="L84" i="50"/>
  <c r="H92" i="46"/>
  <c r="P92" i="46" s="1"/>
  <c r="H58" i="46"/>
  <c r="P58" i="46" s="1"/>
  <c r="G177" i="46"/>
  <c r="O177" i="46" s="1"/>
  <c r="G211" i="46"/>
  <c r="O211" i="46" s="1"/>
  <c r="E75" i="46"/>
  <c r="M75" i="46" s="1"/>
  <c r="E228" i="46"/>
  <c r="M228" i="46" s="1"/>
  <c r="H7" i="56"/>
  <c r="P72" i="50"/>
  <c r="P84" i="50" s="1"/>
  <c r="I7" i="56"/>
  <c r="Q72" i="50"/>
  <c r="F7" i="56"/>
  <c r="N72" i="50"/>
  <c r="M72" i="50"/>
  <c r="M73" i="50"/>
  <c r="M85" i="50" s="1"/>
  <c r="G7" i="56"/>
  <c r="D5" i="47"/>
  <c r="E7" i="56"/>
  <c r="E262" i="46"/>
  <c r="M262" i="46" s="1"/>
  <c r="E245" i="46"/>
  <c r="M245" i="46" s="1"/>
  <c r="E211" i="46"/>
  <c r="M211" i="46" s="1"/>
  <c r="E92" i="46"/>
  <c r="M92" i="46" s="1"/>
  <c r="E58" i="46"/>
  <c r="M58" i="46" s="1"/>
  <c r="E194" i="46"/>
  <c r="M194" i="46" s="1"/>
  <c r="E109" i="46"/>
  <c r="M109" i="46" s="1"/>
  <c r="E143" i="46"/>
  <c r="M143" i="46" s="1"/>
  <c r="E126" i="46"/>
  <c r="M126" i="46" s="1"/>
  <c r="E160" i="46"/>
  <c r="M160" i="46" s="1"/>
  <c r="E177" i="46"/>
  <c r="M177" i="46" s="1"/>
  <c r="E41" i="46"/>
  <c r="M41" i="46" s="1"/>
  <c r="H262" i="46"/>
  <c r="P262" i="46" s="1"/>
  <c r="H194" i="46"/>
  <c r="P194" i="46" s="1"/>
  <c r="H109" i="46"/>
  <c r="P109" i="46" s="1"/>
  <c r="H245" i="46"/>
  <c r="P245" i="46" s="1"/>
  <c r="H75" i="46"/>
  <c r="P75" i="46" s="1"/>
  <c r="H211" i="46"/>
  <c r="P211" i="46" s="1"/>
  <c r="H160" i="46"/>
  <c r="P160" i="46" s="1"/>
  <c r="H177" i="46"/>
  <c r="P177" i="46" s="1"/>
  <c r="H143" i="46"/>
  <c r="P143" i="46" s="1"/>
  <c r="H228" i="46"/>
  <c r="P228" i="46" s="1"/>
  <c r="H126" i="46"/>
  <c r="P126" i="46" s="1"/>
  <c r="F211" i="46"/>
  <c r="N211" i="46" s="1"/>
  <c r="F109" i="46"/>
  <c r="N109" i="46" s="1"/>
  <c r="F75" i="46"/>
  <c r="N75" i="46" s="1"/>
  <c r="F177" i="46"/>
  <c r="N177" i="46" s="1"/>
  <c r="F262" i="46"/>
  <c r="N262" i="46" s="1"/>
  <c r="F92" i="46"/>
  <c r="N92" i="46" s="1"/>
  <c r="F194" i="46"/>
  <c r="N194" i="46" s="1"/>
  <c r="F126" i="46"/>
  <c r="N126" i="46" s="1"/>
  <c r="F160" i="46"/>
  <c r="N160" i="46" s="1"/>
  <c r="F58" i="46"/>
  <c r="N58" i="46" s="1"/>
  <c r="F228" i="46"/>
  <c r="N228" i="46" s="1"/>
  <c r="F143" i="46"/>
  <c r="N143" i="46" s="1"/>
  <c r="F41" i="46"/>
  <c r="N41" i="46" s="1"/>
  <c r="I262" i="46"/>
  <c r="Q262" i="46" s="1"/>
  <c r="I75" i="46"/>
  <c r="Q75" i="46" s="1"/>
  <c r="I109" i="46"/>
  <c r="Q109" i="46" s="1"/>
  <c r="I211" i="46"/>
  <c r="Q211" i="46" s="1"/>
  <c r="I194" i="46"/>
  <c r="Q194" i="46" s="1"/>
  <c r="I177" i="46"/>
  <c r="Q177" i="46" s="1"/>
  <c r="I92" i="46"/>
  <c r="Q92" i="46" s="1"/>
  <c r="I58" i="46"/>
  <c r="Q58" i="46" s="1"/>
  <c r="I228" i="46"/>
  <c r="Q228" i="46" s="1"/>
  <c r="I245" i="46"/>
  <c r="Q245" i="46" s="1"/>
  <c r="I160" i="46"/>
  <c r="Q160" i="46" s="1"/>
  <c r="I126" i="46"/>
  <c r="Q126" i="46" s="1"/>
  <c r="G160" i="46"/>
  <c r="O160" i="46" s="1"/>
  <c r="G109" i="46"/>
  <c r="O109" i="46" s="1"/>
  <c r="G194" i="46"/>
  <c r="O194" i="46" s="1"/>
  <c r="G143" i="46"/>
  <c r="O143" i="46" s="1"/>
  <c r="G228" i="46"/>
  <c r="O228" i="46" s="1"/>
  <c r="G126" i="46"/>
  <c r="O126" i="46" s="1"/>
  <c r="G262" i="46"/>
  <c r="O262" i="46" s="1"/>
  <c r="G245" i="46"/>
  <c r="O245" i="46" s="1"/>
  <c r="G75" i="46"/>
  <c r="O75" i="46" s="1"/>
  <c r="G92" i="46"/>
  <c r="O92" i="46" s="1"/>
  <c r="G58" i="46"/>
  <c r="O58" i="46" s="1"/>
  <c r="I21" i="42"/>
  <c r="H21" i="42"/>
  <c r="E21" i="42"/>
  <c r="F21" i="42"/>
  <c r="G21" i="42"/>
  <c r="D33" i="42"/>
  <c r="E14" i="42"/>
  <c r="L74" i="50"/>
  <c r="F5" i="47"/>
  <c r="D15" i="42"/>
  <c r="O73" i="50"/>
  <c r="G14" i="42"/>
  <c r="G5" i="47"/>
  <c r="P73" i="50"/>
  <c r="P85" i="50" s="1"/>
  <c r="E5" i="47"/>
  <c r="N73" i="50"/>
  <c r="N85" i="50" s="1"/>
  <c r="H5" i="47"/>
  <c r="Q73" i="50"/>
  <c r="Q85" i="50" s="1"/>
  <c r="H7" i="46"/>
  <c r="H8" i="42"/>
  <c r="G8" i="42"/>
  <c r="G7" i="46"/>
  <c r="I8" i="42"/>
  <c r="I7" i="46"/>
  <c r="E8" i="42"/>
  <c r="E7" i="46"/>
  <c r="C7" i="47"/>
  <c r="C16" i="47" s="1"/>
  <c r="F8" i="42"/>
  <c r="F7" i="46"/>
  <c r="M84" i="50" l="1"/>
  <c r="N84" i="50"/>
  <c r="Q84" i="50"/>
  <c r="G15" i="42"/>
  <c r="O85" i="50"/>
  <c r="O84" i="50"/>
  <c r="E32" i="42"/>
  <c r="G70" i="46"/>
  <c r="O70" i="46" s="1"/>
  <c r="G189" i="46"/>
  <c r="O189" i="46" s="1"/>
  <c r="G173" i="46"/>
  <c r="O173" i="46" s="1"/>
  <c r="G224" i="46"/>
  <c r="O224" i="46" s="1"/>
  <c r="G206" i="46"/>
  <c r="O206" i="46" s="1"/>
  <c r="G155" i="46"/>
  <c r="O155" i="46" s="1"/>
  <c r="G87" i="46"/>
  <c r="O87" i="46" s="1"/>
  <c r="G207" i="46"/>
  <c r="O207" i="46" s="1"/>
  <c r="G138" i="46"/>
  <c r="O138" i="46" s="1"/>
  <c r="G88" i="46"/>
  <c r="O88" i="46" s="1"/>
  <c r="G104" i="46"/>
  <c r="O104" i="46" s="1"/>
  <c r="G54" i="46"/>
  <c r="O54" i="46" s="1"/>
  <c r="G71" i="46"/>
  <c r="O71" i="46" s="1"/>
  <c r="G258" i="46"/>
  <c r="O258" i="46" s="1"/>
  <c r="G241" i="46"/>
  <c r="O241" i="46" s="1"/>
  <c r="G172" i="46"/>
  <c r="O172" i="46" s="1"/>
  <c r="G122" i="46"/>
  <c r="O122" i="46" s="1"/>
  <c r="G105" i="46"/>
  <c r="O105" i="46" s="1"/>
  <c r="G190" i="46"/>
  <c r="O190" i="46" s="1"/>
  <c r="G156" i="46"/>
  <c r="O156" i="46" s="1"/>
  <c r="G139" i="46"/>
  <c r="O139" i="46" s="1"/>
  <c r="G257" i="46"/>
  <c r="O257" i="46" s="1"/>
  <c r="G223" i="46"/>
  <c r="O223" i="46" s="1"/>
  <c r="G240" i="46"/>
  <c r="O240" i="46" s="1"/>
  <c r="G121" i="46"/>
  <c r="O121" i="46" s="1"/>
  <c r="G53" i="46"/>
  <c r="O53" i="46" s="1"/>
  <c r="D257" i="46"/>
  <c r="L257" i="46" s="1"/>
  <c r="D241" i="46"/>
  <c r="L241" i="46" s="1"/>
  <c r="D207" i="46"/>
  <c r="L207" i="46" s="1"/>
  <c r="D121" i="46"/>
  <c r="L121" i="46" s="1"/>
  <c r="D87" i="46"/>
  <c r="L87" i="46" s="1"/>
  <c r="D156" i="46"/>
  <c r="L156" i="46" s="1"/>
  <c r="D71" i="46"/>
  <c r="L71" i="46" s="1"/>
  <c r="D138" i="46"/>
  <c r="L138" i="46" s="1"/>
  <c r="D139" i="46"/>
  <c r="L139" i="46" s="1"/>
  <c r="D240" i="46"/>
  <c r="L240" i="46" s="1"/>
  <c r="D224" i="46"/>
  <c r="L224" i="46" s="1"/>
  <c r="D189" i="46"/>
  <c r="L189" i="46" s="1"/>
  <c r="D173" i="46"/>
  <c r="L173" i="46" s="1"/>
  <c r="D88" i="46"/>
  <c r="L88" i="46" s="1"/>
  <c r="D105" i="46"/>
  <c r="L105" i="46" s="1"/>
  <c r="D54" i="46"/>
  <c r="L54" i="46" s="1"/>
  <c r="D53" i="46"/>
  <c r="L53" i="46" s="1"/>
  <c r="D206" i="46"/>
  <c r="L206" i="46" s="1"/>
  <c r="D122" i="46"/>
  <c r="L122" i="46" s="1"/>
  <c r="D70" i="46"/>
  <c r="L70" i="46" s="1"/>
  <c r="D172" i="46"/>
  <c r="L172" i="46" s="1"/>
  <c r="D258" i="46"/>
  <c r="L258" i="46" s="1"/>
  <c r="D223" i="46"/>
  <c r="L223" i="46" s="1"/>
  <c r="D190" i="46"/>
  <c r="L190" i="46" s="1"/>
  <c r="D155" i="46"/>
  <c r="L155" i="46" s="1"/>
  <c r="D104" i="46"/>
  <c r="L104" i="46" s="1"/>
  <c r="D66" i="46"/>
  <c r="L66" i="46" s="1"/>
  <c r="D185" i="46"/>
  <c r="L185" i="46" s="1"/>
  <c r="D201" i="46"/>
  <c r="D117" i="46"/>
  <c r="L117" i="46" s="1"/>
  <c r="D49" i="46"/>
  <c r="L49" i="46" s="1"/>
  <c r="D133" i="46"/>
  <c r="D219" i="46"/>
  <c r="L219" i="46" s="1"/>
  <c r="D202" i="46"/>
  <c r="L202" i="46" s="1"/>
  <c r="D151" i="46"/>
  <c r="L151" i="46" s="1"/>
  <c r="D48" i="46"/>
  <c r="D134" i="46"/>
  <c r="L134" i="46" s="1"/>
  <c r="D235" i="46"/>
  <c r="D236" i="46"/>
  <c r="L236" i="46" s="1"/>
  <c r="D252" i="46"/>
  <c r="D167" i="46"/>
  <c r="D99" i="46"/>
  <c r="D83" i="46"/>
  <c r="L83" i="46" s="1"/>
  <c r="D253" i="46"/>
  <c r="L253" i="46" s="1"/>
  <c r="D116" i="46"/>
  <c r="D100" i="46"/>
  <c r="L100" i="46" s="1"/>
  <c r="D82" i="46"/>
  <c r="D150" i="46"/>
  <c r="L118" i="46"/>
  <c r="D218" i="46"/>
  <c r="D184" i="46"/>
  <c r="D168" i="46"/>
  <c r="L168" i="46" s="1"/>
  <c r="D65" i="46"/>
  <c r="C17" i="47"/>
  <c r="D32" i="46"/>
  <c r="L32" i="46" s="1"/>
  <c r="D31" i="46"/>
  <c r="D37" i="46"/>
  <c r="L37" i="46" s="1"/>
  <c r="D36" i="46"/>
  <c r="L36" i="46" s="1"/>
  <c r="G36" i="46"/>
  <c r="O36" i="46" s="1"/>
  <c r="G37" i="46"/>
  <c r="O37" i="46" s="1"/>
  <c r="G37" i="42"/>
  <c r="G38" i="42"/>
  <c r="G33" i="42"/>
  <c r="D37" i="42"/>
  <c r="D38" i="42"/>
  <c r="E33" i="42"/>
  <c r="M74" i="50"/>
  <c r="E15" i="42"/>
  <c r="O74" i="50"/>
  <c r="H15" i="42"/>
  <c r="H14" i="42"/>
  <c r="F15" i="42"/>
  <c r="I15" i="42"/>
  <c r="I14" i="42"/>
  <c r="F14" i="42"/>
  <c r="N74" i="50"/>
  <c r="Q74" i="50"/>
  <c r="P74" i="50"/>
  <c r="D16" i="42"/>
  <c r="D32" i="42"/>
  <c r="E172" i="46" l="1"/>
  <c r="M172" i="46" s="1"/>
  <c r="E139" i="46"/>
  <c r="M139" i="46" s="1"/>
  <c r="E190" i="46"/>
  <c r="M190" i="46" s="1"/>
  <c r="F70" i="46"/>
  <c r="N70" i="46" s="1"/>
  <c r="F240" i="46"/>
  <c r="N240" i="46" s="1"/>
  <c r="F223" i="46"/>
  <c r="N223" i="46" s="1"/>
  <c r="F138" i="46"/>
  <c r="N138" i="46" s="1"/>
  <c r="F87" i="46"/>
  <c r="N87" i="46" s="1"/>
  <c r="D269" i="46"/>
  <c r="F71" i="46"/>
  <c r="N71" i="46" s="1"/>
  <c r="F206" i="46"/>
  <c r="N206" i="46" s="1"/>
  <c r="F258" i="46"/>
  <c r="N258" i="46" s="1"/>
  <c r="F172" i="46"/>
  <c r="N172" i="46" s="1"/>
  <c r="F122" i="46"/>
  <c r="N122" i="46" s="1"/>
  <c r="F155" i="46"/>
  <c r="N155" i="46" s="1"/>
  <c r="F88" i="46"/>
  <c r="N88" i="46" s="1"/>
  <c r="F104" i="46"/>
  <c r="N104" i="46" s="1"/>
  <c r="F241" i="46"/>
  <c r="N241" i="46" s="1"/>
  <c r="F156" i="46"/>
  <c r="N156" i="46" s="1"/>
  <c r="F139" i="46"/>
  <c r="N139" i="46" s="1"/>
  <c r="F53" i="46"/>
  <c r="N53" i="46" s="1"/>
  <c r="F190" i="46"/>
  <c r="N190" i="46" s="1"/>
  <c r="F105" i="46"/>
  <c r="N105" i="46" s="1"/>
  <c r="F257" i="46"/>
  <c r="N257" i="46" s="1"/>
  <c r="F207" i="46"/>
  <c r="N207" i="46" s="1"/>
  <c r="F121" i="46"/>
  <c r="N121" i="46" s="1"/>
  <c r="F173" i="46"/>
  <c r="N173" i="46" s="1"/>
  <c r="F54" i="46"/>
  <c r="N54" i="46" s="1"/>
  <c r="F189" i="46"/>
  <c r="N189" i="46" s="1"/>
  <c r="F224" i="46"/>
  <c r="N224" i="46" s="1"/>
  <c r="H172" i="46"/>
  <c r="P172" i="46" s="1"/>
  <c r="H53" i="46"/>
  <c r="P53" i="46" s="1"/>
  <c r="H240" i="46"/>
  <c r="P240" i="46" s="1"/>
  <c r="H190" i="46"/>
  <c r="P190" i="46" s="1"/>
  <c r="H189" i="46"/>
  <c r="P189" i="46" s="1"/>
  <c r="H87" i="46"/>
  <c r="P87" i="46" s="1"/>
  <c r="H70" i="46"/>
  <c r="P70" i="46" s="1"/>
  <c r="H121" i="46"/>
  <c r="P121" i="46" s="1"/>
  <c r="H104" i="46"/>
  <c r="P104" i="46" s="1"/>
  <c r="H54" i="46"/>
  <c r="P54" i="46" s="1"/>
  <c r="H206" i="46"/>
  <c r="P206" i="46" s="1"/>
  <c r="H173" i="46"/>
  <c r="P173" i="46" s="1"/>
  <c r="H71" i="46"/>
  <c r="P71" i="46" s="1"/>
  <c r="H88" i="46"/>
  <c r="P88" i="46" s="1"/>
  <c r="H223" i="46"/>
  <c r="P223" i="46" s="1"/>
  <c r="H258" i="46"/>
  <c r="P258" i="46" s="1"/>
  <c r="H241" i="46"/>
  <c r="P241" i="46" s="1"/>
  <c r="H207" i="46"/>
  <c r="P207" i="46" s="1"/>
  <c r="H224" i="46"/>
  <c r="P224" i="46" s="1"/>
  <c r="H155" i="46"/>
  <c r="P155" i="46" s="1"/>
  <c r="H139" i="46"/>
  <c r="P139" i="46" s="1"/>
  <c r="H156" i="46"/>
  <c r="P156" i="46" s="1"/>
  <c r="H122" i="46"/>
  <c r="P122" i="46" s="1"/>
  <c r="H105" i="46"/>
  <c r="P105" i="46" s="1"/>
  <c r="H257" i="46"/>
  <c r="P257" i="46" s="1"/>
  <c r="H138" i="46"/>
  <c r="P138" i="46" s="1"/>
  <c r="E223" i="46"/>
  <c r="M223" i="46" s="1"/>
  <c r="E87" i="46"/>
  <c r="M87" i="46" s="1"/>
  <c r="E241" i="46"/>
  <c r="M241" i="46" s="1"/>
  <c r="E206" i="46"/>
  <c r="M206" i="46" s="1"/>
  <c r="E53" i="46"/>
  <c r="M53" i="46" s="1"/>
  <c r="E70" i="46"/>
  <c r="M70" i="46" s="1"/>
  <c r="E257" i="46"/>
  <c r="M257" i="46" s="1"/>
  <c r="E156" i="46"/>
  <c r="M156" i="46" s="1"/>
  <c r="E121" i="46"/>
  <c r="M121" i="46" s="1"/>
  <c r="E104" i="46"/>
  <c r="M104" i="46" s="1"/>
  <c r="E155" i="46"/>
  <c r="M155" i="46" s="1"/>
  <c r="E240" i="46"/>
  <c r="M240" i="46" s="1"/>
  <c r="E173" i="46"/>
  <c r="M173" i="46" s="1"/>
  <c r="E88" i="46"/>
  <c r="M88" i="46" s="1"/>
  <c r="E122" i="46"/>
  <c r="M122" i="46" s="1"/>
  <c r="E105" i="46"/>
  <c r="M105" i="46" s="1"/>
  <c r="E54" i="46"/>
  <c r="M54" i="46" s="1"/>
  <c r="E258" i="46"/>
  <c r="M258" i="46" s="1"/>
  <c r="E224" i="46"/>
  <c r="M224" i="46" s="1"/>
  <c r="E189" i="46"/>
  <c r="M189" i="46" s="1"/>
  <c r="E207" i="46"/>
  <c r="M207" i="46" s="1"/>
  <c r="E71" i="46"/>
  <c r="M71" i="46" s="1"/>
  <c r="E138" i="46"/>
  <c r="M138" i="46" s="1"/>
  <c r="I224" i="46"/>
  <c r="Q224" i="46" s="1"/>
  <c r="I190" i="46"/>
  <c r="Q190" i="46" s="1"/>
  <c r="I172" i="46"/>
  <c r="Q172" i="46" s="1"/>
  <c r="I155" i="46"/>
  <c r="Q155" i="46" s="1"/>
  <c r="I138" i="46"/>
  <c r="Q138" i="46" s="1"/>
  <c r="I70" i="46"/>
  <c r="Q70" i="46" s="1"/>
  <c r="I53" i="46"/>
  <c r="Q53" i="46" s="1"/>
  <c r="I258" i="46"/>
  <c r="Q258" i="46" s="1"/>
  <c r="I104" i="46"/>
  <c r="Q104" i="46" s="1"/>
  <c r="I87" i="46"/>
  <c r="Q87" i="46" s="1"/>
  <c r="I71" i="46"/>
  <c r="Q71" i="46" s="1"/>
  <c r="I105" i="46"/>
  <c r="Q105" i="46" s="1"/>
  <c r="I189" i="46"/>
  <c r="Q189" i="46" s="1"/>
  <c r="I54" i="46"/>
  <c r="Q54" i="46" s="1"/>
  <c r="I122" i="46"/>
  <c r="Q122" i="46" s="1"/>
  <c r="I173" i="46"/>
  <c r="Q173" i="46" s="1"/>
  <c r="I206" i="46"/>
  <c r="Q206" i="46" s="1"/>
  <c r="I156" i="46"/>
  <c r="Q156" i="46" s="1"/>
  <c r="I241" i="46"/>
  <c r="Q241" i="46" s="1"/>
  <c r="I88" i="46"/>
  <c r="Q88" i="46" s="1"/>
  <c r="I257" i="46"/>
  <c r="Q257" i="46" s="1"/>
  <c r="I121" i="46"/>
  <c r="Q121" i="46" s="1"/>
  <c r="I223" i="46"/>
  <c r="Q223" i="46" s="1"/>
  <c r="I240" i="46"/>
  <c r="Q240" i="46" s="1"/>
  <c r="I207" i="46"/>
  <c r="Q207" i="46" s="1"/>
  <c r="I139" i="46"/>
  <c r="Q139" i="46" s="1"/>
  <c r="D278" i="46"/>
  <c r="L278" i="46" s="1"/>
  <c r="D277" i="46"/>
  <c r="L277" i="46" s="1"/>
  <c r="D287" i="46"/>
  <c r="L287" i="46" s="1"/>
  <c r="D291" i="46"/>
  <c r="L291" i="46" s="1"/>
  <c r="D282" i="46"/>
  <c r="L282" i="46" s="1"/>
  <c r="D281" i="46"/>
  <c r="L281" i="46" s="1"/>
  <c r="D286" i="46"/>
  <c r="L286" i="46" s="1"/>
  <c r="D285" i="46"/>
  <c r="L285" i="46" s="1"/>
  <c r="L133" i="46"/>
  <c r="L48" i="46"/>
  <c r="L167" i="46"/>
  <c r="D276" i="46"/>
  <c r="L276" i="46" s="1"/>
  <c r="D290" i="46"/>
  <c r="L290" i="46" s="1"/>
  <c r="D289" i="46"/>
  <c r="L289" i="46" s="1"/>
  <c r="L99" i="46"/>
  <c r="D272" i="46"/>
  <c r="L272" i="46" s="1"/>
  <c r="L150" i="46"/>
  <c r="C19" i="47"/>
  <c r="L82" i="46"/>
  <c r="D280" i="46"/>
  <c r="L280" i="46" s="1"/>
  <c r="D271" i="46"/>
  <c r="L271" i="46" s="1"/>
  <c r="D294" i="46"/>
  <c r="L294" i="46" s="1"/>
  <c r="D293" i="46"/>
  <c r="L293" i="46" s="1"/>
  <c r="L38" i="46"/>
  <c r="L125" i="46"/>
  <c r="D275" i="46"/>
  <c r="L275" i="46" s="1"/>
  <c r="D288" i="46"/>
  <c r="L288" i="46" s="1"/>
  <c r="L65" i="46"/>
  <c r="L252" i="46"/>
  <c r="D284" i="46"/>
  <c r="L284" i="46" s="1"/>
  <c r="L184" i="46"/>
  <c r="L116" i="46"/>
  <c r="L201" i="46"/>
  <c r="D292" i="46"/>
  <c r="L292" i="46" s="1"/>
  <c r="D279" i="46"/>
  <c r="L279" i="46" s="1"/>
  <c r="D270" i="46"/>
  <c r="L270" i="46" s="1"/>
  <c r="L218" i="46"/>
  <c r="L235" i="46"/>
  <c r="D283" i="46"/>
  <c r="L283" i="46" s="1"/>
  <c r="D274" i="46"/>
  <c r="L274" i="46" s="1"/>
  <c r="D273" i="46"/>
  <c r="L273" i="46" s="1"/>
  <c r="L31" i="46"/>
  <c r="F36" i="46"/>
  <c r="N36" i="46" s="1"/>
  <c r="F37" i="46"/>
  <c r="N37" i="46" s="1"/>
  <c r="E36" i="46"/>
  <c r="M36" i="46" s="1"/>
  <c r="E37" i="46"/>
  <c r="M37" i="46" s="1"/>
  <c r="H36" i="46"/>
  <c r="P36" i="46" s="1"/>
  <c r="H37" i="46"/>
  <c r="P37" i="46" s="1"/>
  <c r="I36" i="46"/>
  <c r="Q36" i="46" s="1"/>
  <c r="I37" i="46"/>
  <c r="Q37" i="46" s="1"/>
  <c r="E37" i="42"/>
  <c r="E38" i="42"/>
  <c r="H33" i="42"/>
  <c r="I37" i="42"/>
  <c r="I38" i="42"/>
  <c r="H38" i="42"/>
  <c r="H37" i="42"/>
  <c r="F33" i="42"/>
  <c r="F38" i="42"/>
  <c r="F37" i="42"/>
  <c r="I33" i="42"/>
  <c r="E7" i="47"/>
  <c r="E16" i="47" s="1"/>
  <c r="F32" i="42"/>
  <c r="D7" i="47"/>
  <c r="D16" i="47" s="1"/>
  <c r="G7" i="47"/>
  <c r="G16" i="47" s="1"/>
  <c r="H7" i="47"/>
  <c r="H16" i="47" s="1"/>
  <c r="F7" i="47"/>
  <c r="F16" i="47" s="1"/>
  <c r="H32" i="42"/>
  <c r="H16" i="42"/>
  <c r="I16" i="42"/>
  <c r="I32" i="42"/>
  <c r="F16" i="42"/>
  <c r="G32" i="42"/>
  <c r="E16" i="42"/>
  <c r="G16" i="42"/>
  <c r="D43" i="42"/>
  <c r="C31" i="47" s="1"/>
  <c r="F48" i="46" l="1"/>
  <c r="N48" i="46" s="1"/>
  <c r="E167" i="46"/>
  <c r="M167" i="46" s="1"/>
  <c r="E65" i="46"/>
  <c r="M65" i="46" s="1"/>
  <c r="E82" i="46"/>
  <c r="M82" i="46" s="1"/>
  <c r="E133" i="46"/>
  <c r="M133" i="46" s="1"/>
  <c r="E218" i="46"/>
  <c r="M218" i="46" s="1"/>
  <c r="E184" i="46"/>
  <c r="M184" i="46" s="1"/>
  <c r="E235" i="46"/>
  <c r="M235" i="46" s="1"/>
  <c r="D161" i="46"/>
  <c r="D17" i="46" s="1"/>
  <c r="L263" i="46"/>
  <c r="L23" i="46" s="1"/>
  <c r="L127" i="46"/>
  <c r="L15" i="46" s="1"/>
  <c r="D195" i="46"/>
  <c r="D19" i="46" s="1"/>
  <c r="D127" i="46"/>
  <c r="D15" i="46" s="1"/>
  <c r="L195" i="46"/>
  <c r="L19" i="46" s="1"/>
  <c r="L59" i="46"/>
  <c r="L11" i="46" s="1"/>
  <c r="D144" i="46"/>
  <c r="D16" i="46" s="1"/>
  <c r="L161" i="46"/>
  <c r="L17" i="46" s="1"/>
  <c r="L246" i="46"/>
  <c r="L22" i="46" s="1"/>
  <c r="D229" i="46"/>
  <c r="D21" i="46" s="1"/>
  <c r="L110" i="46"/>
  <c r="L14" i="46" s="1"/>
  <c r="D246" i="46"/>
  <c r="D22" i="46" s="1"/>
  <c r="L212" i="46"/>
  <c r="L20" i="46" s="1"/>
  <c r="D76" i="46"/>
  <c r="D12" i="46" s="1"/>
  <c r="L144" i="46"/>
  <c r="L16" i="46" s="1"/>
  <c r="E252" i="46"/>
  <c r="M252" i="46" s="1"/>
  <c r="E49" i="46"/>
  <c r="M49" i="46" s="1"/>
  <c r="E168" i="46"/>
  <c r="M168" i="46" s="1"/>
  <c r="E202" i="46"/>
  <c r="M202" i="46" s="1"/>
  <c r="E117" i="46"/>
  <c r="M117" i="46" s="1"/>
  <c r="E116" i="46"/>
  <c r="E66" i="46"/>
  <c r="M66" i="46" s="1"/>
  <c r="E219" i="46"/>
  <c r="M219" i="46" s="1"/>
  <c r="E151" i="46"/>
  <c r="M151" i="46" s="1"/>
  <c r="E99" i="46"/>
  <c r="M99" i="46" s="1"/>
  <c r="E100" i="46"/>
  <c r="M100" i="46" s="1"/>
  <c r="E236" i="46"/>
  <c r="M236" i="46" s="1"/>
  <c r="E150" i="46"/>
  <c r="M150" i="46" s="1"/>
  <c r="E83" i="46"/>
  <c r="M83" i="46" s="1"/>
  <c r="E48" i="46"/>
  <c r="M48" i="46" s="1"/>
  <c r="E185" i="46"/>
  <c r="M185" i="46" s="1"/>
  <c r="E134" i="46"/>
  <c r="M134" i="46" s="1"/>
  <c r="E253" i="46"/>
  <c r="M253" i="46" s="1"/>
  <c r="E201" i="46"/>
  <c r="M201" i="46" s="1"/>
  <c r="D212" i="46"/>
  <c r="D20" i="46" s="1"/>
  <c r="D263" i="46"/>
  <c r="D23" i="46" s="1"/>
  <c r="F236" i="46"/>
  <c r="N236" i="46" s="1"/>
  <c r="F168" i="46"/>
  <c r="N168" i="46" s="1"/>
  <c r="F150" i="46"/>
  <c r="N150" i="46" s="1"/>
  <c r="F219" i="46"/>
  <c r="N219" i="46" s="1"/>
  <c r="F83" i="46"/>
  <c r="N83" i="46" s="1"/>
  <c r="F184" i="46"/>
  <c r="N184" i="46" s="1"/>
  <c r="F201" i="46"/>
  <c r="N201" i="46" s="1"/>
  <c r="F218" i="46"/>
  <c r="N218" i="46" s="1"/>
  <c r="F116" i="46"/>
  <c r="F134" i="46"/>
  <c r="N134" i="46" s="1"/>
  <c r="F49" i="46"/>
  <c r="N49" i="46" s="1"/>
  <c r="F185" i="46"/>
  <c r="N185" i="46" s="1"/>
  <c r="F82" i="46"/>
  <c r="N82" i="46" s="1"/>
  <c r="F117" i="46"/>
  <c r="N117" i="46" s="1"/>
  <c r="F167" i="46"/>
  <c r="N167" i="46" s="1"/>
  <c r="F253" i="46"/>
  <c r="N253" i="46" s="1"/>
  <c r="F252" i="46"/>
  <c r="N252" i="46" s="1"/>
  <c r="F235" i="46"/>
  <c r="N235" i="46" s="1"/>
  <c r="F202" i="46"/>
  <c r="N202" i="46" s="1"/>
  <c r="F151" i="46"/>
  <c r="N151" i="46" s="1"/>
  <c r="F133" i="46"/>
  <c r="N133" i="46" s="1"/>
  <c r="F100" i="46"/>
  <c r="N100" i="46" s="1"/>
  <c r="F66" i="46"/>
  <c r="N66" i="46" s="1"/>
  <c r="F99" i="46"/>
  <c r="N99" i="46" s="1"/>
  <c r="F65" i="46"/>
  <c r="N65" i="46" s="1"/>
  <c r="L229" i="46"/>
  <c r="L21" i="46" s="1"/>
  <c r="D295" i="46"/>
  <c r="D24" i="46" s="1"/>
  <c r="L269" i="46"/>
  <c r="L295" i="46" s="1"/>
  <c r="L24" i="46" s="1"/>
  <c r="L76" i="46"/>
  <c r="L12" i="46" s="1"/>
  <c r="D110" i="46"/>
  <c r="D14" i="46" s="1"/>
  <c r="D93" i="46"/>
  <c r="D13" i="46" s="1"/>
  <c r="L178" i="46"/>
  <c r="L18" i="46" s="1"/>
  <c r="G82" i="46"/>
  <c r="O82" i="46" s="1"/>
  <c r="G65" i="46"/>
  <c r="O65" i="46" s="1"/>
  <c r="G48" i="46"/>
  <c r="O48" i="46" s="1"/>
  <c r="G99" i="46"/>
  <c r="O99" i="46" s="1"/>
  <c r="G236" i="46"/>
  <c r="O236" i="46" s="1"/>
  <c r="G253" i="46"/>
  <c r="O253" i="46" s="1"/>
  <c r="G252" i="46"/>
  <c r="O252" i="46" s="1"/>
  <c r="G167" i="46"/>
  <c r="O167" i="46" s="1"/>
  <c r="G100" i="46"/>
  <c r="O100" i="46" s="1"/>
  <c r="G168" i="46"/>
  <c r="O168" i="46" s="1"/>
  <c r="G150" i="46"/>
  <c r="O150" i="46" s="1"/>
  <c r="G116" i="46"/>
  <c r="G201" i="46"/>
  <c r="O201" i="46" s="1"/>
  <c r="G202" i="46"/>
  <c r="O202" i="46" s="1"/>
  <c r="G184" i="46"/>
  <c r="O184" i="46" s="1"/>
  <c r="G218" i="46"/>
  <c r="O218" i="46" s="1"/>
  <c r="G151" i="46"/>
  <c r="O151" i="46" s="1"/>
  <c r="G66" i="46"/>
  <c r="O66" i="46" s="1"/>
  <c r="G117" i="46"/>
  <c r="O117" i="46" s="1"/>
  <c r="G219" i="46"/>
  <c r="O219" i="46" s="1"/>
  <c r="G185" i="46"/>
  <c r="O185" i="46" s="1"/>
  <c r="G134" i="46"/>
  <c r="O134" i="46" s="1"/>
  <c r="G83" i="46"/>
  <c r="O83" i="46" s="1"/>
  <c r="G235" i="46"/>
  <c r="O235" i="46" s="1"/>
  <c r="G133" i="46"/>
  <c r="O133" i="46" s="1"/>
  <c r="G49" i="46"/>
  <c r="O49" i="46" s="1"/>
  <c r="L93" i="46"/>
  <c r="L13" i="46" s="1"/>
  <c r="D178" i="46"/>
  <c r="D18" i="46" s="1"/>
  <c r="I252" i="46"/>
  <c r="Q252" i="46" s="1"/>
  <c r="I150" i="46"/>
  <c r="Q150" i="46" s="1"/>
  <c r="I219" i="46"/>
  <c r="Q219" i="46" s="1"/>
  <c r="I100" i="46"/>
  <c r="Q100" i="46" s="1"/>
  <c r="I49" i="46"/>
  <c r="Q49" i="46" s="1"/>
  <c r="I202" i="46"/>
  <c r="Q202" i="46" s="1"/>
  <c r="I116" i="46"/>
  <c r="I133" i="46"/>
  <c r="Q133" i="46" s="1"/>
  <c r="I117" i="46"/>
  <c r="Q117" i="46" s="1"/>
  <c r="I82" i="46"/>
  <c r="Q82" i="46" s="1"/>
  <c r="I218" i="46"/>
  <c r="Q218" i="46" s="1"/>
  <c r="I201" i="46"/>
  <c r="Q201" i="46" s="1"/>
  <c r="I236" i="46"/>
  <c r="Q236" i="46" s="1"/>
  <c r="I253" i="46"/>
  <c r="Q253" i="46" s="1"/>
  <c r="I184" i="46"/>
  <c r="Q184" i="46" s="1"/>
  <c r="I185" i="46"/>
  <c r="Q185" i="46" s="1"/>
  <c r="I134" i="46"/>
  <c r="Q134" i="46" s="1"/>
  <c r="I99" i="46"/>
  <c r="Q99" i="46" s="1"/>
  <c r="I66" i="46"/>
  <c r="Q66" i="46" s="1"/>
  <c r="I167" i="46"/>
  <c r="Q167" i="46" s="1"/>
  <c r="I48" i="46"/>
  <c r="Q48" i="46" s="1"/>
  <c r="I151" i="46"/>
  <c r="Q151" i="46" s="1"/>
  <c r="I83" i="46"/>
  <c r="Q83" i="46" s="1"/>
  <c r="I235" i="46"/>
  <c r="Q235" i="46" s="1"/>
  <c r="I168" i="46"/>
  <c r="Q168" i="46" s="1"/>
  <c r="I65" i="46"/>
  <c r="Q65" i="46" s="1"/>
  <c r="H49" i="46"/>
  <c r="P49" i="46" s="1"/>
  <c r="H66" i="46"/>
  <c r="P66" i="46" s="1"/>
  <c r="H134" i="46"/>
  <c r="P134" i="46" s="1"/>
  <c r="H100" i="46"/>
  <c r="P100" i="46" s="1"/>
  <c r="H116" i="46"/>
  <c r="H82" i="46"/>
  <c r="P82" i="46" s="1"/>
  <c r="H219" i="46"/>
  <c r="P219" i="46" s="1"/>
  <c r="H235" i="46"/>
  <c r="P235" i="46" s="1"/>
  <c r="H168" i="46"/>
  <c r="P168" i="46" s="1"/>
  <c r="H83" i="46"/>
  <c r="P83" i="46" s="1"/>
  <c r="H99" i="46"/>
  <c r="P99" i="46" s="1"/>
  <c r="H184" i="46"/>
  <c r="P184" i="46" s="1"/>
  <c r="H151" i="46"/>
  <c r="P151" i="46" s="1"/>
  <c r="H218" i="46"/>
  <c r="P218" i="46" s="1"/>
  <c r="H133" i="46"/>
  <c r="P133" i="46" s="1"/>
  <c r="H253" i="46"/>
  <c r="P253" i="46" s="1"/>
  <c r="H202" i="46"/>
  <c r="P202" i="46" s="1"/>
  <c r="H252" i="46"/>
  <c r="P252" i="46" s="1"/>
  <c r="H236" i="46"/>
  <c r="P236" i="46" s="1"/>
  <c r="H167" i="46"/>
  <c r="P167" i="46" s="1"/>
  <c r="H150" i="46"/>
  <c r="P150" i="46" s="1"/>
  <c r="H201" i="46"/>
  <c r="P201" i="46" s="1"/>
  <c r="H185" i="46"/>
  <c r="P185" i="46" s="1"/>
  <c r="H48" i="46"/>
  <c r="P48" i="46" s="1"/>
  <c r="H117" i="46"/>
  <c r="P117" i="46" s="1"/>
  <c r="H65" i="46"/>
  <c r="P65" i="46" s="1"/>
  <c r="D42" i="46"/>
  <c r="D10" i="46" s="1"/>
  <c r="D59" i="46"/>
  <c r="D11" i="46" s="1"/>
  <c r="L42" i="46"/>
  <c r="L10" i="46" s="1"/>
  <c r="F17" i="47"/>
  <c r="G32" i="46"/>
  <c r="O32" i="46" s="1"/>
  <c r="G31" i="46"/>
  <c r="O31" i="46" s="1"/>
  <c r="H17" i="47"/>
  <c r="I32" i="46"/>
  <c r="Q32" i="46" s="1"/>
  <c r="I31" i="46"/>
  <c r="Q31" i="46" s="1"/>
  <c r="E17" i="47"/>
  <c r="F31" i="46"/>
  <c r="N31" i="46" s="1"/>
  <c r="F32" i="46"/>
  <c r="N32" i="46" s="1"/>
  <c r="E31" i="46"/>
  <c r="M31" i="46" s="1"/>
  <c r="E32" i="46"/>
  <c r="M32" i="46" s="1"/>
  <c r="G17" i="47"/>
  <c r="H31" i="46"/>
  <c r="P31" i="46" s="1"/>
  <c r="H32" i="46"/>
  <c r="P32" i="46" s="1"/>
  <c r="D17" i="47"/>
  <c r="E43" i="42"/>
  <c r="E45" i="42" s="1"/>
  <c r="H43" i="42"/>
  <c r="H45" i="42" s="1"/>
  <c r="I43" i="42"/>
  <c r="I45" i="42" s="1"/>
  <c r="F43" i="42"/>
  <c r="F45" i="42" s="1"/>
  <c r="G43" i="42"/>
  <c r="G45" i="42" s="1"/>
  <c r="E19" i="47" l="1"/>
  <c r="H285" i="46"/>
  <c r="P285" i="46" s="1"/>
  <c r="F19" i="47"/>
  <c r="G19" i="47"/>
  <c r="H288" i="46"/>
  <c r="P288" i="46" s="1"/>
  <c r="H275" i="46"/>
  <c r="P275" i="46" s="1"/>
  <c r="G286" i="46"/>
  <c r="O286" i="46" s="1"/>
  <c r="H293" i="46"/>
  <c r="P293" i="46" s="1"/>
  <c r="H292" i="46"/>
  <c r="P292" i="46" s="1"/>
  <c r="H283" i="46"/>
  <c r="P283" i="46" s="1"/>
  <c r="F276" i="46"/>
  <c r="N276" i="46" s="1"/>
  <c r="E281" i="46"/>
  <c r="M281" i="46" s="1"/>
  <c r="E278" i="46"/>
  <c r="M278" i="46" s="1"/>
  <c r="H287" i="46"/>
  <c r="P287" i="46" s="1"/>
  <c r="I284" i="46"/>
  <c r="Q284" i="46" s="1"/>
  <c r="F280" i="46"/>
  <c r="N280" i="46" s="1"/>
  <c r="E282" i="46"/>
  <c r="M282" i="46" s="1"/>
  <c r="H278" i="46"/>
  <c r="P278" i="46" s="1"/>
  <c r="H291" i="46"/>
  <c r="P291" i="46" s="1"/>
  <c r="G292" i="46"/>
  <c r="O292" i="46" s="1"/>
  <c r="H270" i="46"/>
  <c r="P270" i="46" s="1"/>
  <c r="H282" i="46"/>
  <c r="P282" i="46" s="1"/>
  <c r="G273" i="46"/>
  <c r="O273" i="46" s="1"/>
  <c r="L25" i="56"/>
  <c r="F289" i="46"/>
  <c r="N289" i="46" s="1"/>
  <c r="E277" i="46"/>
  <c r="M277" i="46" s="1"/>
  <c r="H269" i="46"/>
  <c r="P269" i="46" s="1"/>
  <c r="H272" i="46"/>
  <c r="P272" i="46" s="1"/>
  <c r="G277" i="46"/>
  <c r="O277" i="46" s="1"/>
  <c r="E291" i="46"/>
  <c r="M291" i="46" s="1"/>
  <c r="E289" i="46"/>
  <c r="M289" i="46" s="1"/>
  <c r="H286" i="46"/>
  <c r="P286" i="46" s="1"/>
  <c r="H277" i="46"/>
  <c r="P277" i="46" s="1"/>
  <c r="H276" i="46"/>
  <c r="P276" i="46" s="1"/>
  <c r="G282" i="46"/>
  <c r="O282" i="46" s="1"/>
  <c r="F290" i="46"/>
  <c r="N290" i="46" s="1"/>
  <c r="H294" i="46"/>
  <c r="P294" i="46" s="1"/>
  <c r="H281" i="46"/>
  <c r="P281" i="46" s="1"/>
  <c r="H284" i="46"/>
  <c r="P284" i="46" s="1"/>
  <c r="H271" i="46"/>
  <c r="P271" i="46" s="1"/>
  <c r="I286" i="46"/>
  <c r="Q286" i="46" s="1"/>
  <c r="G274" i="46"/>
  <c r="O274" i="46" s="1"/>
  <c r="F294" i="46"/>
  <c r="N294" i="46" s="1"/>
  <c r="M116" i="46"/>
  <c r="I273" i="46"/>
  <c r="Q273" i="46" s="1"/>
  <c r="L25" i="46"/>
  <c r="H289" i="46"/>
  <c r="P289" i="46" s="1"/>
  <c r="H280" i="46"/>
  <c r="P280" i="46" s="1"/>
  <c r="H274" i="46"/>
  <c r="P274" i="46" s="1"/>
  <c r="I294" i="46"/>
  <c r="Q294" i="46" s="1"/>
  <c r="I277" i="46"/>
  <c r="Q277" i="46" s="1"/>
  <c r="I292" i="46"/>
  <c r="Q292" i="46" s="1"/>
  <c r="G281" i="46"/>
  <c r="O281" i="46" s="1"/>
  <c r="G271" i="46"/>
  <c r="O271" i="46" s="1"/>
  <c r="G272" i="46"/>
  <c r="O272" i="46" s="1"/>
  <c r="F284" i="46"/>
  <c r="N284" i="46" s="1"/>
  <c r="F271" i="46"/>
  <c r="N271" i="46" s="1"/>
  <c r="F273" i="46"/>
  <c r="N273" i="46" s="1"/>
  <c r="F269" i="46"/>
  <c r="E272" i="46"/>
  <c r="M272" i="46" s="1"/>
  <c r="E293" i="46"/>
  <c r="M293" i="46" s="1"/>
  <c r="E286" i="46"/>
  <c r="M286" i="46" s="1"/>
  <c r="E279" i="46"/>
  <c r="M279" i="46" s="1"/>
  <c r="Q116" i="46"/>
  <c r="Q125" i="46"/>
  <c r="I275" i="46"/>
  <c r="Q275" i="46" s="1"/>
  <c r="O116" i="46"/>
  <c r="I281" i="46"/>
  <c r="Q281" i="46" s="1"/>
  <c r="I269" i="46"/>
  <c r="G285" i="46"/>
  <c r="O285" i="46" s="1"/>
  <c r="G275" i="46"/>
  <c r="O275" i="46" s="1"/>
  <c r="G276" i="46"/>
  <c r="O276" i="46" s="1"/>
  <c r="F288" i="46"/>
  <c r="N288" i="46" s="1"/>
  <c r="F275" i="46"/>
  <c r="N275" i="46" s="1"/>
  <c r="F293" i="46"/>
  <c r="N293" i="46" s="1"/>
  <c r="F270" i="46"/>
  <c r="N270" i="46" s="1"/>
  <c r="E276" i="46"/>
  <c r="M276" i="46" s="1"/>
  <c r="E290" i="46"/>
  <c r="M290" i="46" s="1"/>
  <c r="E283" i="46"/>
  <c r="M283" i="46" s="1"/>
  <c r="P116" i="46"/>
  <c r="I270" i="46"/>
  <c r="Q270" i="46" s="1"/>
  <c r="I285" i="46"/>
  <c r="Q285" i="46" s="1"/>
  <c r="G294" i="46"/>
  <c r="O294" i="46" s="1"/>
  <c r="G289" i="46"/>
  <c r="O289" i="46" s="1"/>
  <c r="G278" i="46"/>
  <c r="O278" i="46" s="1"/>
  <c r="G279" i="46"/>
  <c r="O279" i="46" s="1"/>
  <c r="G288" i="46"/>
  <c r="O288" i="46" s="1"/>
  <c r="N116" i="46"/>
  <c r="F281" i="46"/>
  <c r="N281" i="46" s="1"/>
  <c r="F292" i="46"/>
  <c r="N292" i="46" s="1"/>
  <c r="F279" i="46"/>
  <c r="N279" i="46" s="1"/>
  <c r="F274" i="46"/>
  <c r="N274" i="46" s="1"/>
  <c r="E280" i="46"/>
  <c r="M280" i="46" s="1"/>
  <c r="E271" i="46"/>
  <c r="M271" i="46" s="1"/>
  <c r="E294" i="46"/>
  <c r="M294" i="46" s="1"/>
  <c r="I288" i="46"/>
  <c r="Q288" i="46" s="1"/>
  <c r="O125" i="46"/>
  <c r="I274" i="46"/>
  <c r="Q274" i="46" s="1"/>
  <c r="I279" i="46"/>
  <c r="Q279" i="46" s="1"/>
  <c r="I271" i="46"/>
  <c r="Q271" i="46" s="1"/>
  <c r="I272" i="46"/>
  <c r="Q272" i="46" s="1"/>
  <c r="I289" i="46"/>
  <c r="Q289" i="46" s="1"/>
  <c r="G293" i="46"/>
  <c r="O293" i="46" s="1"/>
  <c r="G284" i="46"/>
  <c r="O284" i="46" s="1"/>
  <c r="G283" i="46"/>
  <c r="O283" i="46" s="1"/>
  <c r="F283" i="46"/>
  <c r="N283" i="46" s="1"/>
  <c r="F278" i="46"/>
  <c r="N278" i="46" s="1"/>
  <c r="E284" i="46"/>
  <c r="M284" i="46" s="1"/>
  <c r="E285" i="46"/>
  <c r="M285" i="46" s="1"/>
  <c r="E275" i="46"/>
  <c r="M275" i="46" s="1"/>
  <c r="I290" i="46"/>
  <c r="Q290" i="46" s="1"/>
  <c r="N125" i="46"/>
  <c r="M125" i="46"/>
  <c r="P38" i="46"/>
  <c r="P125" i="46"/>
  <c r="H290" i="46"/>
  <c r="P290" i="46" s="1"/>
  <c r="H273" i="46"/>
  <c r="P273" i="46" s="1"/>
  <c r="H279" i="46"/>
  <c r="P279" i="46" s="1"/>
  <c r="I278" i="46"/>
  <c r="Q278" i="46" s="1"/>
  <c r="I283" i="46"/>
  <c r="Q283" i="46" s="1"/>
  <c r="I291" i="46"/>
  <c r="Q291" i="46" s="1"/>
  <c r="I276" i="46"/>
  <c r="Q276" i="46" s="1"/>
  <c r="I293" i="46"/>
  <c r="Q293" i="46" s="1"/>
  <c r="G290" i="46"/>
  <c r="O290" i="46" s="1"/>
  <c r="G287" i="46"/>
  <c r="O287" i="46" s="1"/>
  <c r="F285" i="46"/>
  <c r="N285" i="46" s="1"/>
  <c r="F287" i="46"/>
  <c r="N287" i="46" s="1"/>
  <c r="F282" i="46"/>
  <c r="N282" i="46" s="1"/>
  <c r="E288" i="46"/>
  <c r="M288" i="46" s="1"/>
  <c r="E270" i="46"/>
  <c r="M270" i="46" s="1"/>
  <c r="E269" i="46"/>
  <c r="I282" i="46"/>
  <c r="Q282" i="46" s="1"/>
  <c r="I287" i="46"/>
  <c r="Q287" i="46" s="1"/>
  <c r="I280" i="46"/>
  <c r="Q280" i="46" s="1"/>
  <c r="G269" i="46"/>
  <c r="G270" i="46"/>
  <c r="O270" i="46" s="1"/>
  <c r="G280" i="46"/>
  <c r="O280" i="46" s="1"/>
  <c r="G291" i="46"/>
  <c r="O291" i="46" s="1"/>
  <c r="F272" i="46"/>
  <c r="N272" i="46" s="1"/>
  <c r="F277" i="46"/>
  <c r="N277" i="46" s="1"/>
  <c r="F291" i="46"/>
  <c r="N291" i="46" s="1"/>
  <c r="F286" i="46"/>
  <c r="N286" i="46" s="1"/>
  <c r="E292" i="46"/>
  <c r="M292" i="46" s="1"/>
  <c r="E287" i="46"/>
  <c r="M287" i="46" s="1"/>
  <c r="E274" i="46"/>
  <c r="M274" i="46" s="1"/>
  <c r="E273" i="46"/>
  <c r="M273" i="46" s="1"/>
  <c r="H19" i="47"/>
  <c r="D19" i="47"/>
  <c r="M38" i="46"/>
  <c r="I46" i="42"/>
  <c r="H46" i="42"/>
  <c r="G46" i="42"/>
  <c r="F46" i="42"/>
  <c r="G60" i="47"/>
  <c r="H60" i="47"/>
  <c r="F60" i="47"/>
  <c r="H31" i="47"/>
  <c r="F31" i="47"/>
  <c r="E31" i="47"/>
  <c r="G31" i="47"/>
  <c r="E46" i="42"/>
  <c r="D31" i="47"/>
  <c r="F42" i="46" l="1"/>
  <c r="F10" i="46" s="1"/>
  <c r="N38" i="46"/>
  <c r="I42" i="46"/>
  <c r="I10" i="46" s="1"/>
  <c r="Q38" i="46"/>
  <c r="Q42" i="46" s="1"/>
  <c r="Q10" i="46" s="1"/>
  <c r="G42" i="46"/>
  <c r="G10" i="46" s="1"/>
  <c r="O38" i="46"/>
  <c r="O42" i="46" s="1"/>
  <c r="O10" i="46" s="1"/>
  <c r="Q161" i="46"/>
  <c r="Q162" i="46" s="1"/>
  <c r="I161" i="46"/>
  <c r="I162" i="46" s="1"/>
  <c r="H67" i="47" s="1"/>
  <c r="N246" i="46"/>
  <c r="O161" i="46"/>
  <c r="G246" i="46"/>
  <c r="F212" i="46"/>
  <c r="G195" i="46"/>
  <c r="G196" i="46" s="1"/>
  <c r="F71" i="47" s="1"/>
  <c r="H229" i="46"/>
  <c r="C40" i="47"/>
  <c r="C46" i="47" s="1"/>
  <c r="M93" i="46"/>
  <c r="M13" i="46" s="1"/>
  <c r="P93" i="46"/>
  <c r="P94" i="46" s="1"/>
  <c r="O110" i="46"/>
  <c r="O111" i="46" s="1"/>
  <c r="Q246" i="46"/>
  <c r="Q22" i="46" s="1"/>
  <c r="G110" i="46"/>
  <c r="G111" i="46" s="1"/>
  <c r="I246" i="46"/>
  <c r="I247" i="46" s="1"/>
  <c r="H76" i="47" s="1"/>
  <c r="N144" i="46"/>
  <c r="N16" i="46" s="1"/>
  <c r="I212" i="46"/>
  <c r="I213" i="46" s="1"/>
  <c r="H72" i="47" s="1"/>
  <c r="Q212" i="46"/>
  <c r="Q213" i="46" s="1"/>
  <c r="M110" i="46"/>
  <c r="M14" i="46" s="1"/>
  <c r="E93" i="46"/>
  <c r="E13" i="46" s="1"/>
  <c r="N229" i="46"/>
  <c r="N230" i="46" s="1"/>
  <c r="F229" i="46"/>
  <c r="F230" i="46" s="1"/>
  <c r="E73" i="47" s="1"/>
  <c r="I110" i="46"/>
  <c r="I111" i="46" s="1"/>
  <c r="N127" i="46"/>
  <c r="N128" i="46" s="1"/>
  <c r="P42" i="46"/>
  <c r="P10" i="46" s="1"/>
  <c r="Q110" i="46"/>
  <c r="Q14" i="46" s="1"/>
  <c r="Q229" i="46"/>
  <c r="Q21" i="46" s="1"/>
  <c r="G59" i="46"/>
  <c r="G11" i="46" s="1"/>
  <c r="O59" i="46"/>
  <c r="O11" i="46" s="1"/>
  <c r="M263" i="46"/>
  <c r="M264" i="46" s="1"/>
  <c r="F127" i="46"/>
  <c r="F128" i="46" s="1"/>
  <c r="E61" i="47" s="1"/>
  <c r="M229" i="46"/>
  <c r="M21" i="46" s="1"/>
  <c r="P59" i="46"/>
  <c r="P60" i="46" s="1"/>
  <c r="P178" i="46"/>
  <c r="P179" i="46" s="1"/>
  <c r="N212" i="46"/>
  <c r="N20" i="46" s="1"/>
  <c r="I229" i="46"/>
  <c r="I21" i="46" s="1"/>
  <c r="O93" i="46"/>
  <c r="O13" i="46" s="1"/>
  <c r="H178" i="46"/>
  <c r="H18" i="46" s="1"/>
  <c r="M127" i="46"/>
  <c r="M15" i="46" s="1"/>
  <c r="I144" i="46"/>
  <c r="I145" i="46" s="1"/>
  <c r="H64" i="47" s="1"/>
  <c r="O229" i="46"/>
  <c r="O21" i="46" s="1"/>
  <c r="O127" i="46"/>
  <c r="O128" i="46" s="1"/>
  <c r="Q195" i="46"/>
  <c r="Q19" i="46" s="1"/>
  <c r="H263" i="46"/>
  <c r="H264" i="46" s="1"/>
  <c r="G77" i="47" s="1"/>
  <c r="N263" i="46"/>
  <c r="N23" i="46" s="1"/>
  <c r="Q144" i="46"/>
  <c r="Q145" i="46" s="1"/>
  <c r="G229" i="46"/>
  <c r="G21" i="46" s="1"/>
  <c r="P144" i="46"/>
  <c r="P16" i="46" s="1"/>
  <c r="P263" i="46"/>
  <c r="P23" i="46" s="1"/>
  <c r="I93" i="46"/>
  <c r="I94" i="46" s="1"/>
  <c r="H59" i="47" s="1"/>
  <c r="E178" i="46"/>
  <c r="E18" i="46" s="1"/>
  <c r="F263" i="46"/>
  <c r="F23" i="46" s="1"/>
  <c r="H161" i="46"/>
  <c r="H17" i="46" s="1"/>
  <c r="Q76" i="46"/>
  <c r="Q12" i="46" s="1"/>
  <c r="Q93" i="46"/>
  <c r="Q13" i="46" s="1"/>
  <c r="P161" i="46"/>
  <c r="P162" i="46" s="1"/>
  <c r="I76" i="46"/>
  <c r="I12" i="46" s="1"/>
  <c r="F295" i="46"/>
  <c r="N269" i="46"/>
  <c r="N295" i="46" s="1"/>
  <c r="M178" i="46"/>
  <c r="I295" i="46"/>
  <c r="Q269" i="46"/>
  <c r="Q295" i="46" s="1"/>
  <c r="H212" i="46"/>
  <c r="G144" i="46"/>
  <c r="P295" i="46"/>
  <c r="H93" i="46"/>
  <c r="F76" i="46"/>
  <c r="H76" i="46"/>
  <c r="P229" i="46"/>
  <c r="G127" i="46"/>
  <c r="I195" i="46"/>
  <c r="E229" i="46"/>
  <c r="G93" i="46"/>
  <c r="P212" i="46"/>
  <c r="G212" i="46"/>
  <c r="E295" i="46"/>
  <c r="M269" i="46"/>
  <c r="M295" i="46" s="1"/>
  <c r="N59" i="46"/>
  <c r="O144" i="46"/>
  <c r="H295" i="46"/>
  <c r="E144" i="46"/>
  <c r="E76" i="46"/>
  <c r="N76" i="46"/>
  <c r="P76" i="46"/>
  <c r="E110" i="46"/>
  <c r="F93" i="46"/>
  <c r="N161" i="46"/>
  <c r="O178" i="46"/>
  <c r="G76" i="46"/>
  <c r="O212" i="46"/>
  <c r="H42" i="46"/>
  <c r="H10" i="46" s="1"/>
  <c r="E161" i="46"/>
  <c r="F59" i="46"/>
  <c r="F246" i="46"/>
  <c r="P110" i="46"/>
  <c r="F178" i="46"/>
  <c r="M144" i="46"/>
  <c r="M76" i="46"/>
  <c r="I178" i="46"/>
  <c r="H127" i="46"/>
  <c r="H195" i="46"/>
  <c r="N93" i="46"/>
  <c r="P246" i="46"/>
  <c r="F161" i="46"/>
  <c r="F144" i="46"/>
  <c r="G178" i="46"/>
  <c r="O76" i="46"/>
  <c r="M246" i="46"/>
  <c r="O246" i="46"/>
  <c r="M161" i="46"/>
  <c r="M162" i="46" s="1"/>
  <c r="I263" i="46"/>
  <c r="E195" i="46"/>
  <c r="N110" i="46"/>
  <c r="H110" i="46"/>
  <c r="N178" i="46"/>
  <c r="F195" i="46"/>
  <c r="E212" i="46"/>
  <c r="O263" i="46"/>
  <c r="Q178" i="46"/>
  <c r="P127" i="46"/>
  <c r="P195" i="46"/>
  <c r="M59" i="46"/>
  <c r="Q59" i="46"/>
  <c r="H246" i="46"/>
  <c r="I127" i="46"/>
  <c r="E246" i="46"/>
  <c r="O195" i="46"/>
  <c r="G295" i="46"/>
  <c r="O269" i="46"/>
  <c r="O295" i="46" s="1"/>
  <c r="Q263" i="46"/>
  <c r="H59" i="46"/>
  <c r="M195" i="46"/>
  <c r="F110" i="46"/>
  <c r="N195" i="46"/>
  <c r="M212" i="46"/>
  <c r="G263" i="46"/>
  <c r="H144" i="46"/>
  <c r="E59" i="46"/>
  <c r="I59" i="46"/>
  <c r="Q127" i="46"/>
  <c r="G161" i="46"/>
  <c r="E263" i="46"/>
  <c r="E127" i="46"/>
  <c r="E42" i="46"/>
  <c r="E10" i="46" s="1"/>
  <c r="M42" i="46"/>
  <c r="F33" i="47"/>
  <c r="F32" i="47"/>
  <c r="D32" i="47"/>
  <c r="D33" i="47"/>
  <c r="G32" i="47"/>
  <c r="G33" i="47"/>
  <c r="H32" i="47"/>
  <c r="H33" i="47"/>
  <c r="E33" i="47"/>
  <c r="E32" i="47"/>
  <c r="I17" i="46" l="1"/>
  <c r="Q17" i="46"/>
  <c r="M94" i="46"/>
  <c r="I22" i="46"/>
  <c r="N145" i="46"/>
  <c r="O14" i="46"/>
  <c r="Q20" i="46"/>
  <c r="F15" i="46"/>
  <c r="I13" i="46"/>
  <c r="P43" i="46"/>
  <c r="P13" i="46"/>
  <c r="G14" i="46"/>
  <c r="P145" i="46"/>
  <c r="M230" i="46"/>
  <c r="I14" i="46"/>
  <c r="E94" i="46"/>
  <c r="D59" i="47" s="1"/>
  <c r="O60" i="46"/>
  <c r="I16" i="46"/>
  <c r="M128" i="46"/>
  <c r="Q247" i="46"/>
  <c r="F21" i="46"/>
  <c r="H23" i="46"/>
  <c r="G19" i="46"/>
  <c r="M23" i="46"/>
  <c r="Q16" i="46"/>
  <c r="N21" i="46"/>
  <c r="P17" i="46"/>
  <c r="M111" i="46"/>
  <c r="Q77" i="46"/>
  <c r="I20" i="46"/>
  <c r="H179" i="46"/>
  <c r="G70" i="47" s="1"/>
  <c r="Q94" i="46"/>
  <c r="Q111" i="46"/>
  <c r="P11" i="46"/>
  <c r="Q196" i="46"/>
  <c r="I230" i="46"/>
  <c r="H73" i="47" s="1"/>
  <c r="P264" i="46"/>
  <c r="Q230" i="46"/>
  <c r="G60" i="46"/>
  <c r="F55" i="47" s="1"/>
  <c r="F264" i="46"/>
  <c r="E77" i="47" s="1"/>
  <c r="E179" i="46"/>
  <c r="D70" i="47" s="1"/>
  <c r="N264" i="46"/>
  <c r="N15" i="46"/>
  <c r="O94" i="46"/>
  <c r="N213" i="46"/>
  <c r="O15" i="46"/>
  <c r="I77" i="46"/>
  <c r="H56" i="47" s="1"/>
  <c r="P18" i="46"/>
  <c r="O230" i="46"/>
  <c r="H162" i="46"/>
  <c r="G67" i="47" s="1"/>
  <c r="G230" i="46"/>
  <c r="F73" i="47" s="1"/>
  <c r="E15" i="46"/>
  <c r="E128" i="46"/>
  <c r="D61" i="47" s="1"/>
  <c r="I11" i="46"/>
  <c r="I60" i="46"/>
  <c r="H55" i="47" s="1"/>
  <c r="G264" i="46"/>
  <c r="F77" i="47" s="1"/>
  <c r="G23" i="46"/>
  <c r="O296" i="46"/>
  <c r="O24" i="46"/>
  <c r="P128" i="46"/>
  <c r="P15" i="46"/>
  <c r="O16" i="46"/>
  <c r="O145" i="46"/>
  <c r="Q23" i="46"/>
  <c r="Q264" i="46"/>
  <c r="N18" i="46"/>
  <c r="N179" i="46"/>
  <c r="P12" i="46"/>
  <c r="P77" i="46"/>
  <c r="F12" i="46"/>
  <c r="F77" i="46"/>
  <c r="E56" i="47" s="1"/>
  <c r="E22" i="46"/>
  <c r="E247" i="46"/>
  <c r="D76" i="47" s="1"/>
  <c r="H247" i="46"/>
  <c r="G76" i="47" s="1"/>
  <c r="H22" i="46"/>
  <c r="H14" i="46"/>
  <c r="H111" i="46"/>
  <c r="M296" i="46"/>
  <c r="M24" i="46"/>
  <c r="I19" i="46"/>
  <c r="I196" i="46"/>
  <c r="H71" i="47" s="1"/>
  <c r="E264" i="46"/>
  <c r="D77" i="47" s="1"/>
  <c r="E23" i="46"/>
  <c r="E11" i="46"/>
  <c r="E60" i="46"/>
  <c r="D55" i="47" s="1"/>
  <c r="G296" i="46"/>
  <c r="F80" i="47" s="1"/>
  <c r="G24" i="46"/>
  <c r="Q18" i="46"/>
  <c r="Q179" i="46"/>
  <c r="G18" i="46"/>
  <c r="G179" i="46"/>
  <c r="F70" i="47" s="1"/>
  <c r="N17" i="46"/>
  <c r="N162" i="46"/>
  <c r="N11" i="46"/>
  <c r="N60" i="46"/>
  <c r="E296" i="46"/>
  <c r="D80" i="47" s="1"/>
  <c r="E24" i="46"/>
  <c r="G15" i="46"/>
  <c r="G128" i="46"/>
  <c r="F61" i="47" s="1"/>
  <c r="I128" i="46"/>
  <c r="H61" i="47" s="1"/>
  <c r="I15" i="46"/>
  <c r="E21" i="46"/>
  <c r="E230" i="46"/>
  <c r="D73" i="47" s="1"/>
  <c r="I296" i="46"/>
  <c r="H80" i="47" s="1"/>
  <c r="I24" i="46"/>
  <c r="G17" i="46"/>
  <c r="G162" i="46"/>
  <c r="F67" i="47" s="1"/>
  <c r="M20" i="46"/>
  <c r="M213" i="46"/>
  <c r="F14" i="46"/>
  <c r="F111" i="46"/>
  <c r="O23" i="46"/>
  <c r="O264" i="46"/>
  <c r="I23" i="46"/>
  <c r="I264" i="46"/>
  <c r="H77" i="47" s="1"/>
  <c r="F145" i="46"/>
  <c r="E64" i="47" s="1"/>
  <c r="F16" i="46"/>
  <c r="N13" i="46"/>
  <c r="N94" i="46"/>
  <c r="M16" i="46"/>
  <c r="M145" i="46"/>
  <c r="F60" i="46"/>
  <c r="E55" i="47" s="1"/>
  <c r="F11" i="46"/>
  <c r="N12" i="46"/>
  <c r="N77" i="46"/>
  <c r="N22" i="46"/>
  <c r="N247" i="46"/>
  <c r="G20" i="46"/>
  <c r="G213" i="46"/>
  <c r="F72" i="47" s="1"/>
  <c r="F20" i="46"/>
  <c r="F213" i="46"/>
  <c r="E72" i="47" s="1"/>
  <c r="H21" i="46"/>
  <c r="H230" i="46"/>
  <c r="G73" i="47" s="1"/>
  <c r="N296" i="46"/>
  <c r="N24" i="46"/>
  <c r="H16" i="46"/>
  <c r="H145" i="46"/>
  <c r="G64" i="47" s="1"/>
  <c r="M19" i="46"/>
  <c r="M196" i="46"/>
  <c r="Q11" i="46"/>
  <c r="Q60" i="46"/>
  <c r="M17" i="46"/>
  <c r="F17" i="46"/>
  <c r="F162" i="46"/>
  <c r="E67" i="47" s="1"/>
  <c r="H196" i="46"/>
  <c r="G71" i="47" s="1"/>
  <c r="H19" i="46"/>
  <c r="F18" i="46"/>
  <c r="F179" i="46"/>
  <c r="E70" i="47" s="1"/>
  <c r="O20" i="46"/>
  <c r="O213" i="46"/>
  <c r="E77" i="46"/>
  <c r="D56" i="47" s="1"/>
  <c r="E12" i="46"/>
  <c r="P20" i="46"/>
  <c r="P213" i="46"/>
  <c r="P21" i="46"/>
  <c r="P230" i="46"/>
  <c r="M18" i="46"/>
  <c r="M179" i="46"/>
  <c r="F296" i="46"/>
  <c r="E80" i="47" s="1"/>
  <c r="F24" i="46"/>
  <c r="M12" i="46"/>
  <c r="M77" i="46"/>
  <c r="M22" i="46"/>
  <c r="M247" i="46"/>
  <c r="P14" i="46"/>
  <c r="P111" i="46"/>
  <c r="H13" i="46"/>
  <c r="H94" i="46"/>
  <c r="G59" i="47" s="1"/>
  <c r="P19" i="46"/>
  <c r="P196" i="46"/>
  <c r="E196" i="46"/>
  <c r="D71" i="47" s="1"/>
  <c r="E19" i="46"/>
  <c r="N19" i="46"/>
  <c r="N196" i="46"/>
  <c r="E20" i="46"/>
  <c r="E213" i="46"/>
  <c r="D72" i="47" s="1"/>
  <c r="P22" i="46"/>
  <c r="P247" i="46"/>
  <c r="H77" i="46"/>
  <c r="G56" i="47" s="1"/>
  <c r="H12" i="46"/>
  <c r="I179" i="46"/>
  <c r="H70" i="47" s="1"/>
  <c r="I18" i="46"/>
  <c r="F247" i="46"/>
  <c r="E76" i="47" s="1"/>
  <c r="F22" i="46"/>
  <c r="F13" i="46"/>
  <c r="F94" i="46"/>
  <c r="E59" i="47" s="1"/>
  <c r="G94" i="46"/>
  <c r="F59" i="47" s="1"/>
  <c r="G13" i="46"/>
  <c r="P296" i="46"/>
  <c r="P24" i="46"/>
  <c r="H20" i="46"/>
  <c r="H213" i="46"/>
  <c r="G72" i="47" s="1"/>
  <c r="H296" i="46"/>
  <c r="G80" i="47" s="1"/>
  <c r="H24" i="46"/>
  <c r="H15" i="46"/>
  <c r="H128" i="46"/>
  <c r="G61" i="47" s="1"/>
  <c r="E17" i="46"/>
  <c r="E162" i="46"/>
  <c r="D67" i="47" s="1"/>
  <c r="G12" i="46"/>
  <c r="G77" i="46"/>
  <c r="F56" i="47" s="1"/>
  <c r="Q128" i="46"/>
  <c r="Q15" i="46"/>
  <c r="O17" i="46"/>
  <c r="O162" i="46"/>
  <c r="N14" i="46"/>
  <c r="N111" i="46"/>
  <c r="H11" i="46"/>
  <c r="H60" i="46"/>
  <c r="G55" i="47" s="1"/>
  <c r="O19" i="46"/>
  <c r="O196" i="46"/>
  <c r="M11" i="46"/>
  <c r="M60" i="46"/>
  <c r="F19" i="46"/>
  <c r="F196" i="46"/>
  <c r="E71" i="47" s="1"/>
  <c r="O22" i="46"/>
  <c r="O247" i="46"/>
  <c r="O12" i="46"/>
  <c r="O77" i="46"/>
  <c r="G22" i="46"/>
  <c r="G247" i="46"/>
  <c r="F76" i="47" s="1"/>
  <c r="O18" i="46"/>
  <c r="O179" i="46"/>
  <c r="E111" i="46"/>
  <c r="D60" i="47" s="1"/>
  <c r="E14" i="46"/>
  <c r="E16" i="46"/>
  <c r="E145" i="46"/>
  <c r="D64" i="47" s="1"/>
  <c r="G145" i="46"/>
  <c r="F64" i="47" s="1"/>
  <c r="G16" i="46"/>
  <c r="Q296" i="46"/>
  <c r="Q24" i="46"/>
  <c r="M10" i="46"/>
  <c r="M43" i="46"/>
  <c r="Q43" i="46"/>
  <c r="O43" i="46"/>
  <c r="N42" i="46"/>
  <c r="N10" i="46" s="1"/>
  <c r="Q25" i="56" l="1"/>
  <c r="P25" i="56"/>
  <c r="Q25" i="46"/>
  <c r="O25" i="56"/>
  <c r="N25" i="46"/>
  <c r="N25" i="56"/>
  <c r="E40" i="47" s="1"/>
  <c r="E46" i="47" s="1"/>
  <c r="E47" i="47" s="1"/>
  <c r="M25" i="46"/>
  <c r="P25" i="46"/>
  <c r="O25" i="46"/>
  <c r="M25" i="56"/>
  <c r="N43" i="46"/>
  <c r="H40" i="47" l="1"/>
  <c r="H46" i="47" s="1"/>
  <c r="H47" i="47" s="1"/>
  <c r="F40" i="47"/>
  <c r="F46" i="47" s="1"/>
  <c r="F47" i="47" s="1"/>
  <c r="D40" i="47"/>
  <c r="D46" i="47" s="1"/>
  <c r="D48" i="47" s="1"/>
  <c r="G40" i="47"/>
  <c r="G46" i="47" s="1"/>
  <c r="G47" i="47" s="1"/>
  <c r="E41" i="47"/>
  <c r="F43" i="46"/>
  <c r="E54" i="47" s="1"/>
  <c r="I43" i="46"/>
  <c r="H54" i="47" s="1"/>
  <c r="E43" i="46"/>
  <c r="D54" i="47" s="1"/>
  <c r="H43" i="46"/>
  <c r="G54" i="47" s="1"/>
  <c r="G43" i="46"/>
  <c r="F54" i="47" s="1"/>
  <c r="H41" i="47" l="1"/>
  <c r="F48" i="47"/>
  <c r="F41" i="47"/>
  <c r="F42" i="47"/>
  <c r="E48" i="47"/>
  <c r="D42" i="47"/>
  <c r="E42" i="47"/>
  <c r="D41" i="47"/>
  <c r="D47" i="47"/>
  <c r="H42" i="47"/>
  <c r="H48" i="47"/>
  <c r="G42" i="47"/>
  <c r="G41" i="47"/>
  <c r="G4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<sst xmlns="http://schemas.openxmlformats.org/spreadsheetml/2006/main" count="3230" uniqueCount="1171">
  <si>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</si>
  <si>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</si>
  <si>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</si>
  <si>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</si>
  <si>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</si>
  <si>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</si>
  <si>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</si>
  <si>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</si>
  <si>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</si>
  <si>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</si>
  <si>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</si>
  <si>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</si>
  <si>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</si>
  <si>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</si>
  <si>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</si>
  <si>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</si>
  <si>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</si>
  <si>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</si>
  <si>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</si>
  <si>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</si>
  <si>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</si>
  <si>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</si>
  <si>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</si>
  <si>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</si>
  <si>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</si>
  <si>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</si>
  <si>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</si>
  <si>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</si>
  <si>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</si>
  <si>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</si>
  <si>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</si>
  <si>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</si>
  <si>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</si>
  <si>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</si>
  <si>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</si>
  <si>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</si>
  <si>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</si>
  <si>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</si>
  <si>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</si>
  <si>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</si>
  <si>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</si>
  <si>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</si>
  <si>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</si>
  <si>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</si>
  <si>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</si>
  <si>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</si>
  <si>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</si>
  <si>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</si>
  <si>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</si>
  <si>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</si>
  <si>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</si>
  <si>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</si>
  <si>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</si>
  <si>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</si>
  <si>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</si>
  <si>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</si>
  <si>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</si>
  <si>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</si>
  <si>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</si>
  <si>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</si>
  <si>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</si>
  <si>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</si>
  <si>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</si>
  <si>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</si>
  <si>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</si>
  <si>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</si>
  <si>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</si>
  <si>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</si>
  <si>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</si>
  <si>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</si>
  <si>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</si>
  <si>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</si>
  <si>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</si>
  <si>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</si>
  <si>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</si>
  <si>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</si>
  <si>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</si>
  <si>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</si>
  <si>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</si>
  <si>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</si>
  <si>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</si>
  <si>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</si>
  <si>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</si>
  <si>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</si>
  <si>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</si>
  <si>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</si>
  <si>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</si>
  <si>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</si>
  <si>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</si>
  <si>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</si>
  <si>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</si>
  <si>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</si>
  <si>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</si>
  <si>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</si>
  <si>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</si>
  <si>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</si>
  <si>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</si>
  <si>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</si>
  <si>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</si>
  <si>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</si>
  <si>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</si>
  <si>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</si>
  <si>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</si>
  <si>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</si>
  <si>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</si>
  <si>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</si>
  <si>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</si>
  <si>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</si>
  <si>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</si>
  <si>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</si>
  <si>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</si>
  <si>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</si>
  <si>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</si>
  <si>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</si>
  <si>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</si>
  <si>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</si>
  <si>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</si>
  <si>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</si>
  <si>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</si>
  <si>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</si>
  <si>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</si>
  <si>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</si>
  <si>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</si>
  <si>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</si>
  <si>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</si>
  <si>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</si>
  <si>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</si>
  <si>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</si>
  <si>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</si>
  <si>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</si>
  <si>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</si>
  <si>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</si>
  <si>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</si>
  <si>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</si>
  <si>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</si>
  <si>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</si>
  <si>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</si>
  <si>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</si>
  <si>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</si>
  <si>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</si>
  <si>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</si>
  <si>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</si>
  <si>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</si>
  <si>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</si>
  <si>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</si>
  <si>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</si>
  <si>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</si>
  <si>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</si>
  <si>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</si>
  <si>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</si>
  <si>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</si>
  <si>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</si>
  <si>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</si>
  <si>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</si>
  <si>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</si>
  <si>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</si>
  <si>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</si>
  <si>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</si>
  <si>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</si>
  <si>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</si>
  <si>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</si>
  <si>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</si>
  <si>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</si>
  <si>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</si>
  <si>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</si>
  <si>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</si>
  <si>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</si>
  <si>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</si>
  <si>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</si>
  <si>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</si>
  <si>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</si>
  <si>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</si>
  <si>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</si>
  <si>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</si>
  <si>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</si>
  <si>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</si>
  <si>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</si>
  <si>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</si>
  <si>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</si>
  <si>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</si>
  <si>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</si>
  <si>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</si>
  <si>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</si>
  <si>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</si>
  <si>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</si>
  <si>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</si>
  <si>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</si>
  <si>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</si>
  <si>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</si>
  <si>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</si>
  <si>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</si>
  <si>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</si>
  <si>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</si>
  <si>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</si>
  <si>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</si>
  <si>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</si>
  <si>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</si>
  <si>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</si>
  <si>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</si>
  <si>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</si>
  <si>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</si>
  <si>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</si>
  <si>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</si>
  <si>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</si>
  <si>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</si>
  <si>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</si>
  <si>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</si>
  <si>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</si>
  <si>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</si>
  <si>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</si>
  <si>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</si>
  <si>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</si>
  <si>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</si>
  <si>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</si>
  <si>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</si>
  <si>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</si>
  <si>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</si>
  <si>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</si>
  <si>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</si>
  <si>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</si>
  <si>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</si>
  <si>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</si>
  <si>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</si>
  <si>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</si>
  <si>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</si>
  <si>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</si>
  <si>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</si>
  <si>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</si>
  <si>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</si>
  <si>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</si>
  <si>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</si>
  <si>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</si>
  <si>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</si>
  <si>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</si>
  <si>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</si>
  <si>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</si>
  <si>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</si>
  <si>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</si>
  <si>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</si>
  <si>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</si>
  <si>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</si>
  <si>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</si>
  <si>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</si>
  <si>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</si>
  <si>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</si>
  <si>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</si>
  <si>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</si>
  <si>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</si>
  <si>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</si>
  <si>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</si>
  <si>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</si>
  <si>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</si>
  <si>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</si>
  <si>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</si>
  <si>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</si>
  <si>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</si>
  <si>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</si>
  <si>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</si>
  <si>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</si>
  <si>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</si>
  <si>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</si>
  <si>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</si>
  <si>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</si>
  <si>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</si>
  <si>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</si>
  <si>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</si>
  <si>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</si>
  <si>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</si>
  <si>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</si>
  <si>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</si>
  <si>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</si>
  <si>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</si>
  <si>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</si>
  <si>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</si>
  <si>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</si>
  <si>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</si>
  <si>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</si>
  <si>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</si>
  <si>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</si>
  <si>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</si>
  <si>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</si>
  <si>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</si>
  <si>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</si>
  <si>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</si>
  <si>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</si>
  <si>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</si>
  <si>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</si>
  <si>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</si>
  <si>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</si>
  <si>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</si>
  <si>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</si>
  <si>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</si>
  <si>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</si>
  <si>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</si>
  <si>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</si>
  <si>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</si>
  <si>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</si>
  <si>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</si>
  <si>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</si>
  <si>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</si>
  <si>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</si>
  <si>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</si>
  <si>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</si>
  <si>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</si>
  <si>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</si>
  <si>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</si>
  <si>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</si>
  <si>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</si>
  <si>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</si>
  <si>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</si>
  <si>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</si>
  <si>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</si>
  <si>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</si>
  <si>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</si>
  <si>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</si>
  <si>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</si>
  <si>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</si>
  <si>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</si>
  <si>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</si>
  <si>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</si>
  <si>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</si>
  <si>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</si>
  <si>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</si>
  <si>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</si>
  <si>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</si>
  <si>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</si>
  <si>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</si>
  <si>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</si>
  <si>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</si>
  <si>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</si>
  <si>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</si>
  <si>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</si>
  <si>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</si>
  <si>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</si>
  <si>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</si>
  <si>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</si>
  <si>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</si>
  <si>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</si>
  <si>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</si>
  <si>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</si>
  <si>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</si>
  <si>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</si>
  <si>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</si>
  <si>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</si>
  <si>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</si>
  <si>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</si>
  <si>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</si>
  <si>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</si>
  <si>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</si>
  <si>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</si>
  <si>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</si>
  <si>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</si>
  <si>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</si>
  <si>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</si>
  <si>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</si>
  <si>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</si>
  <si>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</si>
  <si>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</si>
  <si>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</si>
  <si>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</si>
  <si>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</si>
  <si>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</si>
  <si>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</si>
  <si>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</si>
  <si>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</si>
  <si>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</si>
  <si>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</si>
  <si>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</si>
  <si>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</si>
  <si>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</si>
  <si>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</si>
  <si>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</si>
  <si>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</si>
  <si>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</si>
  <si>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</si>
  <si>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</si>
  <si>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</si>
  <si>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</si>
  <si>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</si>
  <si>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</si>
  <si>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</si>
  <si>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</si>
  <si>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</si>
  <si>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</si>
  <si>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</si>
  <si>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</si>
  <si>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</si>
  <si>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</si>
  <si>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</si>
  <si>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</si>
  <si>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</si>
  <si>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</si>
  <si>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</si>
  <si>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</si>
  <si>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</si>
  <si>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</si>
  <si>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</si>
  <si>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</si>
  <si>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</si>
  <si>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</si>
  <si>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</si>
  <si>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</si>
  <si>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</si>
  <si>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</si>
  <si>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</si>
  <si>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</si>
  <si>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</si>
  <si>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</si>
  <si>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</si>
  <si>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</si>
  <si>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</si>
  <si>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</si>
  <si>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</si>
  <si>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</si>
  <si>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</si>
  <si>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</si>
  <si>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</si>
  <si>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</si>
  <si>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</si>
  <si>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</si>
  <si>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</si>
  <si>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</si>
  <si>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</si>
  <si>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</si>
  <si>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</si>
  <si>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</si>
  <si>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</si>
  <si>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</si>
  <si>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</si>
  <si>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</si>
  <si>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</si>
  <si>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</si>
  <si>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</si>
  <si>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</si>
  <si>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</si>
  <si>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</si>
  <si>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</si>
  <si>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</si>
  <si>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</si>
  <si>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</si>
  <si>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</si>
  <si>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</si>
  <si>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</si>
  <si>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</si>
  <si>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</si>
  <si>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</si>
  <si>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</si>
  <si>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</si>
  <si>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</si>
  <si>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</si>
  <si>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</si>
  <si>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</si>
  <si>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</si>
  <si>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</si>
  <si>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</si>
  <si>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</si>
  <si>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</si>
  <si>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</si>
  <si>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</si>
  <si>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</si>
  <si>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</si>
  <si>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</si>
  <si>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</si>
  <si>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</si>
  <si>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</si>
  <si>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</si>
  <si>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</si>
  <si>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</si>
  <si>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</si>
  <si>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</si>
  <si>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</si>
  <si>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</si>
  <si>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</si>
  <si>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</si>
  <si>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</si>
  <si>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</si>
  <si>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</si>
  <si>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</si>
  <si>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</si>
  <si>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</si>
  <si>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</si>
  <si>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</si>
  <si>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</si>
  <si>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</si>
  <si>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</si>
  <si>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</si>
  <si>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</si>
  <si>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</si>
  <si>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</si>
  <si>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</si>
  <si>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</si>
  <si>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</si>
  <si>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</si>
  <si>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</si>
  <si>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</si>
  <si>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</si>
  <si>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</si>
  <si>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</si>
  <si>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</si>
  <si>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</si>
  <si>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</si>
  <si>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</si>
  <si>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</si>
  <si>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</si>
  <si>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</si>
  <si>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</si>
  <si>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</si>
  <si>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</si>
  <si>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</si>
  <si>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</si>
  <si>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</si>
  <si>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</si>
  <si>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</si>
  <si>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</si>
  <si>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</si>
  <si>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</si>
  <si>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</si>
  <si>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</si>
  <si>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</si>
  <si>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</si>
  <si>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</si>
  <si>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</si>
  <si>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</si>
  <si>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</si>
  <si>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</si>
  <si>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</si>
  <si>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</si>
  <si>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</si>
  <si>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</si>
  <si>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</si>
  <si>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</si>
  <si>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</si>
  <si>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</si>
  <si>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</si>
  <si>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</si>
  <si>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</si>
  <si>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</si>
  <si>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</si>
  <si>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</si>
  <si>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</si>
  <si>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</si>
  <si>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</si>
  <si>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</si>
  <si>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</si>
  <si>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</si>
  <si>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</si>
  <si>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</si>
  <si>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</si>
  <si>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</si>
  <si>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</si>
  <si>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</si>
  <si>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</si>
  <si>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</si>
  <si>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</si>
  <si>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</si>
  <si>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</si>
  <si>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</si>
  <si>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</si>
  <si>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</si>
  <si>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</si>
  <si>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</si>
  <si>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</si>
  <si>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</si>
  <si>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</si>
  <si>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</si>
  <si>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</si>
  <si>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</si>
  <si>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</si>
  <si>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</si>
  <si>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</si>
  <si>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</si>
  <si>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</si>
  <si>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</si>
  <si>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</si>
  <si>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</si>
  <si>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</si>
  <si>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</si>
  <si>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</si>
  <si>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</si>
  <si>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</si>
  <si>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</si>
  <si>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</si>
  <si>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</si>
  <si>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</si>
  <si>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</si>
  <si>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</si>
  <si>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</si>
  <si>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</si>
  <si>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</si>
  <si>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</si>
  <si>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</si>
  <si>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</si>
  <si>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</si>
  <si>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</si>
  <si>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</si>
  <si>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</si>
  <si>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</si>
  <si>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</si>
  <si>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</si>
  <si>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</si>
  <si>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</si>
  <si>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</si>
  <si>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</si>
  <si>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</si>
  <si>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</si>
  <si>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</si>
  <si>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</si>
  <si>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</si>
  <si>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</si>
  <si>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</si>
  <si>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</si>
  <si>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</si>
  <si>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</si>
  <si>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</si>
  <si>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</si>
  <si>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</si>
  <si>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</si>
  <si>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</si>
  <si>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</si>
  <si>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</si>
  <si>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</si>
  <si>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</si>
  <si>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</si>
  <si>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</si>
  <si>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</si>
  <si>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</si>
  <si>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</si>
  <si>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</si>
  <si>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</si>
  <si>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</si>
  <si>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</si>
  <si>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</si>
  <si>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</si>
  <si>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</si>
  <si>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</si>
  <si>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</si>
  <si>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</si>
  <si>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</si>
  <si>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</si>
  <si>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</si>
  <si>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</si>
  <si>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</si>
  <si>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</si>
  <si>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</si>
  <si>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</si>
  <si>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</si>
  <si>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</si>
  <si>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</si>
  <si>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</si>
  <si>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</si>
  <si>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</si>
  <si>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</si>
  <si>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</si>
  <si>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</si>
  <si>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</si>
  <si>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</si>
  <si>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</si>
  <si>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</si>
  <si>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</si>
  <si>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</si>
  <si>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</si>
  <si>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</si>
  <si>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</si>
  <si>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</si>
  <si>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</si>
  <si>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</si>
  <si>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</si>
  <si>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</si>
  <si>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</si>
  <si>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</si>
  <si>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</si>
  <si>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</si>
  <si>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</si>
  <si>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</si>
  <si>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</si>
  <si>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</si>
  <si>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</si>
  <si>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</si>
  <si>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</si>
  <si>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</si>
  <si>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</si>
  <si>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</si>
  <si>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</si>
  <si>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</si>
  <si>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</si>
  <si>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</si>
  <si>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cycles year 1</t>
  </si>
  <si>
    <t>cycles year 2</t>
  </si>
  <si>
    <t>cycles year 3</t>
  </si>
  <si>
    <t>total</t>
  </si>
  <si>
    <t>Drug</t>
  </si>
  <si>
    <t>Strength, container type, quantity</t>
  </si>
  <si>
    <t>Price</t>
  </si>
  <si>
    <t>VAT rate applicable</t>
  </si>
  <si>
    <t>Source</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</si>
  <si>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</si>
  <si>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</si>
  <si>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</si>
  <si>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</si>
  <si>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</si>
  <si>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</si>
  <si>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</si>
  <si>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</si>
  <si>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</si>
  <si>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</si>
  <si>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</si>
  <si>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</si>
  <si>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</si>
  <si>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</si>
  <si>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</si>
  <si>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</si>
  <si>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per patient per visit</t>
  </si>
  <si>
    <t>Time per first attendance</t>
  </si>
  <si>
    <t>Staff time per appointment (minutes)</t>
  </si>
  <si>
    <t>Consultant mid</t>
  </si>
  <si>
    <t>nursing</t>
  </si>
  <si>
    <t>Band 7 Mid</t>
  </si>
  <si>
    <t>Preparation time before administration
(mins)</t>
  </si>
  <si>
    <t>Post administration nursing time (mins)</t>
  </si>
  <si>
    <t>pharmacy</t>
  </si>
  <si>
    <t>Band 8a Mid</t>
  </si>
  <si>
    <t>Appointments with x specialty</t>
  </si>
  <si>
    <t>per patient/yr.</t>
  </si>
  <si>
    <t>pathology / diagnostics / radiology</t>
  </si>
  <si>
    <t>Staff time per test (minutes)</t>
  </si>
  <si>
    <t>Band 6 Mid</t>
  </si>
  <si>
    <t>Adverse events</t>
  </si>
  <si>
    <t>Adverse events, various (rate of cases)</t>
  </si>
  <si>
    <t>See Unit costs tab</t>
  </si>
  <si>
    <t>Notes</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</si>
  <si>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</si>
  <si>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</si>
  <si>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</si>
  <si>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</si>
  <si>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</si>
  <si>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</si>
  <si>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</si>
  <si>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</si>
  <si>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</si>
  <si>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</si>
  <si>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</si>
  <si>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</si>
  <si>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</si>
  <si>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</si>
  <si>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</si>
  <si>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</si>
  <si>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</si>
  <si>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</si>
  <si>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</si>
  <si>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</si>
  <si>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</si>
  <si>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</si>
  <si>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</si>
  <si>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</si>
  <si>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</si>
  <si>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Dose per admin</t>
  </si>
  <si>
    <t>Number of cycles</t>
  </si>
  <si>
    <t>Total dosage required (mg)</t>
  </si>
  <si>
    <t>Total number of packs required</t>
  </si>
  <si>
    <t>Cost per pack</t>
  </si>
  <si>
    <t>VAT rate</t>
  </si>
  <si>
    <t>IV</t>
  </si>
  <si>
    <t>n/a</t>
  </si>
  <si>
    <t>&lt;spare row&gt;</t>
  </si>
  <si>
    <t>All components</t>
  </si>
  <si>
    <t>Administrations</t>
  </si>
  <si>
    <t>Treatment option</t>
  </si>
  <si>
    <t>HRG code</t>
  </si>
  <si>
    <t>HRG description</t>
  </si>
  <si>
    <t>Tariff</t>
  </si>
  <si>
    <t>Based on 2023-25 NHS England national tariff payment system –  24-25 prices</t>
  </si>
  <si>
    <t xml:space="preserve">National  </t>
  </si>
  <si>
    <t xml:space="preserve">prices </t>
  </si>
  <si>
    <t>are</t>
  </si>
  <si>
    <t>used</t>
  </si>
  <si>
    <t>on the</t>
  </si>
  <si>
    <t>left.</t>
  </si>
  <si>
    <t>Based on 2023-25 National Tariff Payment System –  24-25 prices</t>
  </si>
  <si>
    <t>Local</t>
  </si>
  <si>
    <t>prices</t>
  </si>
  <si>
    <t xml:space="preserve">can be </t>
  </si>
  <si>
    <t>Appointments with x specialist</t>
  </si>
  <si>
    <t xml:space="preserve">used as </t>
  </si>
  <si>
    <t xml:space="preserve">as an </t>
  </si>
  <si>
    <t>all options</t>
  </si>
  <si>
    <t>alternative.</t>
  </si>
  <si>
    <t>The</t>
  </si>
  <si>
    <t xml:space="preserve">selection </t>
  </si>
  <si>
    <t>between</t>
  </si>
  <si>
    <t xml:space="preserve">using </t>
  </si>
  <si>
    <t>local or</t>
  </si>
  <si>
    <t>national</t>
  </si>
  <si>
    <t>is made</t>
  </si>
  <si>
    <t>summary</t>
  </si>
  <si>
    <t>worksheet.</t>
  </si>
  <si>
    <t>Adverse events, annual costs and rates</t>
  </si>
  <si>
    <t>Event</t>
  </si>
  <si>
    <t>Unit cost (£) 
national prices</t>
  </si>
  <si>
    <t>Unit cost (£) local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</si>
  <si>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</si>
  <si>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</si>
  <si>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</si>
  <si>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</si>
  <si>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</si>
  <si>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</si>
  <si>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</si>
  <si>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</si>
  <si>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</si>
  <si>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</si>
  <si>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</si>
  <si>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</si>
  <si>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</si>
  <si>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</si>
  <si>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</si>
  <si>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</si>
  <si>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</si>
  <si>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</si>
  <si>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</si>
  <si>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</si>
  <si>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</si>
  <si>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</si>
  <si>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Capacity impact on nursing staffing - hours</t>
  </si>
  <si>
    <t>Capacity impact on pharmacy</t>
  </si>
  <si>
    <t>Capacity impact on x service</t>
  </si>
  <si>
    <t>Appointments with x specialty - change</t>
  </si>
  <si>
    <t>Capacity impact on pathology/ radiology /diagnostics</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</si>
  <si>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</si>
  <si>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</si>
  <si>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</si>
  <si>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</si>
  <si>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</si>
  <si>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</si>
  <si>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</si>
  <si>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</si>
  <si>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</si>
  <si>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</si>
  <si>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</si>
  <si>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</si>
  <si>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</si>
  <si>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</si>
  <si>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Hourly rate</t>
  </si>
  <si>
    <t>Administrations - change in number of attendances current practice</t>
  </si>
  <si>
    <t>Nursing staffing</t>
  </si>
  <si>
    <t>Duration of administration
(mins)</t>
  </si>
  <si>
    <t>Administrations - change in duration (hours) to current practice</t>
  </si>
  <si>
    <t>Pharmacy</t>
  </si>
  <si>
    <t>X specialty</t>
  </si>
  <si>
    <t>Appointments with supporting specialty x</t>
  </si>
  <si>
    <t>Pathology/ radiology/ diagnostics</t>
  </si>
  <si>
    <t>Adverse events, various (cases)</t>
  </si>
  <si>
    <t>Unit cost</t>
  </si>
  <si>
    <t>Adverse events - change to current practice</t>
  </si>
  <si>
    <t>Capacity impact (national prices)</t>
  </si>
  <si>
    <t>First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</si>
  <si>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</si>
  <si>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</si>
  <si>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</si>
  <si>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</si>
  <si>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</si>
  <si>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</si>
  <si>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</si>
  <si>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</si>
  <si>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</si>
  <si>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</si>
  <si>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</si>
  <si>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</si>
  <si>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</si>
  <si>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</si>
  <si>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</si>
  <si>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</si>
  <si>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</si>
  <si>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</si>
  <si>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</si>
  <si>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</si>
  <si>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</si>
  <si>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</si>
  <si>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</si>
  <si>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</si>
  <si>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</si>
  <si>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</si>
  <si>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</si>
  <si>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</si>
  <si>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</si>
  <si>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</si>
  <si>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</si>
  <si>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</si>
  <si>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</si>
  <si>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</si>
  <si>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</si>
  <si>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</si>
  <si>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</si>
  <si>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</si>
  <si>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</si>
  <si>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</si>
  <si>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</si>
  <si>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</si>
  <si>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</si>
  <si>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</si>
  <si>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</si>
  <si>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</si>
  <si>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</si>
  <si>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</si>
  <si>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</si>
  <si>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</si>
  <si>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</si>
  <si>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</si>
  <si>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</si>
  <si>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</si>
  <si>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</si>
  <si>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</si>
  <si>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(hours)</t>
  </si>
  <si>
    <t>Support time  (mins)</t>
  </si>
  <si>
    <t>supporting specialty x</t>
  </si>
  <si>
    <t xml:space="preserve">Pharmacy support will vary for each drug and condition and will include controls, administration, preparation and dispensing.  Aseptics preparations may be bought-in, or created in-house.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</si>
  <si>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</si>
  <si>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</si>
  <si>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</si>
  <si>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</si>
  <si>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</si>
  <si>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</si>
  <si>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</si>
  <si>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</si>
  <si>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</si>
  <si>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</si>
  <si>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</si>
  <si>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</si>
  <si>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</si>
  <si>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</si>
  <si>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</si>
  <si>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</si>
  <si>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</si>
  <si>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</si>
  <si>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</si>
  <si>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</si>
  <si>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</si>
  <si>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</si>
  <si>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</si>
  <si>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</si>
  <si>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Quizartinib for induction, consolidation and maintenance</t>
  </si>
  <si>
    <t xml:space="preserve">acute myeloid leukaemia </t>
  </si>
  <si>
    <t>Published: October 2024</t>
  </si>
  <si>
    <t>Cancer</t>
  </si>
  <si>
    <t>Leukemia</t>
  </si>
  <si>
    <t xml:space="preserve">Oral </t>
  </si>
  <si>
    <t xml:space="preserve">NHS hospital trusts </t>
  </si>
  <si>
    <t>NHS England</t>
  </si>
  <si>
    <t xml:space="preserve">90 days </t>
  </si>
  <si>
    <t>Cancers and tumours, 02I</t>
  </si>
  <si>
    <t>Incidence of acute myeloid leukaemia (AML)</t>
  </si>
  <si>
    <t>Quizartinib for induction, consolidation and maintenance treatment of newly diagnosed FLT3‑ITD‑positive acute myeloid leukaemia</t>
  </si>
  <si>
    <t>Cancer Registration Statistics, England, 2021</t>
  </si>
  <si>
    <t xml:space="preserve">People receiving intensive, induction chemotherapy </t>
  </si>
  <si>
    <t>p.33 of committee papers for TA523 (85% receiving systemic treatment x 75% of these receiving intensive chemo)</t>
  </si>
  <si>
    <t>Quizartinib as maintenance treatment</t>
  </si>
  <si>
    <t>Quizartinib and standard anthracycline chemotherapy (induction)</t>
  </si>
  <si>
    <t>Quizartinib and standard cytarabine chemotherapy  (consolidation)</t>
  </si>
  <si>
    <t>Midostaurin and standard cytarabine chemotherapy  (consolidation)</t>
  </si>
  <si>
    <t>Midostaurin and standard cytarabine chemotherapy  (induction)</t>
  </si>
  <si>
    <t xml:space="preserve">Midostaurin </t>
  </si>
  <si>
    <t>Cytarabine</t>
  </si>
  <si>
    <t>Daunorubicin</t>
  </si>
  <si>
    <t>Idarubicin</t>
  </si>
  <si>
    <t>Quizartinib and standard chemotherapy</t>
  </si>
  <si>
    <t>Midostaurin and standard chemotherapy</t>
  </si>
  <si>
    <t>Local input</t>
  </si>
  <si>
    <t xml:space="preserve">28 x 17.7 mg tablets </t>
  </si>
  <si>
    <t>56 x 26.5 mg tablets</t>
  </si>
  <si>
    <t>eMIT</t>
  </si>
  <si>
    <t>100mg/1ml solution for injection vials, packsize 5</t>
  </si>
  <si>
    <t>2g/20ml solution for injection vials, packsize 1</t>
  </si>
  <si>
    <t>56 x 25mg capsules</t>
  </si>
  <si>
    <t>20mg powder for solution for infusion vials, packsize 10</t>
  </si>
  <si>
    <t>BNF</t>
  </si>
  <si>
    <t>10mg/10ml solution for injection vial, packsize 1</t>
  </si>
  <si>
    <t>Fatigue</t>
  </si>
  <si>
    <t>Febrile neutropenia</t>
  </si>
  <si>
    <t>Hyperbilirubinemia</t>
  </si>
  <si>
    <t>Hyponatremia</t>
  </si>
  <si>
    <t>Hypophosphatemia</t>
  </si>
  <si>
    <t>Increased alanine aminotransferase</t>
  </si>
  <si>
    <t>Infection</t>
  </si>
  <si>
    <t xml:space="preserve">Leukopenia </t>
  </si>
  <si>
    <t xml:space="preserve">Lymphopenia </t>
  </si>
  <si>
    <t>Mucositis or stomatitis</t>
  </si>
  <si>
    <t>Nausea</t>
  </si>
  <si>
    <t xml:space="preserve">Neutropenia </t>
  </si>
  <si>
    <t>Pain</t>
  </si>
  <si>
    <t>Pneumonitis or pulmonary infiltrates</t>
  </si>
  <si>
    <t>Rash or desquamation</t>
  </si>
  <si>
    <t xml:space="preserve">Thrombocytopenia </t>
  </si>
  <si>
    <t>GVHD (post-HSCT event)</t>
  </si>
  <si>
    <t>Neutrophil count decreased</t>
  </si>
  <si>
    <t>Sepsis</t>
  </si>
  <si>
    <t>Gamma-glutamyl transferase increased</t>
  </si>
  <si>
    <t>Platelet count decreased</t>
  </si>
  <si>
    <t>Hypertension</t>
  </si>
  <si>
    <t>Quizartinib</t>
  </si>
  <si>
    <t>Midostaurin</t>
  </si>
  <si>
    <t xml:space="preserve">Adverse events data for midostaurin from economic model.  </t>
  </si>
  <si>
    <t>Eligible population for treatment with quizartinib</t>
  </si>
  <si>
    <t>Proportion who will receive allo-HSCT transplant</t>
  </si>
  <si>
    <t>Number who will go onto receive allo-HSCT transplant</t>
  </si>
  <si>
    <t>Sorafenib</t>
  </si>
  <si>
    <t>112 x 200 mg tablets</t>
  </si>
  <si>
    <t xml:space="preserve">Market shares for maintenance treatment following allo-HSCT transplant </t>
  </si>
  <si>
    <t xml:space="preserve">Quizartinib </t>
  </si>
  <si>
    <t>Sorafenib </t>
  </si>
  <si>
    <t xml:space="preserve">oral </t>
  </si>
  <si>
    <t xml:space="preserve">packet </t>
  </si>
  <si>
    <t>Drug cost workings- Quizartinib and standard anthracycline chemotherapy (induction)</t>
  </si>
  <si>
    <t>No. of days treated within cycle</t>
  </si>
  <si>
    <t xml:space="preserve">vial </t>
  </si>
  <si>
    <t>35.4 mg (2 × 17.7 mg) once daily for two weeks in each cycle (days 8 to 21)</t>
  </si>
  <si>
    <t>35.4 mg once daily for 2 weeks in each cycle (days 6 to 19)</t>
  </si>
  <si>
    <t xml:space="preserve">3000 mg/m2 for 6 days in each cycle </t>
  </si>
  <si>
    <t>100 mg/m2 for 7 days in each cycle (days 1- 7)</t>
  </si>
  <si>
    <t>60 mg/m2 for 3 days in each cycle (days 1-3)</t>
  </si>
  <si>
    <t>Drug cost workings- Quizartinib and standard cytarabine chemotherapy (consolidation)</t>
  </si>
  <si>
    <t>Portion receiving dose</t>
  </si>
  <si>
    <t xml:space="preserve">Lower maintenance dose - 1 x 26.5 mg tablet every day with no break </t>
  </si>
  <si>
    <t>Escalated maintenance dose  - 1 x  26.5 mg tablet for 14 days and then 2 x 26.5 mg tablets for 14 days</t>
  </si>
  <si>
    <t>Drug cost workings- Midostaurin and standard anthracycline chemotherapy (induction)</t>
  </si>
  <si>
    <t>Drug cost workings- Midostaurin and standard cytarabine chemotherapy (consolidation)</t>
  </si>
  <si>
    <t>50 mg orally twice daily (days 8 to 21)</t>
  </si>
  <si>
    <t>50 mg twice daily for 2 weeks in each cycle (days 8 to 21)</t>
  </si>
  <si>
    <t xml:space="preserve"> 50mg twice daily every day with no break until relapse </t>
  </si>
  <si>
    <t>Drug cost workings-Sorafenib  (post-HSCT maintenance therapy)</t>
  </si>
  <si>
    <t>Treatment duration as cited in SORMAIN trial as being median</t>
  </si>
  <si>
    <t xml:space="preserve">200 mg twice daily for initial 14 weeks </t>
  </si>
  <si>
    <t>200 mg thrice daily for 28 weeks (weeks 15 -42)</t>
  </si>
  <si>
    <t>400 mg twice daily thereafter</t>
  </si>
  <si>
    <t xml:space="preserve">Market Shares for treatments non/pre allo-HSCT transplant </t>
  </si>
  <si>
    <t>People choosing quizartinib</t>
  </si>
  <si>
    <t>Of whom will go onto receive an allo-HSCT transplant</t>
  </si>
  <si>
    <t>Quizartinib as maintenance treatment Year 1</t>
  </si>
  <si>
    <t>Quizartinib as maintenance treatment Year 2</t>
  </si>
  <si>
    <t>Quizartinib as maintenance treatment Year 3</t>
  </si>
  <si>
    <t>Midostaurin as maintenance treatment</t>
  </si>
  <si>
    <t>Midostaurin  as maintenance treatment Year 1</t>
  </si>
  <si>
    <t>Midostaurin  as maintenance treatment Year 2</t>
  </si>
  <si>
    <t>Midostaurin  as maintenance treatment Year 3</t>
  </si>
  <si>
    <t>Sorafenib as maintenance treatment</t>
  </si>
  <si>
    <t>Sorafenib as maintenance treatment Year 1</t>
  </si>
  <si>
    <t>Per cycle cost</t>
  </si>
  <si>
    <t>Per annum cost</t>
  </si>
  <si>
    <t>People continuing with quizartinib post HSCT transplant</t>
  </si>
  <si>
    <t>Quizartinib and standard chemotherapy only</t>
  </si>
  <si>
    <t>Midostaurin and standard chemotherapy only</t>
  </si>
  <si>
    <t>Midostaurin and standard chemotherapy and sorafenib as maintenance (post transplant)</t>
  </si>
  <si>
    <t xml:space="preserve">All options </t>
  </si>
  <si>
    <t>SB11Z</t>
  </si>
  <si>
    <t>Deliver exclusively oral chemotherapy</t>
  </si>
  <si>
    <t>First attendances</t>
  </si>
  <si>
    <t>WF01B</t>
  </si>
  <si>
    <t>First Attendance - Single Professional.  TFC 800</t>
  </si>
  <si>
    <t>Follow up attendances</t>
  </si>
  <si>
    <t>WF01A</t>
  </si>
  <si>
    <t xml:space="preserve">Follow Up Attendance - Single Professional.  TFC 800 - consultant led </t>
  </si>
  <si>
    <t xml:space="preserve">Follow Up Attendance - Single Professional.  TFC 800 - non consultant led </t>
  </si>
  <si>
    <t xml:space="preserve">Blood test </t>
  </si>
  <si>
    <t>DAPS08</t>
  </si>
  <si>
    <t xml:space="preserve">Directly accessed pathology, phlebotomy </t>
  </si>
  <si>
    <t>For illustration, change locally</t>
  </si>
  <si>
    <t>People receiving quizartinib as maintenance treatment</t>
  </si>
  <si>
    <t>People receiving quizartinib and standard cytarabine chemotherapy  (consolidation)</t>
  </si>
  <si>
    <t>People receiving quizartinib and standard anthracycline chemotherapy (induction)</t>
  </si>
  <si>
    <t>People receiving midostaurin and standard cytarabine chemotherapy  (induction)</t>
  </si>
  <si>
    <t>People receiving midostaurin and standard cytarabine chemotherapy  (consolidation)</t>
  </si>
  <si>
    <t>People receiving midostaurin as maintenance treatment</t>
  </si>
  <si>
    <t>People receiving sorafenib as maintenance treatment</t>
  </si>
  <si>
    <t>per patient per cycle</t>
  </si>
  <si>
    <t xml:space="preserve">Specialty appointments - CNS haematologist </t>
  </si>
  <si>
    <t>Number of  attendances</t>
  </si>
  <si>
    <t>Time per  attendance</t>
  </si>
  <si>
    <t xml:space="preserve">Specialty appointments- consultant </t>
  </si>
  <si>
    <t>Number of attendances</t>
  </si>
  <si>
    <t>Time per attendance</t>
  </si>
  <si>
    <t xml:space="preserve">per patient per cycle </t>
  </si>
  <si>
    <t>One speciality appointment assumed per cycle.</t>
  </si>
  <si>
    <t>Duration of appointments (minutes)</t>
  </si>
  <si>
    <t>No additional nursing appointments assumed in addition to above but populate locally if required.</t>
  </si>
  <si>
    <t>Bone marrow aspirates</t>
  </si>
  <si>
    <t>Bone marrow biopsies</t>
  </si>
  <si>
    <t>Blood tests</t>
  </si>
  <si>
    <t>Blood smear</t>
  </si>
  <si>
    <t xml:space="preserve">Red blood cell transfusion </t>
  </si>
  <si>
    <t xml:space="preserve">Platelets transfusion </t>
  </si>
  <si>
    <t xml:space="preserve">Rate of transfusions in induction cycles CIC - please input locally </t>
  </si>
  <si>
    <t>One speciality appointment assumed per cycle.  Can be amended locally if required.</t>
  </si>
  <si>
    <t>Timings taken from economic model which quotes  66 minutes of CNS haematologist at induction stage and 33 minutes at consolidation and maintenance stage per cycle for non-refractory patients.  Grade for illustration, change locally.</t>
  </si>
  <si>
    <t>Timings taken from economic model which quotes  62 minutes consultant time at induction stage and 36 minutes at consolidation and maintenance stage per cycle for non refractory patients.  Grade for illustration, change locally.</t>
  </si>
  <si>
    <t>Timings taken from economic model which quotes  132 minutes nursing time at induction stage and 17 minutes at consolidation and maintenance stage per cycle for non refractory patients.  Grade for illustration, change locally.</t>
  </si>
  <si>
    <t>Timings taken from economic model which quotes  75 minutes pharmacy time at induction stage and 2 minutes at consolidation and maintenance stage per cycle for non refractory patients.  Grade for illustration, change locally.</t>
  </si>
  <si>
    <t>No additional speciality appointments assumed in addition to above but populate locally if required.</t>
  </si>
  <si>
    <t>Rates of bone marrow aspirates taken from economic model.</t>
  </si>
  <si>
    <t>Rates of bone marrow biopsies taken from economic model.</t>
  </si>
  <si>
    <t>Rates of blood tests taken from economic model.</t>
  </si>
  <si>
    <t>Rates of blood smears taken from economic model.</t>
  </si>
  <si>
    <t xml:space="preserve">Local input -first attendance appointments not assumed in economic model but can be input locally if required.  </t>
  </si>
  <si>
    <t>Number per patient per cycle</t>
  </si>
  <si>
    <t xml:space="preserve">Unit cost </t>
  </si>
  <si>
    <t>Number of first attendances per cycle</t>
  </si>
  <si>
    <t>First attendances - appointments and cost</t>
  </si>
  <si>
    <t>appointments and cost</t>
  </si>
  <si>
    <t>Specialty appointments - consultant</t>
  </si>
  <si>
    <t>Nursing staffing - appointments (hours)</t>
  </si>
  <si>
    <t>Preparation time before administration -hours and cost</t>
  </si>
  <si>
    <t>Nursing staffing - preparation time before administration (hours)</t>
  </si>
  <si>
    <t>Nursing staffing - post administration nursing time (hours)</t>
  </si>
  <si>
    <t xml:space="preserve">Bone marrow aspirates </t>
  </si>
  <si>
    <t>Bone marrow aspirates - number of procedures</t>
  </si>
  <si>
    <t>Bone marrow biopsies -number of procedures</t>
  </si>
  <si>
    <t>Blood smears</t>
  </si>
  <si>
    <t>Transfusions</t>
  </si>
  <si>
    <t>Red blood cell transfusions</t>
  </si>
  <si>
    <t>appointments - hours and cost</t>
  </si>
  <si>
    <t xml:space="preserve">Based on  2021/22 National Cost Collection Data </t>
  </si>
  <si>
    <t>DAPS9</t>
  </si>
  <si>
    <t>Directly Accessed Pathology Services, Other</t>
  </si>
  <si>
    <t>Bone Marrow Biopsies</t>
  </si>
  <si>
    <t>YH31A</t>
  </si>
  <si>
    <t>Percutaneous Biopsy of Lesion of Bone, 19 years and over, 370</t>
  </si>
  <si>
    <t>Bone Marrow Apirates</t>
  </si>
  <si>
    <t>SA33Z</t>
  </si>
  <si>
    <t>Diagnostic Bone Marrow Extraction, clinical oncology</t>
  </si>
  <si>
    <t xml:space="preserve">Transfusions </t>
  </si>
  <si>
    <t>SA44A</t>
  </si>
  <si>
    <t>Single Plasma Exchange or Other Intravenous Blood Transfusion, 19 years and over, clinical oncology</t>
  </si>
  <si>
    <t>Capacity impact on transfusions</t>
  </si>
  <si>
    <t xml:space="preserve">People with an FLT3-ITD mutation </t>
  </si>
  <si>
    <t>local input</t>
  </si>
  <si>
    <t>Pharmacy support in minutes (see notes below)</t>
  </si>
  <si>
    <t xml:space="preserve">treatment of newly diagnosed FLT3-ITD-positive </t>
  </si>
  <si>
    <t>Treatment for newly diagnosed FLT3-ITD-positive acute myeloid leukaemia</t>
  </si>
  <si>
    <t xml:space="preserve">Drugs - people starting treatments non/pre allo-HSCT transplant </t>
  </si>
  <si>
    <t xml:space="preserve">Drugs - people starting treatments post allo-HSCT transplant </t>
  </si>
  <si>
    <t>Drug cost workings- Quizartinib (maintenance) - year 1</t>
  </si>
  <si>
    <t>Drug cost workings- Quizartinib (maintenance) - year 2</t>
  </si>
  <si>
    <t>Drug cost workings- Quizartinib (maintenance) - year 3</t>
  </si>
  <si>
    <t>Drug cost workings- Midostaurin  (maintenance) -Year 1</t>
  </si>
  <si>
    <t>Drug cost workings- Midostaurin  (maintenance) Year 2</t>
  </si>
  <si>
    <t>Drug cost workings- Midostaurin  (maintenance)  - Year 3</t>
  </si>
  <si>
    <t>Page 9 of Clinical commissioning policy for sorafenib (600 X 25%)</t>
  </si>
  <si>
    <t xml:space="preserve">First attendances - number of appointments </t>
  </si>
  <si>
    <t xml:space="preserve">For pharmacy support, enter an estimate of total person-hours required per patient for supporting the use of the drug. Select an estimate of the average grade of staff required for the entirety of the various types of support required. </t>
  </si>
  <si>
    <t>The presence of a FLT3 internal tandem duplication in patients with acute myeloid leukaemia (AML) adds important prognostic information to cytogenetic risk group and response to the first cycle of chemotherapy: analysis of 854 patients from the United Kingdom Medical Research Council AML 10 and 12 trials - PubMed (nih.gov)</t>
  </si>
  <si>
    <t>Post administration nursing time -hours and cost</t>
  </si>
  <si>
    <t xml:space="preserve">Anaemia </t>
  </si>
  <si>
    <t>Diarrhoea</t>
  </si>
  <si>
    <t>Hypocalcaemia</t>
  </si>
  <si>
    <t>Hypokalaemia</t>
  </si>
  <si>
    <t>HOVON 156 study</t>
  </si>
  <si>
    <t xml:space="preserve">Market shares obtained from a range of clinical expert opinions.  It was commented that future uptakes of quizartinib and midostaurin may be influenced by the </t>
  </si>
  <si>
    <t>GP Top</t>
  </si>
  <si>
    <t>TA1013</t>
  </si>
  <si>
    <t>Adverse events data for quizartinib is commercial in confidence and should be amended locally.  No adverse event data for sorafenib was modelled.  Please input locally.</t>
  </si>
  <si>
    <t>Total people for all maintenance treatments</t>
  </si>
  <si>
    <t>Taken from figures above</t>
  </si>
  <si>
    <t>Drugs - split of maintenance treatments</t>
  </si>
  <si>
    <t>People receiving quizartinib at maintenance stage</t>
  </si>
  <si>
    <t>People receiving the treatment options at induction and consolidation phases</t>
  </si>
  <si>
    <t>People receiving the treatment options atmaintenance phase</t>
  </si>
  <si>
    <t>People receiving quizartinib as maintenance treatment - Year 1</t>
  </si>
  <si>
    <t>People receiving quizartinib as maintenance treatment - Year 2</t>
  </si>
  <si>
    <t>People receiving quizartinib as maintenance treatment - Year 3</t>
  </si>
  <si>
    <t>People receiving midostaurin as maintenance treatment -Year 1</t>
  </si>
  <si>
    <t>People receiving midostaurin as maintenance treatment - Year 2</t>
  </si>
  <si>
    <t>People receiving midostaurin as maintenance treatment -Year 3</t>
  </si>
  <si>
    <t>Total number of people treated - pre transplant number adjusted for post transplant treatments</t>
  </si>
  <si>
    <t>Pharmacy support (hours</t>
  </si>
  <si>
    <t>Appointments with supporting speciality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</si>
</sst>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0%"/>
    <numFmt numFmtId="176" formatCode="0.0%"/>
    <numFmt numFmtId="177" formatCode="_-* #,##0.0_-;\-* #,##0.0_-;_-* &quot;-&quot;??_-;_-@_-"/>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b/>
      <sz val="13"/>
      <color theme="3"/>
      <name val="Calibri"/>
      <family val="2"/>
      <scheme val="minor"/>
    </font>
    <font>
      <sz val="12"/>
      <name val="Calibri"/>
      <family val="2"/>
      <scheme val="minor"/>
    </font>
    <font>
      <sz val="11"/>
      <name val="Arial"/>
      <family val="2"/>
    </font>
    <font>
      <b/>
      <sz val="12"/>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ck">
        <color theme="4" tint="0.499984740745262"/>
      </bottom>
      <diagonal/>
    </border>
    <border>
      <left style="thin">
        <color indexed="64"/>
      </left>
      <right/>
      <top/>
      <bottom style="thin">
        <color rgb="FF000000"/>
      </bottom>
      <diagonal/>
    </border>
    <border>
      <left/>
      <right/>
      <top style="thin">
        <color rgb="FF000000"/>
      </top>
      <bottom/>
      <diagonal/>
    </border>
    <border>
      <left style="thin">
        <color indexed="64"/>
      </left>
      <right style="medium">
        <color indexed="64"/>
      </right>
      <top style="thin">
        <color indexed="64"/>
      </top>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0" fontId="76" fillId="0" borderId="55" applyNumberFormat="0" applyFill="0" applyAlignment="0" applyProtection="0"/>
  </cellStyleXfs>
  <cellXfs count="93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2" borderId="17" xfId="0" applyFont="1" applyFill="1" applyBorder="1"/>
    <xf numFmtId="0" fontId="39" fillId="42" borderId="0" xfId="0" applyFont="1" applyFill="1"/>
    <xf numFmtId="0" fontId="39" fillId="40" borderId="17" xfId="0" applyFont="1" applyFill="1" applyBorder="1"/>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0" borderId="0" xfId="0" applyFill="1"/>
    <xf numFmtId="0" fontId="0" fillId="43" borderId="0" xfId="0" applyFill="1"/>
    <xf numFmtId="0" fontId="0" fillId="41"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0" borderId="20" xfId="0" applyFill="1" applyBorder="1"/>
    <xf numFmtId="4" fontId="0" fillId="41" borderId="20" xfId="0" applyNumberFormat="1"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2" borderId="12" xfId="0" applyFont="1" applyFill="1" applyBorder="1" applyAlignment="1">
      <alignment horizontal="left" vertical="center"/>
    </xf>
    <xf numFmtId="0" fontId="39" fillId="43" borderId="0" xfId="82" applyFont="1" applyFill="1"/>
    <xf numFmtId="0" fontId="48" fillId="41" borderId="12" xfId="0" applyFont="1" applyFill="1" applyBorder="1" applyAlignment="1">
      <alignment horizontal="left" vertical="center"/>
    </xf>
    <xf numFmtId="0" fontId="39" fillId="41" borderId="0" xfId="82" applyFont="1" applyFill="1"/>
    <xf numFmtId="0" fontId="48" fillId="31" borderId="12" xfId="0" applyFont="1" applyFill="1" applyBorder="1" applyAlignment="1">
      <alignment horizontal="left" vertical="center"/>
    </xf>
    <xf numFmtId="0" fontId="0" fillId="0" borderId="35" xfId="0" applyBorder="1"/>
    <xf numFmtId="0" fontId="0" fillId="44" borderId="0" xfId="0" applyFill="1"/>
    <xf numFmtId="0" fontId="48" fillId="44" borderId="12" xfId="0" applyFont="1" applyFill="1" applyBorder="1" applyAlignment="1">
      <alignment horizontal="left" vertical="center"/>
    </xf>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0" fontId="39" fillId="44"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169"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2" fillId="0" borderId="0" xfId="0" applyFont="1"/>
    <xf numFmtId="0" fontId="63" fillId="0" borderId="0" xfId="0" applyFont="1" applyAlignment="1">
      <alignment vertical="center" wrapText="1"/>
    </xf>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6" fillId="39" borderId="11" xfId="0" applyFont="1" applyFill="1" applyBorder="1" applyAlignment="1">
      <alignment horizontal="center" vertical="center" wrapText="1"/>
    </xf>
    <xf numFmtId="0" fontId="66" fillId="0" borderId="0" xfId="0" applyFont="1" applyAlignment="1">
      <alignment horizontal="center" vertical="center"/>
    </xf>
    <xf numFmtId="0" fontId="67"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8" fillId="37" borderId="20" xfId="0" applyFont="1" applyFill="1" applyBorder="1" applyAlignment="1">
      <alignment horizontal="left"/>
    </xf>
    <xf numFmtId="0" fontId="0" fillId="40" borderId="17" xfId="0" applyFill="1" applyBorder="1"/>
    <xf numFmtId="0" fontId="0" fillId="44" borderId="17" xfId="0" applyFill="1" applyBorder="1"/>
    <xf numFmtId="0" fontId="44" fillId="42" borderId="12" xfId="0" applyFont="1" applyFill="1" applyBorder="1" applyAlignment="1">
      <alignment horizontal="left"/>
    </xf>
    <xf numFmtId="0" fontId="39" fillId="42"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0" borderId="12" xfId="0" applyFont="1" applyFill="1" applyBorder="1" applyAlignment="1">
      <alignment horizontal="left"/>
    </xf>
    <xf numFmtId="0" fontId="39" fillId="40" borderId="20" xfId="0" applyFont="1" applyFill="1" applyBorder="1"/>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0" fontId="39" fillId="44"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4" borderId="11" xfId="0" applyFill="1" applyBorder="1" applyAlignment="1">
      <alignment horizontal="center"/>
    </xf>
    <xf numFmtId="0" fontId="0" fillId="40" borderId="11" xfId="0" applyFill="1" applyBorder="1" applyAlignment="1">
      <alignment horizontal="center"/>
    </xf>
    <xf numFmtId="2" fontId="0" fillId="41" borderId="11" xfId="0" applyNumberFormat="1" applyFill="1" applyBorder="1" applyAlignment="1">
      <alignment horizontal="center"/>
    </xf>
    <xf numFmtId="0" fontId="29" fillId="29" borderId="11" xfId="0" applyFont="1" applyFill="1" applyBorder="1" applyAlignment="1">
      <alignment horizontal="center" wrapText="1"/>
    </xf>
    <xf numFmtId="3" fontId="0" fillId="42" borderId="11"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0" borderId="11" xfId="0" applyNumberFormat="1" applyFill="1" applyBorder="1"/>
    <xf numFmtId="3" fontId="0" fillId="44" borderId="11" xfId="0" applyNumberFormat="1" applyFill="1" applyBorder="1"/>
    <xf numFmtId="3" fontId="0" fillId="41" borderId="11" xfId="0" applyNumberFormat="1" applyFill="1" applyBorder="1"/>
    <xf numFmtId="3" fontId="0" fillId="31" borderId="11" xfId="0" applyNumberFormat="1" applyFill="1" applyBorder="1"/>
    <xf numFmtId="0" fontId="39" fillId="42" borderId="10" xfId="0" applyFont="1" applyFill="1" applyBorder="1"/>
    <xf numFmtId="0" fontId="39" fillId="42" borderId="14" xfId="0" applyFont="1" applyFill="1" applyBorder="1"/>
    <xf numFmtId="0" fontId="39" fillId="41" borderId="10" xfId="0" applyFont="1" applyFill="1" applyBorder="1"/>
    <xf numFmtId="0" fontId="0" fillId="31" borderId="17" xfId="0" applyFill="1" applyBorder="1"/>
    <xf numFmtId="0" fontId="0" fillId="42" borderId="14" xfId="0" applyFill="1" applyBorder="1"/>
    <xf numFmtId="0" fontId="39" fillId="44" borderId="10" xfId="0" applyFont="1" applyFill="1" applyBorder="1"/>
    <xf numFmtId="0" fontId="0" fillId="41"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165" fontId="48" fillId="0" borderId="12" xfId="82" applyNumberFormat="1" applyFont="1" applyBorder="1"/>
    <xf numFmtId="165" fontId="48" fillId="0" borderId="11" xfId="82" applyNumberFormat="1" applyFont="1" applyBorder="1"/>
    <xf numFmtId="0" fontId="0" fillId="42"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46" fillId="41" borderId="12" xfId="82" applyFont="1" applyFill="1" applyBorder="1"/>
    <xf numFmtId="0" fontId="46" fillId="31" borderId="12" xfId="82" applyFont="1" applyFill="1" applyBorder="1"/>
    <xf numFmtId="3" fontId="44" fillId="42" borderId="17" xfId="0" applyNumberFormat="1" applyFont="1" applyFill="1" applyBorder="1"/>
    <xf numFmtId="3" fontId="44" fillId="43" borderId="17" xfId="0" applyNumberFormat="1" applyFont="1" applyFill="1" applyBorder="1"/>
    <xf numFmtId="3" fontId="44" fillId="44" borderId="17" xfId="0" applyNumberFormat="1" applyFont="1" applyFill="1" applyBorder="1"/>
    <xf numFmtId="3" fontId="44" fillId="41"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6" fillId="24" borderId="17" xfId="82" applyFont="1" applyFill="1" applyBorder="1"/>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6"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6" fillId="24" borderId="0" xfId="0" applyFont="1" applyFill="1" applyAlignment="1">
      <alignment horizontal="center" vertical="center"/>
    </xf>
    <xf numFmtId="0" fontId="66"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6"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0" fontId="6" fillId="24" borderId="19" xfId="82" applyFont="1" applyFill="1" applyBorder="1"/>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9"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0" fillId="31" borderId="21" xfId="0"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46" fillId="24" borderId="11" xfId="0" applyFont="1" applyFill="1" applyBorder="1" applyAlignment="1">
      <alignment horizontal="center" wrapText="1"/>
    </xf>
    <xf numFmtId="0" fontId="0" fillId="40" borderId="18" xfId="0" applyFill="1" applyBorder="1"/>
    <xf numFmtId="0" fontId="46"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0" fontId="44" fillId="40" borderId="20" xfId="0" applyFont="1" applyFill="1" applyBorder="1" applyAlignment="1">
      <alignment horizontal="left"/>
    </xf>
    <xf numFmtId="0" fontId="39" fillId="40" borderId="14" xfId="0" applyFont="1" applyFill="1" applyBorder="1"/>
    <xf numFmtId="0" fontId="48" fillId="40" borderId="0" xfId="0" applyFont="1" applyFill="1" applyAlignment="1">
      <alignment horizontal="left" vertical="center"/>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0"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0" fontId="59" fillId="24" borderId="17" xfId="0" applyFont="1" applyFill="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3"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9" fontId="0" fillId="39" borderId="11" xfId="0" applyNumberFormat="1" applyFill="1" applyBorder="1" applyProtection="1">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1"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0" fontId="46" fillId="39" borderId="12" xfId="82" applyFont="1" applyFill="1" applyBorder="1" applyProtection="1">
      <protection locked="0"/>
    </xf>
    <xf numFmtId="0" fontId="46" fillId="0" borderId="10" xfId="82" applyFont="1" applyBorder="1"/>
    <xf numFmtId="0" fontId="48" fillId="0" borderId="44" xfId="82" applyFont="1" applyBorder="1"/>
    <xf numFmtId="0" fontId="46" fillId="0" borderId="45" xfId="82" applyFont="1" applyBorder="1"/>
    <xf numFmtId="0" fontId="46" fillId="0" borderId="46"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2" fontId="46" fillId="39" borderId="12" xfId="82" applyNumberFormat="1" applyFont="1" applyFill="1" applyBorder="1" applyProtection="1">
      <protection locked="0"/>
    </xf>
    <xf numFmtId="0" fontId="46" fillId="0" borderId="22" xfId="82" applyFont="1" applyBorder="1"/>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9" fontId="46" fillId="39" borderId="29"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7" xfId="82" applyFont="1" applyBorder="1"/>
    <xf numFmtId="165" fontId="46" fillId="0" borderId="48" xfId="82" applyNumberFormat="1" applyFont="1" applyBorder="1"/>
    <xf numFmtId="3" fontId="46" fillId="39" borderId="29" xfId="82" applyNumberFormat="1" applyFont="1" applyFill="1" applyBorder="1" applyProtection="1">
      <protection locked="0"/>
    </xf>
    <xf numFmtId="3" fontId="46" fillId="0" borderId="47" xfId="82" applyNumberFormat="1" applyFont="1" applyBorder="1"/>
    <xf numFmtId="2" fontId="46" fillId="39" borderId="41"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27" fillId="0" borderId="0" xfId="82" applyFont="1" applyAlignment="1">
      <alignment vertical="top"/>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2" fillId="43" borderId="0" xfId="0" applyFont="1" applyFill="1"/>
    <xf numFmtId="0" fontId="72" fillId="43" borderId="20" xfId="0" applyFont="1" applyFill="1" applyBorder="1" applyAlignment="1">
      <alignment horizontal="center"/>
    </xf>
    <xf numFmtId="4" fontId="72" fillId="43" borderId="20" xfId="0" applyNumberFormat="1" applyFont="1" applyFill="1" applyBorder="1"/>
    <xf numFmtId="164" fontId="72" fillId="43" borderId="20" xfId="0" applyNumberFormat="1" applyFont="1" applyFill="1" applyBorder="1"/>
    <xf numFmtId="0" fontId="72" fillId="43" borderId="20" xfId="0" applyFont="1" applyFill="1" applyBorder="1"/>
    <xf numFmtId="0" fontId="72" fillId="43" borderId="17" xfId="0" applyFont="1" applyFill="1" applyBorder="1"/>
    <xf numFmtId="0" fontId="48" fillId="43" borderId="12" xfId="0" applyFont="1" applyFill="1" applyBorder="1" applyAlignment="1">
      <alignment horizontal="left" vertical="center"/>
    </xf>
    <xf numFmtId="0" fontId="74" fillId="24" borderId="49" xfId="0" applyFont="1" applyFill="1" applyBorder="1" applyAlignment="1">
      <alignment horizontal="center" vertical="center"/>
    </xf>
    <xf numFmtId="0" fontId="40" fillId="24" borderId="48" xfId="0" applyFont="1" applyFill="1" applyBorder="1" applyAlignment="1">
      <alignment vertical="center"/>
    </xf>
    <xf numFmtId="170" fontId="46" fillId="0" borderId="24" xfId="57" applyNumberFormat="1" applyFont="1" applyFill="1" applyBorder="1" applyProtection="1"/>
    <xf numFmtId="0" fontId="75"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0" xfId="0" applyFont="1" applyFill="1" applyBorder="1" applyAlignment="1">
      <alignment horizontal="center"/>
    </xf>
    <xf numFmtId="0" fontId="44" fillId="24" borderId="51" xfId="82" applyFont="1" applyFill="1" applyBorder="1" applyAlignment="1">
      <alignment horizontal="center"/>
    </xf>
    <xf numFmtId="0" fontId="44" fillId="24" borderId="51" xfId="110" applyFont="1" applyFill="1" applyBorder="1" applyAlignment="1">
      <alignment horizontal="center" wrapText="1"/>
    </xf>
    <xf numFmtId="3" fontId="44" fillId="24" borderId="51" xfId="110" applyNumberFormat="1" applyFont="1" applyFill="1" applyBorder="1" applyAlignment="1">
      <alignment horizontal="center" wrapText="1"/>
    </xf>
    <xf numFmtId="0" fontId="44" fillId="24" borderId="52" xfId="110" applyFont="1" applyFill="1" applyBorder="1" applyAlignment="1">
      <alignment horizontal="center" wrapText="1"/>
    </xf>
    <xf numFmtId="0" fontId="44" fillId="24" borderId="50" xfId="0" applyFont="1" applyFill="1" applyBorder="1" applyAlignment="1">
      <alignment horizontal="center" wrapText="1"/>
    </xf>
    <xf numFmtId="0" fontId="44" fillId="46" borderId="51" xfId="0" applyFont="1" applyFill="1" applyBorder="1" applyAlignment="1">
      <alignment horizontal="center" wrapText="1"/>
    </xf>
    <xf numFmtId="0" fontId="44" fillId="24" borderId="51" xfId="0" applyFont="1" applyFill="1" applyBorder="1" applyAlignment="1">
      <alignment horizontal="center" wrapText="1"/>
    </xf>
    <xf numFmtId="0" fontId="44" fillId="24" borderId="52" xfId="0" applyFont="1" applyFill="1" applyBorder="1" applyAlignment="1">
      <alignment horizontal="center" wrapText="1"/>
    </xf>
    <xf numFmtId="0" fontId="0" fillId="0" borderId="53"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9" fontId="0" fillId="0" borderId="19" xfId="0" applyNumberFormat="1" applyBorder="1"/>
    <xf numFmtId="9" fontId="0" fillId="0" borderId="25" xfId="0" applyNumberFormat="1" applyBorder="1"/>
    <xf numFmtId="0" fontId="0" fillId="0" borderId="54"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19" xfId="0" applyNumberFormat="1" applyBorder="1"/>
    <xf numFmtId="3" fontId="0" fillId="0" borderId="29" xfId="0" applyNumberFormat="1" applyBorder="1"/>
    <xf numFmtId="175" fontId="0" fillId="39" borderId="11" xfId="92" applyNumberFormat="1" applyFont="1" applyFill="1" applyBorder="1" applyProtection="1">
      <protection locked="0"/>
    </xf>
    <xf numFmtId="10" fontId="0" fillId="39" borderId="17" xfId="92" applyNumberFormat="1" applyFont="1" applyFill="1" applyBorder="1" applyProtection="1">
      <protection locked="0"/>
    </xf>
    <xf numFmtId="0" fontId="0" fillId="0" borderId="13" xfId="0" applyBorder="1" applyAlignment="1">
      <alignment wrapText="1"/>
    </xf>
    <xf numFmtId="0" fontId="77" fillId="25" borderId="11" xfId="0" applyFont="1" applyFill="1" applyBorder="1"/>
    <xf numFmtId="0" fontId="0" fillId="24" borderId="12" xfId="0" applyFill="1" applyBorder="1" applyAlignment="1">
      <alignment horizontal="center"/>
    </xf>
    <xf numFmtId="0" fontId="0" fillId="24" borderId="17" xfId="0" applyFill="1" applyBorder="1" applyAlignment="1">
      <alignment horizontal="center"/>
    </xf>
    <xf numFmtId="0" fontId="0" fillId="0" borderId="19" xfId="0" applyBorder="1" applyAlignment="1">
      <alignment horizontal="left"/>
    </xf>
    <xf numFmtId="0" fontId="0" fillId="0" borderId="19" xfId="0" applyBorder="1" applyAlignment="1">
      <alignment horizontal="left" wrapText="1"/>
    </xf>
    <xf numFmtId="169" fontId="0" fillId="24" borderId="11" xfId="0" applyNumberFormat="1" applyFill="1" applyBorder="1" applyProtection="1">
      <protection locked="0"/>
    </xf>
    <xf numFmtId="0" fontId="0" fillId="39" borderId="56" xfId="0" applyFill="1" applyBorder="1" applyProtection="1">
      <protection locked="0"/>
    </xf>
    <xf numFmtId="0" fontId="6" fillId="24" borderId="20" xfId="82" applyFont="1" applyFill="1" applyBorder="1" applyAlignment="1">
      <alignment horizontal="center"/>
    </xf>
    <xf numFmtId="0" fontId="48" fillId="24" borderId="19" xfId="82" applyFont="1" applyFill="1" applyBorder="1" applyAlignment="1">
      <alignment horizontal="center" wrapText="1"/>
    </xf>
    <xf numFmtId="0" fontId="48" fillId="24" borderId="23" xfId="82" applyFont="1" applyFill="1" applyBorder="1" applyAlignment="1">
      <alignment horizontal="center" wrapText="1"/>
    </xf>
    <xf numFmtId="0" fontId="48" fillId="24" borderId="17" xfId="82" applyFont="1" applyFill="1" applyBorder="1" applyAlignment="1">
      <alignment horizontal="center"/>
    </xf>
    <xf numFmtId="10" fontId="0" fillId="39" borderId="15" xfId="92" applyNumberFormat="1" applyFont="1" applyFill="1" applyBorder="1" applyProtection="1">
      <protection locked="0"/>
    </xf>
    <xf numFmtId="10" fontId="27" fillId="25" borderId="17" xfId="92" applyNumberFormat="1" applyFont="1" applyFill="1" applyBorder="1"/>
    <xf numFmtId="0" fontId="28" fillId="0" borderId="12" xfId="72" applyBorder="1" applyAlignment="1" applyProtection="1"/>
    <xf numFmtId="0" fontId="0" fillId="39" borderId="57" xfId="0" applyFill="1" applyBorder="1" applyProtection="1">
      <protection locked="0"/>
    </xf>
    <xf numFmtId="0" fontId="46" fillId="25" borderId="12" xfId="82" applyFont="1" applyFill="1" applyBorder="1" applyAlignment="1">
      <alignment horizontal="left"/>
    </xf>
    <xf numFmtId="0" fontId="46" fillId="0" borderId="15" xfId="82" applyFont="1" applyBorder="1"/>
    <xf numFmtId="0" fontId="0" fillId="0" borderId="35" xfId="0" applyBorder="1" applyAlignment="1">
      <alignment horizontal="right"/>
    </xf>
    <xf numFmtId="0" fontId="0" fillId="0" borderId="10" xfId="0" applyBorder="1" applyAlignment="1">
      <alignment wrapText="1"/>
    </xf>
    <xf numFmtId="0" fontId="0" fillId="0" borderId="22" xfId="0" applyBorder="1" applyAlignment="1">
      <alignment wrapText="1"/>
    </xf>
    <xf numFmtId="9" fontId="0" fillId="0" borderId="15" xfId="0" applyNumberFormat="1" applyBorder="1" applyAlignment="1">
      <alignment horizontal="right"/>
    </xf>
    <xf numFmtId="177" fontId="46" fillId="39" borderId="11" xfId="56" applyNumberFormat="1" applyFont="1" applyFill="1" applyBorder="1" applyProtection="1">
      <protection locked="0"/>
    </xf>
    <xf numFmtId="177" fontId="46" fillId="39" borderId="24" xfId="56" applyNumberFormat="1" applyFont="1" applyFill="1" applyBorder="1" applyProtection="1">
      <protection locked="0"/>
    </xf>
    <xf numFmtId="0" fontId="46" fillId="39" borderId="54" xfId="82" applyFont="1" applyFill="1" applyBorder="1" applyAlignment="1" applyProtection="1">
      <alignment horizontal="center"/>
      <protection locked="0"/>
    </xf>
    <xf numFmtId="0" fontId="46" fillId="39" borderId="15" xfId="82" applyFont="1" applyFill="1" applyBorder="1" applyAlignment="1" applyProtection="1">
      <alignment horizontal="center"/>
      <protection locked="0"/>
    </xf>
    <xf numFmtId="166" fontId="46" fillId="39" borderId="15" xfId="56" applyNumberFormat="1" applyFont="1" applyFill="1" applyBorder="1" applyProtection="1">
      <protection locked="0"/>
    </xf>
    <xf numFmtId="166" fontId="46" fillId="39" borderId="58" xfId="56" applyNumberFormat="1" applyFont="1" applyFill="1" applyBorder="1" applyProtection="1">
      <protection locked="0"/>
    </xf>
    <xf numFmtId="166" fontId="46" fillId="39" borderId="54" xfId="56" applyNumberFormat="1" applyFont="1" applyFill="1" applyBorder="1" applyProtection="1">
      <protection locked="0"/>
    </xf>
    <xf numFmtId="0" fontId="46" fillId="39" borderId="15" xfId="82" applyFont="1" applyFill="1" applyBorder="1" applyAlignment="1" applyProtection="1">
      <alignment horizontal="right"/>
      <protection locked="0"/>
    </xf>
    <xf numFmtId="0" fontId="46" fillId="39" borderId="15" xfId="82" applyFont="1" applyFill="1" applyBorder="1" applyProtection="1">
      <protection locked="0"/>
    </xf>
    <xf numFmtId="164" fontId="46" fillId="39" borderId="13" xfId="82" applyNumberFormat="1" applyFont="1" applyFill="1" applyBorder="1" applyProtection="1">
      <protection locked="0"/>
    </xf>
    <xf numFmtId="9" fontId="46" fillId="39" borderId="15" xfId="82" applyNumberFormat="1" applyFont="1" applyFill="1" applyBorder="1" applyProtection="1">
      <protection locked="0"/>
    </xf>
    <xf numFmtId="164" fontId="28" fillId="0" borderId="0" xfId="72" applyNumberFormat="1" applyBorder="1" applyAlignment="1" applyProtection="1"/>
    <xf numFmtId="166" fontId="27" fillId="25" borderId="0" xfId="56" applyNumberFormat="1" applyFont="1" applyFill="1" applyBorder="1" applyAlignment="1" applyProtection="1">
      <alignment horizontal="right"/>
      <protection locked="0"/>
    </xf>
    <xf numFmtId="165" fontId="48" fillId="25" borderId="0" xfId="82" applyNumberFormat="1" applyFont="1" applyFill="1"/>
    <xf numFmtId="4" fontId="46" fillId="39" borderId="11" xfId="82" applyNumberFormat="1" applyFont="1" applyFill="1" applyBorder="1" applyProtection="1">
      <protection locked="0"/>
    </xf>
    <xf numFmtId="10" fontId="46" fillId="39" borderId="11" xfId="92" applyNumberFormat="1" applyFont="1" applyFill="1" applyBorder="1" applyAlignment="1" applyProtection="1">
      <alignment horizontal="right"/>
      <protection locked="0"/>
    </xf>
    <xf numFmtId="177" fontId="46" fillId="39" borderId="29" xfId="56" applyNumberFormat="1" applyFont="1" applyFill="1" applyBorder="1" applyProtection="1">
      <protection locked="0"/>
    </xf>
    <xf numFmtId="177" fontId="46" fillId="0" borderId="10" xfId="82" applyNumberFormat="1" applyFont="1" applyBorder="1"/>
    <xf numFmtId="177" fontId="46" fillId="0" borderId="0" xfId="82" applyNumberFormat="1" applyFont="1"/>
    <xf numFmtId="177" fontId="46" fillId="0" borderId="47" xfId="82" applyNumberFormat="1" applyFont="1" applyBorder="1"/>
    <xf numFmtId="2" fontId="46" fillId="0" borderId="10" xfId="82" applyNumberFormat="1" applyFont="1" applyBorder="1"/>
    <xf numFmtId="2" fontId="46" fillId="0" borderId="0" xfId="82" applyNumberFormat="1" applyFont="1"/>
    <xf numFmtId="2" fontId="46" fillId="0" borderId="47" xfId="82" applyNumberFormat="1" applyFont="1" applyBorder="1"/>
    <xf numFmtId="1" fontId="46" fillId="39" borderId="11" xfId="82" applyNumberFormat="1" applyFont="1" applyFill="1" applyBorder="1" applyProtection="1">
      <protection locked="0"/>
    </xf>
    <xf numFmtId="1" fontId="46" fillId="39" borderId="41" xfId="82" applyNumberFormat="1" applyFont="1" applyFill="1" applyBorder="1" applyProtection="1">
      <protection locked="0"/>
    </xf>
    <xf numFmtId="1" fontId="46" fillId="0" borderId="10" xfId="82" applyNumberFormat="1" applyFont="1" applyBorder="1"/>
    <xf numFmtId="1" fontId="46" fillId="0" borderId="0" xfId="82" applyNumberFormat="1" applyFont="1"/>
    <xf numFmtId="1" fontId="46" fillId="0" borderId="47" xfId="82" applyNumberFormat="1" applyFont="1" applyBorder="1"/>
    <xf numFmtId="1" fontId="46" fillId="39" borderId="12" xfId="82" applyNumberFormat="1" applyFont="1" applyFill="1" applyBorder="1" applyProtection="1">
      <protection locked="0"/>
    </xf>
    <xf numFmtId="169" fontId="0" fillId="25" borderId="0" xfId="0" applyNumberFormat="1" applyFill="1" applyProtection="1">
      <protection locked="0"/>
    </xf>
    <xf numFmtId="169" fontId="0" fillId="25" borderId="0" xfId="0" applyNumberFormat="1" applyFill="1"/>
    <xf numFmtId="0" fontId="77" fillId="25" borderId="0" xfId="0" applyFont="1" applyFill="1"/>
    <xf numFmtId="0" fontId="0" fillId="25" borderId="0" xfId="0" applyFill="1" applyAlignment="1" applyProtection="1">
      <alignment horizontal="right"/>
      <protection locked="0"/>
    </xf>
    <xf numFmtId="176" fontId="0" fillId="25" borderId="0" xfId="92" applyNumberFormat="1" applyFont="1" applyFill="1" applyBorder="1" applyProtection="1">
      <protection locked="0"/>
    </xf>
    <xf numFmtId="165" fontId="27" fillId="24" borderId="35" xfId="0" applyNumberFormat="1" applyFont="1" applyFill="1" applyBorder="1" applyAlignment="1">
      <alignment wrapText="1"/>
    </xf>
    <xf numFmtId="0" fontId="44" fillId="0" borderId="13" xfId="0" applyFont="1" applyBorder="1" applyAlignment="1">
      <alignment wrapText="1"/>
    </xf>
    <xf numFmtId="165" fontId="44" fillId="0" borderId="21" xfId="0" applyNumberFormat="1" applyFont="1" applyBorder="1"/>
    <xf numFmtId="3" fontId="27" fillId="0" borderId="17" xfId="0" applyNumberFormat="1" applyFont="1" applyBorder="1"/>
    <xf numFmtId="0" fontId="48" fillId="24" borderId="23" xfId="0" applyFont="1" applyFill="1" applyBorder="1" applyAlignment="1">
      <alignment horizontal="left" vertical="center" wrapText="1"/>
    </xf>
    <xf numFmtId="0" fontId="44" fillId="24" borderId="13" xfId="0" applyFont="1" applyFill="1" applyBorder="1" applyAlignment="1">
      <alignment horizontal="left"/>
    </xf>
    <xf numFmtId="0" fontId="58" fillId="25" borderId="12" xfId="111" applyFont="1" applyFill="1" applyBorder="1" applyAlignment="1">
      <alignment horizontal="left" vertical="center" wrapText="1"/>
    </xf>
    <xf numFmtId="0" fontId="0" fillId="39" borderId="12" xfId="0" applyFill="1" applyBorder="1" applyAlignment="1" applyProtection="1">
      <alignment horizontal="right"/>
      <protection locked="0"/>
    </xf>
    <xf numFmtId="169" fontId="0" fillId="39" borderId="36" xfId="0" applyNumberFormat="1" applyFill="1" applyBorder="1" applyProtection="1">
      <protection locked="0"/>
    </xf>
    <xf numFmtId="169" fontId="0" fillId="39" borderId="59" xfId="0" applyNumberFormat="1" applyFill="1" applyBorder="1" applyProtection="1">
      <protection locked="0"/>
    </xf>
    <xf numFmtId="2" fontId="46" fillId="39" borderId="15" xfId="82" applyNumberFormat="1" applyFont="1" applyFill="1" applyBorder="1" applyProtection="1">
      <protection locked="0"/>
    </xf>
    <xf numFmtId="2" fontId="46" fillId="39" borderId="29" xfId="82" applyNumberFormat="1" applyFont="1" applyFill="1" applyBorder="1" applyProtection="1">
      <protection locked="0"/>
    </xf>
    <xf numFmtId="9" fontId="46" fillId="39" borderId="11" xfId="92" applyFont="1" applyFill="1" applyBorder="1" applyAlignment="1" applyProtection="1">
      <alignment horizontal="right"/>
      <protection locked="0"/>
    </xf>
    <xf numFmtId="0" fontId="46" fillId="25" borderId="0" xfId="82" applyFont="1" applyFill="1"/>
    <xf numFmtId="0" fontId="0" fillId="25" borderId="0" xfId="0" applyFill="1"/>
    <xf numFmtId="0" fontId="39" fillId="25" borderId="0" xfId="0" applyFont="1" applyFill="1"/>
    <xf numFmtId="3" fontId="0" fillId="25" borderId="0" xfId="0" applyNumberFormat="1" applyFill="1"/>
    <xf numFmtId="166" fontId="6" fillId="24" borderId="17" xfId="56" applyNumberFormat="1" applyFont="1" applyFill="1" applyBorder="1"/>
    <xf numFmtId="0" fontId="46" fillId="0" borderId="11" xfId="82" applyFont="1" applyBorder="1"/>
    <xf numFmtId="0" fontId="6" fillId="24" borderId="12" xfId="82" applyFont="1" applyFill="1" applyBorder="1" applyAlignment="1">
      <alignment horizontal="left"/>
    </xf>
    <xf numFmtId="0" fontId="46" fillId="39" borderId="11" xfId="82" applyFont="1" applyFill="1" applyBorder="1" applyAlignment="1" applyProtection="1">
      <alignment horizontal="left"/>
      <protection locked="0"/>
    </xf>
    <xf numFmtId="0" fontId="6" fillId="39" borderId="11" xfId="82" applyFont="1" applyFill="1" applyBorder="1" applyAlignment="1" applyProtection="1">
      <alignment horizontal="left"/>
      <protection locked="0"/>
    </xf>
    <xf numFmtId="0" fontId="6" fillId="39" borderId="11" xfId="82" applyFont="1" applyFill="1" applyBorder="1" applyAlignment="1" applyProtection="1">
      <alignment horizontal="right"/>
      <protection locked="0"/>
    </xf>
    <xf numFmtId="166" fontId="6" fillId="39" borderId="11" xfId="56" applyNumberFormat="1" applyFont="1" applyFill="1" applyBorder="1" applyProtection="1">
      <protection locked="0"/>
    </xf>
    <xf numFmtId="0" fontId="6" fillId="39" borderId="12" xfId="82" applyFont="1" applyFill="1" applyBorder="1" applyProtection="1">
      <protection locked="0"/>
    </xf>
    <xf numFmtId="166" fontId="6" fillId="25" borderId="0" xfId="56" applyNumberFormat="1" applyFont="1" applyFill="1" applyBorder="1"/>
    <xf numFmtId="166" fontId="6" fillId="24" borderId="0" xfId="56" applyNumberFormat="1" applyFont="1" applyFill="1" applyBorder="1"/>
    <xf numFmtId="0" fontId="46" fillId="24" borderId="0" xfId="82" applyFont="1" applyFill="1" applyAlignment="1">
      <alignment horizontal="center"/>
    </xf>
    <xf numFmtId="168" fontId="6" fillId="24" borderId="0" xfId="82" applyNumberFormat="1" applyFont="1" applyFill="1"/>
    <xf numFmtId="166" fontId="46" fillId="25" borderId="0" xfId="56" applyNumberFormat="1" applyFont="1" applyFill="1" applyBorder="1" applyAlignment="1" applyProtection="1">
      <alignment horizontal="center"/>
      <protection locked="0"/>
    </xf>
    <xf numFmtId="0" fontId="46" fillId="25" borderId="0" xfId="82" applyFont="1" applyFill="1" applyAlignment="1" applyProtection="1">
      <alignment horizontal="left"/>
      <protection locked="0"/>
    </xf>
    <xf numFmtId="0" fontId="6" fillId="25" borderId="0" xfId="82" applyFont="1" applyFill="1" applyAlignment="1" applyProtection="1">
      <alignment horizontal="left"/>
      <protection locked="0"/>
    </xf>
    <xf numFmtId="0" fontId="6" fillId="25" borderId="0" xfId="82" applyFont="1" applyFill="1" applyAlignment="1" applyProtection="1">
      <alignment horizontal="right"/>
      <protection locked="0"/>
    </xf>
    <xf numFmtId="166" fontId="6" fillId="25" borderId="0" xfId="56" applyNumberFormat="1" applyFont="1" applyFill="1" applyBorder="1" applyProtection="1">
      <protection locked="0"/>
    </xf>
    <xf numFmtId="0" fontId="6" fillId="25" borderId="0" xfId="82" applyFont="1" applyFill="1" applyProtection="1">
      <protection locked="0"/>
    </xf>
    <xf numFmtId="165" fontId="46" fillId="25" borderId="0" xfId="82" applyNumberFormat="1" applyFont="1" applyFill="1" applyProtection="1">
      <protection locked="0"/>
    </xf>
    <xf numFmtId="0" fontId="0" fillId="39" borderId="60" xfId="0" applyFill="1" applyBorder="1" applyAlignment="1" applyProtection="1">
      <alignment horizontal="center" wrapText="1"/>
      <protection locked="0"/>
    </xf>
    <xf numFmtId="0" fontId="0" fillId="39" borderId="0" xfId="0" applyFill="1" applyAlignment="1" applyProtection="1">
      <alignment horizontal="center" wrapText="1"/>
      <protection locked="0"/>
    </xf>
    <xf numFmtId="2" fontId="0" fillId="46" borderId="11" xfId="0" applyNumberFormat="1" applyFill="1" applyBorder="1" applyAlignment="1">
      <alignment horizontal="center"/>
    </xf>
    <xf numFmtId="0" fontId="0" fillId="39" borderId="61" xfId="0" applyFill="1" applyBorder="1" applyProtection="1">
      <protection locked="0"/>
    </xf>
    <xf numFmtId="10" fontId="0" fillId="0" borderId="56" xfId="92" applyNumberFormat="1" applyFont="1" applyFill="1" applyBorder="1"/>
    <xf numFmtId="10" fontId="0" fillId="0" borderId="43" xfId="92" applyNumberFormat="1" applyFont="1" applyFill="1" applyBorder="1"/>
    <xf numFmtId="0" fontId="0" fillId="24" borderId="19" xfId="0" applyFill="1" applyBorder="1"/>
    <xf numFmtId="0" fontId="0" fillId="0" borderId="20" xfId="0" applyBorder="1" applyAlignment="1">
      <alignment horizontal="left" vertical="center"/>
    </xf>
    <xf numFmtId="165" fontId="0" fillId="25" borderId="11" xfId="0" quotePrefix="1" applyNumberFormat="1" applyFill="1" applyBorder="1" applyAlignment="1">
      <alignment horizontal="center"/>
    </xf>
    <xf numFmtId="0" fontId="39" fillId="40" borderId="35" xfId="0" applyFont="1" applyFill="1" applyBorder="1"/>
    <xf numFmtId="165" fontId="0" fillId="0" borderId="11" xfId="0" applyNumberFormat="1" applyBorder="1" applyAlignment="1">
      <alignment horizontal="center"/>
    </xf>
    <xf numFmtId="0" fontId="0" fillId="42" borderId="18" xfId="0" applyFill="1" applyBorder="1"/>
    <xf numFmtId="0" fontId="46" fillId="42" borderId="0" xfId="0" applyFont="1" applyFill="1" applyAlignment="1">
      <alignment horizontal="left" vertical="center"/>
    </xf>
    <xf numFmtId="4" fontId="0" fillId="42" borderId="0" xfId="0" applyNumberFormat="1" applyFill="1"/>
    <xf numFmtId="0" fontId="0" fillId="42" borderId="0" xfId="0" applyFill="1" applyAlignment="1">
      <alignment horizontal="center"/>
    </xf>
    <xf numFmtId="164" fontId="0" fillId="42" borderId="0" xfId="0" applyNumberFormat="1" applyFill="1"/>
    <xf numFmtId="0" fontId="0" fillId="43" borderId="18" xfId="0" applyFill="1" applyBorder="1"/>
    <xf numFmtId="0" fontId="39" fillId="43" borderId="14" xfId="0" applyFont="1" applyFill="1" applyBorder="1"/>
    <xf numFmtId="0" fontId="0" fillId="44" borderId="18" xfId="0" applyFill="1" applyBorder="1"/>
    <xf numFmtId="0" fontId="39" fillId="44" borderId="14" xfId="0" applyFont="1" applyFill="1" applyBorder="1"/>
    <xf numFmtId="0" fontId="39" fillId="41" borderId="14" xfId="0" applyFont="1" applyFill="1" applyBorder="1"/>
    <xf numFmtId="2" fontId="0" fillId="0" borderId="11" xfId="0" applyNumberFormat="1" applyBorder="1"/>
    <xf numFmtId="0" fontId="0" fillId="41" borderId="18" xfId="0" applyFill="1" applyBorder="1"/>
    <xf numFmtId="165" fontId="0" fillId="25" borderId="11" xfId="0" applyNumberFormat="1" applyFill="1" applyBorder="1" applyAlignment="1">
      <alignment horizontal="center"/>
    </xf>
    <xf numFmtId="0" fontId="0" fillId="46" borderId="0" xfId="0" applyFill="1"/>
    <xf numFmtId="0" fontId="48" fillId="46" borderId="12" xfId="0" applyFont="1" applyFill="1" applyBorder="1" applyAlignment="1">
      <alignment horizontal="left" vertical="center"/>
    </xf>
    <xf numFmtId="4" fontId="0" fillId="46" borderId="20" xfId="0" applyNumberFormat="1" applyFill="1" applyBorder="1"/>
    <xf numFmtId="0" fontId="0" fillId="46" borderId="20" xfId="0" applyFill="1" applyBorder="1" applyAlignment="1">
      <alignment horizontal="center"/>
    </xf>
    <xf numFmtId="164" fontId="0" fillId="46" borderId="20" xfId="0" applyNumberFormat="1" applyFill="1" applyBorder="1"/>
    <xf numFmtId="0" fontId="0" fillId="46" borderId="20" xfId="0" applyFill="1" applyBorder="1"/>
    <xf numFmtId="0" fontId="0" fillId="46" borderId="17" xfId="0" applyFill="1" applyBorder="1"/>
    <xf numFmtId="0" fontId="39" fillId="46" borderId="0" xfId="0" applyFont="1" applyFill="1"/>
    <xf numFmtId="0" fontId="44" fillId="46" borderId="12" xfId="0" applyFont="1" applyFill="1" applyBorder="1" applyAlignment="1">
      <alignment horizontal="left"/>
    </xf>
    <xf numFmtId="0" fontId="39" fillId="46" borderId="20" xfId="0" applyFont="1" applyFill="1" applyBorder="1"/>
    <xf numFmtId="0" fontId="39" fillId="46" borderId="17" xfId="0" applyFont="1" applyFill="1" applyBorder="1"/>
    <xf numFmtId="0" fontId="39" fillId="46" borderId="10" xfId="0" applyFont="1" applyFill="1" applyBorder="1"/>
    <xf numFmtId="0" fontId="0" fillId="46" borderId="18" xfId="0" applyFill="1" applyBorder="1"/>
    <xf numFmtId="0" fontId="39" fillId="46" borderId="14" xfId="0" applyFont="1" applyFill="1" applyBorder="1"/>
    <xf numFmtId="0" fontId="46" fillId="46" borderId="12" xfId="82" applyFont="1" applyFill="1" applyBorder="1"/>
    <xf numFmtId="3" fontId="0" fillId="46" borderId="11" xfId="0" applyNumberFormat="1" applyFill="1" applyBorder="1"/>
    <xf numFmtId="0" fontId="0" fillId="46" borderId="12" xfId="0" applyFill="1" applyBorder="1" applyAlignment="1">
      <alignment horizontal="left"/>
    </xf>
    <xf numFmtId="0" fontId="46" fillId="0" borderId="12" xfId="82" applyFont="1" applyBorder="1" applyProtection="1">
      <protection locked="0"/>
    </xf>
    <xf numFmtId="0" fontId="0" fillId="25" borderId="17" xfId="0" applyFill="1" applyBorder="1"/>
    <xf numFmtId="165" fontId="44" fillId="0" borderId="11" xfId="0" applyNumberFormat="1" applyFont="1" applyBorder="1" applyAlignment="1">
      <alignment horizontal="center"/>
    </xf>
    <xf numFmtId="164" fontId="46" fillId="39" borderId="11" xfId="82" applyNumberFormat="1" applyFont="1" applyFill="1" applyBorder="1" applyProtection="1">
      <protection locked="0"/>
    </xf>
    <xf numFmtId="164" fontId="46" fillId="25" borderId="0" xfId="82" applyNumberFormat="1" applyFont="1" applyFill="1" applyProtection="1">
      <protection locked="0"/>
    </xf>
    <xf numFmtId="165" fontId="0" fillId="28" borderId="11" xfId="0" applyNumberFormat="1" applyFill="1" applyBorder="1" applyAlignment="1">
      <alignment horizontal="center"/>
    </xf>
    <xf numFmtId="0" fontId="46" fillId="0" borderId="20" xfId="0" applyFont="1" applyBorder="1" applyAlignment="1">
      <alignment horizontal="left"/>
    </xf>
    <xf numFmtId="3" fontId="44" fillId="0" borderId="20" xfId="0" applyNumberFormat="1" applyFont="1" applyBorder="1"/>
    <xf numFmtId="0" fontId="58" fillId="25" borderId="11" xfId="111" applyFont="1" applyFill="1" applyBorder="1" applyAlignment="1">
      <alignment horizontal="left" vertical="center"/>
    </xf>
    <xf numFmtId="0" fontId="58" fillId="25" borderId="11" xfId="111" applyFont="1" applyFill="1" applyBorder="1" applyAlignment="1">
      <alignment horizontal="left" vertical="center" wrapText="1"/>
    </xf>
    <xf numFmtId="0" fontId="78" fillId="0" borderId="0" xfId="82" applyFont="1"/>
    <xf numFmtId="165" fontId="0" fillId="0" borderId="11" xfId="56" applyNumberFormat="1" applyFont="1" applyFill="1" applyBorder="1"/>
    <xf numFmtId="0" fontId="28" fillId="0" borderId="0" xfId="72" applyFill="1" applyBorder="1" applyAlignment="1" applyProtection="1"/>
    <xf numFmtId="0" fontId="60" fillId="25" borderId="0" xfId="0" applyFont="1" applyFill="1" applyAlignment="1">
      <alignment vertical="center" wrapText="1"/>
    </xf>
    <xf numFmtId="0" fontId="27" fillId="25" borderId="0" xfId="0" applyFont="1" applyFill="1"/>
    <xf numFmtId="3" fontId="27" fillId="25" borderId="0" xfId="0" applyNumberFormat="1" applyFont="1" applyFill="1"/>
    <xf numFmtId="0" fontId="44" fillId="25" borderId="0" xfId="0" applyFont="1" applyFill="1"/>
    <xf numFmtId="0" fontId="48" fillId="25" borderId="0" xfId="0" applyFont="1" applyFill="1" applyAlignment="1">
      <alignment horizontal="left" vertical="center" wrapText="1"/>
    </xf>
    <xf numFmtId="0" fontId="46" fillId="0" borderId="35" xfId="82" applyFont="1" applyBorder="1"/>
    <xf numFmtId="0" fontId="46" fillId="25" borderId="0" xfId="82" applyFont="1" applyFill="1" applyProtection="1">
      <protection locked="0"/>
    </xf>
    <xf numFmtId="0" fontId="46" fillId="25" borderId="0" xfId="82" applyFont="1" applyFill="1" applyAlignment="1" applyProtection="1">
      <alignment horizontal="center"/>
      <protection locked="0"/>
    </xf>
    <xf numFmtId="166" fontId="46" fillId="25" borderId="0" xfId="56" applyNumberFormat="1" applyFont="1" applyFill="1" applyBorder="1" applyProtection="1">
      <protection locked="0"/>
    </xf>
    <xf numFmtId="0" fontId="46" fillId="25" borderId="0" xfId="82" applyFont="1" applyFill="1" applyAlignment="1" applyProtection="1">
      <alignment horizontal="right"/>
      <protection locked="0"/>
    </xf>
    <xf numFmtId="10" fontId="46" fillId="25" borderId="0" xfId="92" applyNumberFormat="1" applyFont="1" applyFill="1" applyBorder="1" applyAlignment="1" applyProtection="1">
      <alignment horizontal="right"/>
      <protection locked="0"/>
    </xf>
    <xf numFmtId="177" fontId="46" fillId="25" borderId="0" xfId="56" applyNumberFormat="1" applyFont="1" applyFill="1" applyBorder="1" applyProtection="1">
      <protection locked="0"/>
    </xf>
    <xf numFmtId="3" fontId="46" fillId="25" borderId="0" xfId="82" applyNumberFormat="1" applyFont="1" applyFill="1" applyProtection="1">
      <protection locked="0"/>
    </xf>
    <xf numFmtId="1" fontId="46" fillId="25" borderId="0" xfId="82" applyNumberFormat="1" applyFont="1" applyFill="1" applyProtection="1">
      <protection locked="0"/>
    </xf>
    <xf numFmtId="9" fontId="46" fillId="25" borderId="0" xfId="82" applyNumberFormat="1" applyFont="1" applyFill="1" applyProtection="1">
      <protection locked="0"/>
    </xf>
    <xf numFmtId="0" fontId="28" fillId="25" borderId="12" xfId="72" applyFill="1" applyBorder="1" applyAlignment="1" applyProtection="1"/>
    <xf numFmtId="9" fontId="0" fillId="39" borderId="42"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3" fontId="44" fillId="25" borderId="35" xfId="0" applyNumberFormat="1" applyFont="1" applyFill="1" applyBorder="1"/>
    <xf numFmtId="3" fontId="44" fillId="39" borderId="17" xfId="0" applyNumberFormat="1" applyFont="1" applyFill="1" applyBorder="1" applyProtection="1">
      <protection locked="0"/>
    </xf>
    <xf numFmtId="3" fontId="44" fillId="39" borderId="11" xfId="0" applyNumberFormat="1" applyFont="1" applyFill="1" applyBorder="1" applyProtection="1">
      <protection locked="0"/>
    </xf>
    <xf numFmtId="0" fontId="28" fillId="0" borderId="10" xfId="72" applyBorder="1" applyAlignment="1" applyProtection="1"/>
    <xf numFmtId="10" fontId="27" fillId="39" borderId="11" xfId="92" applyNumberFormat="1" applyFont="1" applyFill="1" applyBorder="1" applyProtection="1">
      <protection locked="0"/>
    </xf>
    <xf numFmtId="3" fontId="0" fillId="39" borderId="32" xfId="0" applyNumberFormat="1" applyFill="1" applyBorder="1" applyAlignment="1" applyProtection="1">
      <alignment horizontal="right"/>
      <protection locked="0"/>
    </xf>
    <xf numFmtId="3" fontId="0" fillId="39" borderId="31" xfId="0" applyNumberFormat="1" applyFill="1" applyBorder="1" applyAlignment="1" applyProtection="1">
      <alignment horizontal="right"/>
      <protection locked="0"/>
    </xf>
    <xf numFmtId="165" fontId="48" fillId="39" borderId="19" xfId="82" applyNumberFormat="1" applyFont="1" applyFill="1" applyBorder="1" applyProtection="1">
      <protection locked="0"/>
    </xf>
    <xf numFmtId="170" fontId="46" fillId="39" borderId="39" xfId="57" applyNumberFormat="1" applyFont="1" applyFill="1" applyBorder="1" applyAlignment="1" applyProtection="1">
      <alignment horizontal="right"/>
      <protection locked="0"/>
    </xf>
    <xf numFmtId="170" fontId="46" fillId="39" borderId="39" xfId="57" applyNumberFormat="1" applyFont="1" applyFill="1" applyBorder="1" applyProtection="1">
      <protection locked="0"/>
    </xf>
    <xf numFmtId="10" fontId="46" fillId="39" borderId="39" xfId="92" applyNumberFormat="1" applyFont="1" applyFill="1" applyBorder="1" applyProtection="1">
      <protection locked="0"/>
    </xf>
    <xf numFmtId="10" fontId="46" fillId="39" borderId="27" xfId="92" applyNumberFormat="1" applyFont="1" applyFill="1" applyBorder="1" applyProtection="1">
      <protection locked="0"/>
    </xf>
    <xf numFmtId="164" fontId="0" fillId="39" borderId="19" xfId="0" applyNumberFormat="1" applyFill="1" applyBorder="1" applyAlignment="1" applyProtection="1">
      <alignment horizontal="right" vertical="center"/>
      <protection locked="0"/>
    </xf>
    <xf numFmtId="164" fontId="0" fillId="39" borderId="29" xfId="0" applyNumberFormat="1" applyFill="1" applyBorder="1" applyAlignment="1" applyProtection="1">
      <alignment horizontal="right" vertical="center"/>
      <protection locked="0"/>
    </xf>
    <xf numFmtId="0" fontId="79" fillId="0" borderId="0" xfId="0" applyFont="1" applyAlignment="1">
      <alignment horizontal="left" vertical="center"/>
    </xf>
    <xf numFmtId="9" fontId="0" fillId="0" borderId="10" xfId="0" applyNumberFormat="1" applyBorder="1" applyAlignment="1">
      <alignment horizontal="right"/>
    </xf>
    <xf numFmtId="0" fontId="0" fillId="0" borderId="62" xfId="0" applyBorder="1"/>
    <xf numFmtId="9" fontId="0" fillId="0" borderId="20" xfId="0" applyNumberFormat="1" applyBorder="1" applyAlignment="1">
      <alignment horizontal="right"/>
    </xf>
    <xf numFmtId="0" fontId="0" fillId="0" borderId="63" xfId="0" applyBorder="1"/>
    <xf numFmtId="9" fontId="0" fillId="0" borderId="12" xfId="0" applyNumberFormat="1" applyBorder="1" applyAlignment="1">
      <alignment horizontal="left"/>
    </xf>
    <xf numFmtId="3" fontId="44" fillId="25" borderId="0" xfId="0" applyNumberFormat="1" applyFont="1" applyFill="1"/>
    <xf numFmtId="0" fontId="0" fillId="0" borderId="11" xfId="0" applyBorder="1" applyAlignment="1">
      <alignment wrapText="1"/>
    </xf>
    <xf numFmtId="0" fontId="46" fillId="42" borderId="0" xfId="0" applyFont="1" applyFill="1" applyAlignment="1">
      <alignment horizontal="center" wrapText="1"/>
    </xf>
    <xf numFmtId="0" fontId="39" fillId="42" borderId="0" xfId="0" applyFont="1" applyFill="1" applyAlignment="1">
      <alignment horizontal="center" wrapText="1"/>
    </xf>
    <xf numFmtId="0" fontId="0" fillId="42" borderId="0" xfId="0" applyFill="1" applyAlignment="1">
      <alignment horizontal="center" wrapText="1"/>
    </xf>
    <xf numFmtId="164" fontId="46" fillId="42" borderId="0" xfId="0" applyNumberFormat="1" applyFont="1" applyFill="1"/>
    <xf numFmtId="165" fontId="46" fillId="42" borderId="0" xfId="0" applyNumberFormat="1" applyFont="1" applyFill="1"/>
    <xf numFmtId="165" fontId="0" fillId="42" borderId="0" xfId="0" applyNumberFormat="1" applyFill="1"/>
    <xf numFmtId="165" fontId="44" fillId="42" borderId="0" xfId="0" applyNumberFormat="1" applyFont="1" applyFill="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25" borderId="20" xfId="72" applyFill="1" applyBorder="1" applyAlignment="1" applyProtection="1">
      <alignment horizontal="left" vertical="center" wrapText="1"/>
    </xf>
    <xf numFmtId="0" fontId="28" fillId="25" borderId="20" xfId="72" applyFill="1" applyBorder="1" applyAlignment="1" applyProtection="1">
      <alignment wrapText="1"/>
    </xf>
    <xf numFmtId="0" fontId="28" fillId="25" borderId="17" xfId="72" applyFill="1" applyBorder="1" applyAlignment="1" applyProtection="1">
      <alignment wrapText="1"/>
    </xf>
    <xf numFmtId="0" fontId="29" fillId="0" borderId="0" xfId="0" quotePrefix="1" applyFont="1" applyAlignment="1">
      <alignment wrapText="1"/>
    </xf>
    <xf numFmtId="0" fontId="0" fillId="0" borderId="0" xfId="0" applyAlignment="1">
      <alignmen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xfId="111" builtinId="17"/>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FFCC"/>
      <color rgb="FFE4ED69"/>
      <color rgb="FFFF00FF"/>
      <color rgb="FFE4E5B5"/>
      <color rgb="FF18646E"/>
      <color rgb="FF15434A"/>
      <color rgb="FF51560A"/>
      <color rgb="FF41441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371778</xdr:colOff>
      <xdr:row>57</xdr:row>
      <xdr:rowOff>229054</xdr:rowOff>
    </xdr:from>
    <xdr:to>
      <xdr:col>13</xdr:col>
      <xdr:colOff>369056</xdr:colOff>
      <xdr:row>57</xdr:row>
      <xdr:rowOff>973667</xdr:rowOff>
    </xdr:to>
    <xdr:sp macro="" textlink="">
      <xdr:nvSpPr>
        <xdr:cNvPr id="3" name="TextBox 1">
          <a:extLst>
            <a:ext uri="{FF2B5EF4-FFF2-40B4-BE49-F238E27FC236}">
              <a16:creationId xmlns:a16="http://schemas.microsoft.com/office/drawing/2014/main" id="{7882DA11-5016-EB76-2F30-36217998083A}"/>
            </a:ext>
          </a:extLst>
        </xdr:cNvPr>
        <xdr:cNvSpPr txBox="1"/>
      </xdr:nvSpPr>
      <xdr:spPr>
        <a:xfrm>
          <a:off x="541111" y="12897304"/>
          <a:ext cx="15480695" cy="7446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a:t>
          </a:r>
          <a:r>
            <a:rPr lang="en-GB" sz="1100" baseline="0"/>
            <a:t> the maintenance stage of treatment, m</a:t>
          </a:r>
          <a:r>
            <a:rPr lang="en-GB" sz="1100"/>
            <a:t>idostaurin and standard cytarabine</a:t>
          </a:r>
          <a:r>
            <a:rPr lang="en-GB" sz="1100" baseline="0"/>
            <a:t> chemotherapy is the comparator treatment for those who have not received an allo-HSCT transplant.  In the population that does go onto receive an allo-HSCT treatment, the comparator treatment becomes sorafenib because midostaurin</a:t>
          </a:r>
          <a:r>
            <a:rPr lang="en-GB" sz="1100" b="0" i="0" u="none" strike="noStrike" baseline="0">
              <a:solidFill>
                <a:schemeClr val="dk1"/>
              </a:solidFill>
              <a:latin typeface="+mn-lt"/>
              <a:ea typeface="+mn-ea"/>
              <a:cs typeface="+mn-cs"/>
            </a:rPr>
            <a:t> cannot be used for maintenance treatment after a stem cell transplant.  It is assumed that treatment with an HSCT transplant will not impact the induction and consolidation cycles of midostaurin outlined above.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238124</xdr:colOff>
      <xdr:row>41</xdr:row>
      <xdr:rowOff>67354</xdr:rowOff>
    </xdr:from>
    <xdr:to>
      <xdr:col>19</xdr:col>
      <xdr:colOff>35719</xdr:colOff>
      <xdr:row>43</xdr:row>
      <xdr:rowOff>452436</xdr:rowOff>
    </xdr:to>
    <xdr:sp macro="" textlink="">
      <xdr:nvSpPr>
        <xdr:cNvPr id="2" name="TextBox 1">
          <a:extLst>
            <a:ext uri="{FF2B5EF4-FFF2-40B4-BE49-F238E27FC236}">
              <a16:creationId xmlns:a16="http://schemas.microsoft.com/office/drawing/2014/main" id="{50B8A486-5F8B-CF78-3091-7E6899A235D2}"/>
            </a:ext>
          </a:extLst>
        </xdr:cNvPr>
        <xdr:cNvSpPr txBox="1"/>
      </xdr:nvSpPr>
      <xdr:spPr>
        <a:xfrm>
          <a:off x="238124" y="8568417"/>
          <a:ext cx="22740939" cy="74226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Single-agent maintenance therapy initiated at 26.5 mg once daily. </a:t>
          </a:r>
          <a:r>
            <a:rPr lang="en-GB" sz="1100">
              <a:solidFill>
                <a:schemeClr val="dk1"/>
              </a:solidFill>
              <a:effectLst/>
              <a:latin typeface="+mn-lt"/>
              <a:ea typeface="+mn-ea"/>
              <a:cs typeface="+mn-cs"/>
            </a:rPr>
            <a:t>After two weeks, if the QT interval (the interval between the start of the Q wave and the end of the T wave) corrected by Fridericia’s formula (QTcF) is ≤ 450 milliseconds (ms), the maintenance dose is increased to 53 mg (2 × 26.5 mg) once daily.  </a:t>
          </a:r>
          <a:r>
            <a:rPr lang="en-GB" sz="1100"/>
            <a:t>After 2 weeks the maintenance dose should be increased to 53 mg (2 × 26.5 mg) once daily if the QT interval corrected by Fridericia’s formula (QTcF) is ≤450 ms. </a:t>
          </a:r>
          <a:r>
            <a:rPr lang="en-GB" sz="1100" baseline="0"/>
            <a:t> </a:t>
          </a:r>
          <a:r>
            <a:rPr lang="en-GB" sz="1100" b="0" i="0" u="none" strike="noStrike">
              <a:solidFill>
                <a:schemeClr val="dk1"/>
              </a:solidFill>
              <a:effectLst/>
              <a:latin typeface="+mn-lt"/>
              <a:ea typeface="+mn-ea"/>
              <a:cs typeface="+mn-cs"/>
            </a:rPr>
            <a:t>23.3% of people received a maintenance dose of 26.5mg each day and 76.7% of people received an escalated maintenance dose of 26.5mg for 14 days and 53mg for 14 days (per the company economic model)</a:t>
          </a:r>
          <a:r>
            <a:rPr lang="en-GB"/>
            <a:t> </a:t>
          </a:r>
          <a:r>
            <a:rPr lang="en-GB" sz="1100"/>
            <a:t>Split </a:t>
          </a:r>
          <a:r>
            <a:rPr lang="en-GB" sz="1100" baseline="0"/>
            <a:t>of people receiving lower maintenance dose and escalated maintenance dose is shown in cells K26 and K27, K32 and K33 and K38 and K39.  Assumptions  can be amended locally.</a:t>
          </a:r>
          <a:endParaRPr lang="en-GB" sz="1100"/>
        </a:p>
      </xdr:txBody>
    </xdr:sp>
    <xdr:clientData/>
  </xdr:twoCellAnchor>
  <xdr:twoCellAnchor>
    <xdr:from>
      <xdr:col>0</xdr:col>
      <xdr:colOff>238125</xdr:colOff>
      <xdr:row>87</xdr:row>
      <xdr:rowOff>23812</xdr:rowOff>
    </xdr:from>
    <xdr:to>
      <xdr:col>18</xdr:col>
      <xdr:colOff>369094</xdr:colOff>
      <xdr:row>89</xdr:row>
      <xdr:rowOff>154781</xdr:rowOff>
    </xdr:to>
    <xdr:sp macro="" textlink="">
      <xdr:nvSpPr>
        <xdr:cNvPr id="3" name="TextBox 2">
          <a:extLst>
            <a:ext uri="{FF2B5EF4-FFF2-40B4-BE49-F238E27FC236}">
              <a16:creationId xmlns:a16="http://schemas.microsoft.com/office/drawing/2014/main" id="{9FB3701B-EC76-27F5-0717-42BF9BCDE8F7}"/>
            </a:ext>
          </a:extLst>
        </xdr:cNvPr>
        <xdr:cNvSpPr txBox="1"/>
      </xdr:nvSpPr>
      <xdr:spPr>
        <a:xfrm>
          <a:off x="238125" y="13406437"/>
          <a:ext cx="21907500" cy="48815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t>Sorafenib is given orally. Initial starting dose is 200mg twice a day and escalated to 400mg twice a day. Drug</a:t>
          </a:r>
          <a:r>
            <a:rPr lang="en-GB" baseline="0"/>
            <a:t> cost workings modelled above are taken from the economic model and portions receiving dose outlined can be amended locally in cells K82-K84</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baseline="0"/>
            <a:t>.</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257855</xdr:colOff>
      <xdr:row>8</xdr:row>
      <xdr:rowOff>10545</xdr:rowOff>
    </xdr:from>
    <xdr:to>
      <xdr:col>13</xdr:col>
      <xdr:colOff>448355</xdr:colOff>
      <xdr:row>10</xdr:row>
      <xdr:rowOff>35719</xdr:rowOff>
    </xdr:to>
    <xdr:sp macro="" textlink="">
      <xdr:nvSpPr>
        <xdr:cNvPr id="2" name="TextBox 1">
          <a:extLst>
            <a:ext uri="{FF2B5EF4-FFF2-40B4-BE49-F238E27FC236}">
              <a16:creationId xmlns:a16="http://schemas.microsoft.com/office/drawing/2014/main" id="{D6CD035D-70AD-2519-E1D6-075F43D11E81}"/>
            </a:ext>
          </a:extLst>
        </xdr:cNvPr>
        <xdr:cNvSpPr txBox="1"/>
      </xdr:nvSpPr>
      <xdr:spPr>
        <a:xfrm>
          <a:off x="9247074" y="2713264"/>
          <a:ext cx="5524500" cy="7514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a:t>
          </a:r>
          <a:r>
            <a:rPr lang="en-GB" sz="1100" baseline="0"/>
            <a:t> the population outlined on the left setting out the numbers who will receive quizartinib following an allo-HSCT transplant are a subset of the population outlined in the above table.  </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ngland.nhs.uk/wp-content/uploads/2023/11/2262-sorafenib-cc-policy.pdf" TargetMode="External"/><Relationship Id="rId13" Type="http://schemas.openxmlformats.org/officeDocument/2006/relationships/hyperlink" Target="https://hovon.nl/en/trials/ho156" TargetMode="Externa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bnf.nice.org.uk/drugs/daunorubicin-specialist-drug/medicinal-forms/" TargetMode="External"/><Relationship Id="rId12" Type="http://schemas.openxmlformats.org/officeDocument/2006/relationships/hyperlink" Target="https://pubmed.ncbi.nlm.nih.gov/11535508/" TargetMode="External"/><Relationship Id="rId17" Type="http://schemas.openxmlformats.org/officeDocument/2006/relationships/comments" Target="../comments1.xml"/><Relationship Id="rId2" Type="http://schemas.openxmlformats.org/officeDocument/2006/relationships/hyperlink" Target="https://www.nisra.gov.uk/statistics/population/mid-year-population-estimates" TargetMode="External"/><Relationship Id="rId16" Type="http://schemas.openxmlformats.org/officeDocument/2006/relationships/vmlDrawing" Target="../drawings/vmlDrawing2.vm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11" Type="http://schemas.openxmlformats.org/officeDocument/2006/relationships/hyperlink" Target="https://www.nice.org.uk/guidance/ta523/documents/committee-papers-2" TargetMode="External"/><Relationship Id="rId5"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15" Type="http://schemas.openxmlformats.org/officeDocument/2006/relationships/drawing" Target="../drawings/drawing1.xml"/><Relationship Id="rId10" Type="http://schemas.openxmlformats.org/officeDocument/2006/relationships/hyperlink" Target="https://view.officeapps.live.com/op/view.aspx?src=https%3A%2F%2Fassets.publishing.service.gov.uk%2Fmedia%2F660e955f9f92ac001a516c9f%2FeMIT-national-database-1-January-2023-to-31-December-2023.ods&amp;wdOrigin=BROWSELINK" TargetMode="External"/><Relationship Id="rId4" Type="http://schemas.openxmlformats.org/officeDocument/2006/relationships/hyperlink" Target="https://digital.nhs.uk/data-and-information/publications/statistical/cancer-registration-statistics/england-2021---full-release" TargetMode="External"/><Relationship Id="rId9" Type="http://schemas.openxmlformats.org/officeDocument/2006/relationships/hyperlink" Target="https://ascopubs.org/doi/10.1200/JCO.19.03345"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england.nhs.uk/pay-syst/national-tariff/national-tariff-payment-system/" TargetMode="External"/><Relationship Id="rId7" Type="http://schemas.openxmlformats.org/officeDocument/2006/relationships/hyperlink" Target="https://www.england.nhs.uk/pay-syst/national-tariff/national-tariff-payment-system/"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england.nhs.uk/publication/2021-22-national-cost-collection-data-publication/" TargetMode="External"/><Relationship Id="rId4" Type="http://schemas.openxmlformats.org/officeDocument/2006/relationships/hyperlink" Target="https://www.england.nhs.uk/publication/2021-22-national-cost-collection-data-publication/"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32"/>
  <sheetViews>
    <sheetView showGridLines="0" tabSelected="1" zoomScale="80" zoomScaleNormal="80" zoomScaleSheetLayoutView="80" workbookViewId="0"/>
  </sheetViews>
  <sheetFormatPr defaultRowHeight="14.4" x14ac:dyDescent="0.3"/>
  <cols>
    <col min="1" max="1" width="1.33203125" customWidth="1"/>
    <col min="2" max="2" width="1.77734375" customWidth="1"/>
    <col min="13" max="13" width="11" customWidth="1"/>
    <col min="14" max="14" width="8.5546875" customWidth="1"/>
    <col min="15" max="15" width="1.5546875" customWidth="1"/>
    <col min="16" max="16" width="1.33203125" customWidth="1"/>
    <col min="21" max="21" width="31" customWidth="1"/>
  </cols>
  <sheetData>
    <row r="2" spans="2:21" x14ac:dyDescent="0.3">
      <c r="B2" s="172"/>
      <c r="C2" s="313"/>
      <c r="D2" s="313"/>
      <c r="E2" s="313"/>
      <c r="F2" s="313"/>
      <c r="G2" s="313"/>
      <c r="H2" s="313"/>
      <c r="I2" s="313"/>
      <c r="J2" s="313"/>
      <c r="K2" s="313"/>
      <c r="L2" s="313"/>
      <c r="M2" s="313"/>
      <c r="N2" s="313"/>
      <c r="O2" s="157"/>
    </row>
    <row r="3" spans="2:21" x14ac:dyDescent="0.3">
      <c r="B3" s="160"/>
      <c r="O3" s="159"/>
    </row>
    <row r="4" spans="2:21" x14ac:dyDescent="0.3">
      <c r="B4" s="160"/>
      <c r="O4" s="159"/>
    </row>
    <row r="5" spans="2:21" x14ac:dyDescent="0.3">
      <c r="B5" s="160"/>
      <c r="O5" s="159"/>
    </row>
    <row r="6" spans="2:21" ht="47.4" x14ac:dyDescent="0.9">
      <c r="B6" s="160"/>
      <c r="O6" s="159"/>
      <c r="S6" s="347"/>
      <c r="U6" s="348"/>
    </row>
    <row r="7" spans="2:21" x14ac:dyDescent="0.3">
      <c r="B7" s="160"/>
      <c r="O7" s="159"/>
    </row>
    <row r="8" spans="2:21" x14ac:dyDescent="0.3">
      <c r="B8" s="160"/>
      <c r="O8" s="159"/>
    </row>
    <row r="9" spans="2:21" x14ac:dyDescent="0.3">
      <c r="B9" s="160"/>
      <c r="O9" s="159"/>
    </row>
    <row r="10" spans="2:21" x14ac:dyDescent="0.3">
      <c r="B10" s="160"/>
      <c r="C10" s="173"/>
      <c r="D10" s="173"/>
      <c r="E10" s="173"/>
      <c r="F10" s="173"/>
      <c r="G10" s="173"/>
      <c r="H10" s="173"/>
      <c r="I10" s="173"/>
      <c r="J10" s="173"/>
      <c r="K10" s="173"/>
      <c r="L10" s="173"/>
      <c r="M10" s="173"/>
      <c r="N10" s="173"/>
      <c r="O10" s="159"/>
    </row>
    <row r="11" spans="2:21" ht="31.2" x14ac:dyDescent="0.6">
      <c r="B11" s="160"/>
      <c r="C11" s="174" t="s">
        <v>0</v>
      </c>
      <c r="D11" s="173"/>
      <c r="E11" s="173"/>
      <c r="F11" s="173"/>
      <c r="G11" s="173"/>
      <c r="H11" s="173"/>
      <c r="I11" s="173"/>
      <c r="J11" s="173"/>
      <c r="K11" s="173"/>
      <c r="L11" s="173"/>
      <c r="M11" s="173"/>
      <c r="N11" s="173"/>
      <c r="O11" s="159"/>
    </row>
    <row r="12" spans="2:21" x14ac:dyDescent="0.3">
      <c r="B12" s="160"/>
      <c r="C12" s="173"/>
      <c r="D12" s="173"/>
      <c r="E12" s="173"/>
      <c r="F12" s="173"/>
      <c r="G12" s="173"/>
      <c r="H12" s="173"/>
      <c r="I12" s="173"/>
      <c r="J12" s="173"/>
      <c r="K12" s="173"/>
      <c r="L12" s="173"/>
      <c r="M12" s="173"/>
      <c r="N12" s="173"/>
      <c r="O12" s="159"/>
    </row>
    <row r="13" spans="2:21" x14ac:dyDescent="0.3">
      <c r="B13" s="160"/>
      <c r="O13" s="159"/>
    </row>
    <row r="14" spans="2:21" ht="31.2" x14ac:dyDescent="0.6">
      <c r="B14" s="160"/>
      <c r="C14" s="684" t="s">
        <v>1</v>
      </c>
      <c r="O14" s="159"/>
    </row>
    <row r="15" spans="2:21" ht="31.2" x14ac:dyDescent="0.3">
      <c r="B15" s="160"/>
      <c r="C15" s="330" t="s">
        <v>938</v>
      </c>
      <c r="O15" s="159"/>
    </row>
    <row r="16" spans="2:21" ht="31.2" x14ac:dyDescent="0.3">
      <c r="B16" s="160"/>
      <c r="C16" s="330" t="s">
        <v>1132</v>
      </c>
      <c r="O16" s="159"/>
    </row>
    <row r="17" spans="2:15" ht="31.2" x14ac:dyDescent="0.3">
      <c r="B17" s="160"/>
      <c r="C17" s="330" t="s">
        <v>939</v>
      </c>
      <c r="O17" s="159"/>
    </row>
    <row r="18" spans="2:15" ht="31.2" x14ac:dyDescent="0.6">
      <c r="B18" s="160"/>
      <c r="C18" s="175" t="s">
        <v>940</v>
      </c>
      <c r="D18" s="176"/>
      <c r="O18" s="159"/>
    </row>
    <row r="19" spans="2:15" ht="31.2" x14ac:dyDescent="0.6">
      <c r="B19" s="160"/>
      <c r="D19" s="176"/>
      <c r="O19" s="159"/>
    </row>
    <row r="20" spans="2:15" ht="31.2" x14ac:dyDescent="0.6">
      <c r="B20" s="160"/>
      <c r="C20" s="330" t="s">
        <v>1154</v>
      </c>
      <c r="D20" s="176"/>
      <c r="O20" s="159"/>
    </row>
    <row r="21" spans="2:15" ht="31.2" x14ac:dyDescent="0.6">
      <c r="B21" s="160"/>
      <c r="D21" s="176"/>
      <c r="O21" s="159"/>
    </row>
    <row r="22" spans="2:15" x14ac:dyDescent="0.3">
      <c r="B22" s="160"/>
      <c r="O22" s="159"/>
    </row>
    <row r="23" spans="2:15" x14ac:dyDescent="0.3">
      <c r="B23" s="160"/>
      <c r="O23" s="159"/>
    </row>
    <row r="24" spans="2:15" x14ac:dyDescent="0.3">
      <c r="B24" s="160"/>
      <c r="C24" s="149" t="s">
        <v>2</v>
      </c>
      <c r="D24" s="196"/>
      <c r="E24" s="168"/>
      <c r="F24" s="235" t="s">
        <v>941</v>
      </c>
      <c r="G24" s="196"/>
      <c r="H24" s="196"/>
      <c r="I24" s="196"/>
      <c r="J24" s="196"/>
      <c r="K24" s="196"/>
      <c r="L24" s="196"/>
      <c r="M24" s="168"/>
      <c r="O24" s="159"/>
    </row>
    <row r="25" spans="2:15" x14ac:dyDescent="0.3">
      <c r="B25" s="160"/>
      <c r="C25" s="149" t="s">
        <v>3</v>
      </c>
      <c r="D25" s="196"/>
      <c r="E25" s="168"/>
      <c r="F25" s="235" t="s">
        <v>942</v>
      </c>
      <c r="G25" s="196"/>
      <c r="H25" s="196"/>
      <c r="I25" s="196"/>
      <c r="J25" s="196"/>
      <c r="K25" s="196"/>
      <c r="L25" s="196"/>
      <c r="M25" s="168"/>
      <c r="O25" s="159"/>
    </row>
    <row r="26" spans="2:15" x14ac:dyDescent="0.3">
      <c r="B26" s="160"/>
      <c r="C26" s="149" t="s">
        <v>4</v>
      </c>
      <c r="D26" s="196"/>
      <c r="E26" s="168"/>
      <c r="F26" s="235" t="s">
        <v>1133</v>
      </c>
      <c r="G26" s="196"/>
      <c r="H26" s="196"/>
      <c r="I26" s="196"/>
      <c r="J26" s="196"/>
      <c r="K26" s="196"/>
      <c r="L26" s="196"/>
      <c r="M26" s="168"/>
      <c r="O26" s="159"/>
    </row>
    <row r="27" spans="2:15" x14ac:dyDescent="0.3">
      <c r="B27" s="160"/>
      <c r="C27" s="149" t="s">
        <v>5</v>
      </c>
      <c r="D27" s="196"/>
      <c r="E27" s="168"/>
      <c r="F27" s="235" t="s">
        <v>943</v>
      </c>
      <c r="G27" s="196"/>
      <c r="H27" s="196"/>
      <c r="I27" s="196"/>
      <c r="J27" s="196"/>
      <c r="K27" s="196"/>
      <c r="L27" s="196"/>
      <c r="M27" s="168"/>
      <c r="O27" s="159"/>
    </row>
    <row r="28" spans="2:15" x14ac:dyDescent="0.3">
      <c r="B28" s="160"/>
      <c r="C28" s="235" t="s">
        <v>6</v>
      </c>
      <c r="D28" s="196"/>
      <c r="E28" s="168"/>
      <c r="F28" s="235" t="s">
        <v>944</v>
      </c>
      <c r="G28" s="196"/>
      <c r="H28" s="196"/>
      <c r="I28" s="196"/>
      <c r="J28" s="196"/>
      <c r="K28" s="196"/>
      <c r="L28" s="196"/>
      <c r="M28" s="168"/>
      <c r="O28" s="159"/>
    </row>
    <row r="29" spans="2:15" x14ac:dyDescent="0.3">
      <c r="B29" s="160"/>
      <c r="C29" s="149" t="s">
        <v>7</v>
      </c>
      <c r="D29" s="196"/>
      <c r="E29" s="168"/>
      <c r="F29" s="235" t="s">
        <v>945</v>
      </c>
      <c r="G29" s="196"/>
      <c r="H29" s="196"/>
      <c r="I29" s="196"/>
      <c r="J29" s="196"/>
      <c r="K29" s="196"/>
      <c r="L29" s="196"/>
      <c r="M29" s="168"/>
      <c r="O29" s="159"/>
    </row>
    <row r="30" spans="2:15" x14ac:dyDescent="0.3">
      <c r="B30" s="160"/>
      <c r="C30" s="149" t="s">
        <v>8</v>
      </c>
      <c r="D30" s="196"/>
      <c r="E30" s="168"/>
      <c r="F30" s="235" t="s">
        <v>947</v>
      </c>
      <c r="G30" s="196"/>
      <c r="H30" s="196"/>
      <c r="I30" s="196"/>
      <c r="J30" s="196"/>
      <c r="K30" s="196"/>
      <c r="L30" s="196"/>
      <c r="M30" s="168"/>
      <c r="O30" s="159"/>
    </row>
    <row r="31" spans="2:15" x14ac:dyDescent="0.3">
      <c r="B31" s="160"/>
      <c r="C31" s="149" t="s">
        <v>9</v>
      </c>
      <c r="D31" s="196"/>
      <c r="E31" s="168"/>
      <c r="F31" s="235" t="s">
        <v>946</v>
      </c>
      <c r="G31" s="196"/>
      <c r="H31" s="196"/>
      <c r="I31" s="196"/>
      <c r="J31" s="196"/>
      <c r="K31" s="196"/>
      <c r="L31" s="196"/>
      <c r="M31" s="168"/>
      <c r="O31" s="159"/>
    </row>
    <row r="32" spans="2:15" x14ac:dyDescent="0.3">
      <c r="B32" s="161"/>
      <c r="C32" s="162"/>
      <c r="D32" s="162"/>
      <c r="E32" s="162"/>
      <c r="F32" s="162"/>
      <c r="G32" s="162"/>
      <c r="H32" s="162"/>
      <c r="I32" s="162"/>
      <c r="J32" s="162"/>
      <c r="K32" s="162"/>
      <c r="L32" s="162"/>
      <c r="M32" s="162"/>
      <c r="N32" s="162"/>
      <c r="O32" s="163"/>
    </row>
  </sheetData>
  <sheetProtection algorithmName="SHA-512" hashValue="OQ7VQtKD9kenVchwkKy33iERtPr1U1ykXJ1VR5gHZVDLUsmw1LfX4hwsCSqkUO3Bj7O+1pWgp5CVeIBU08+edw==" saltValue="Yybjmxnx1XAokp8efRXxJ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77734375" customWidth="1"/>
    <col min="3" max="3" width="20.5546875" customWidth="1"/>
    <col min="4" max="4" width="3.77734375" customWidth="1"/>
    <col min="5" max="5" width="20.5546875" customWidth="1"/>
    <col min="6" max="6" width="3.77734375" customWidth="1"/>
    <col min="7" max="7" width="20.5546875" customWidth="1"/>
    <col min="8" max="10" width="3.77734375" customWidth="1"/>
    <col min="11" max="11" width="20.5546875" customWidth="1"/>
    <col min="12" max="12" width="3.77734375" customWidth="1"/>
    <col min="13" max="13" width="20.5546875" customWidth="1"/>
    <col min="14" max="14" width="3.77734375" customWidth="1"/>
    <col min="15" max="15" width="20.5546875" customWidth="1"/>
    <col min="16" max="16" width="3.77734375" customWidth="1"/>
  </cols>
  <sheetData>
    <row r="2" spans="2:17" ht="25.8" x14ac:dyDescent="0.5">
      <c r="B2" s="370" t="s">
        <v>10</v>
      </c>
      <c r="C2" s="368"/>
      <c r="D2" s="368"/>
      <c r="E2" s="368"/>
      <c r="F2" s="368"/>
      <c r="G2" s="368"/>
      <c r="H2" s="368"/>
      <c r="I2" s="368"/>
      <c r="J2" s="368"/>
      <c r="K2" s="368"/>
      <c r="L2" s="368"/>
      <c r="M2" s="368"/>
      <c r="N2" s="368"/>
      <c r="O2" s="368"/>
      <c r="P2" s="369"/>
    </row>
    <row r="5" spans="2:17" x14ac:dyDescent="0.3">
      <c r="B5" s="225" t="s">
        <v>11</v>
      </c>
      <c r="C5" s="388"/>
      <c r="D5" s="388"/>
      <c r="E5" s="388"/>
      <c r="F5" s="388"/>
      <c r="G5" s="388"/>
      <c r="H5" s="388"/>
      <c r="I5" s="388"/>
      <c r="J5" s="388"/>
      <c r="K5" s="388"/>
      <c r="L5" s="388"/>
      <c r="M5" s="388"/>
      <c r="N5" s="388"/>
      <c r="O5" s="388"/>
      <c r="P5" s="226"/>
    </row>
    <row r="6" spans="2:17" x14ac:dyDescent="0.3">
      <c r="B6" s="230" t="s">
        <v>12</v>
      </c>
      <c r="C6" s="223"/>
      <c r="D6" s="223"/>
      <c r="E6" s="223"/>
      <c r="F6" s="223"/>
      <c r="G6" s="223"/>
      <c r="H6" s="223"/>
      <c r="I6" s="223"/>
      <c r="J6" s="223"/>
      <c r="K6" s="223"/>
      <c r="L6" s="223"/>
      <c r="M6" s="223"/>
      <c r="N6" s="223"/>
      <c r="O6" s="223"/>
      <c r="P6" s="231"/>
    </row>
    <row r="7" spans="2:17" x14ac:dyDescent="0.3">
      <c r="B7" s="228" t="s">
        <v>13</v>
      </c>
      <c r="C7" s="227"/>
      <c r="D7" s="227"/>
      <c r="E7" s="227"/>
      <c r="F7" s="227"/>
      <c r="G7" s="227"/>
      <c r="H7" s="227"/>
      <c r="I7" s="227"/>
      <c r="J7" s="227"/>
      <c r="K7" s="227"/>
      <c r="L7" s="227"/>
      <c r="M7" s="227"/>
      <c r="N7" s="227"/>
      <c r="O7" s="227"/>
      <c r="P7" s="229"/>
    </row>
    <row r="9" spans="2:17" x14ac:dyDescent="0.3">
      <c r="N9" s="449"/>
      <c r="O9" s="449"/>
      <c r="P9" s="449"/>
    </row>
    <row r="10" spans="2:17" x14ac:dyDescent="0.3">
      <c r="B10" s="225"/>
      <c r="C10" s="388"/>
      <c r="D10" s="388"/>
      <c r="E10" s="388"/>
      <c r="F10" s="388"/>
      <c r="G10" s="388"/>
      <c r="H10" s="226"/>
      <c r="J10" s="225"/>
      <c r="K10" s="388"/>
      <c r="L10" s="388"/>
      <c r="M10" s="388"/>
      <c r="N10" s="223"/>
      <c r="O10" s="223"/>
      <c r="P10" s="223"/>
      <c r="Q10" s="160"/>
    </row>
    <row r="11" spans="2:17" ht="46.8" x14ac:dyDescent="0.3">
      <c r="B11" s="230"/>
      <c r="C11" s="355" t="s">
        <v>14</v>
      </c>
      <c r="D11" s="452"/>
      <c r="E11" s="355" t="s">
        <v>15</v>
      </c>
      <c r="F11" s="452"/>
      <c r="G11" s="448" t="s">
        <v>16</v>
      </c>
      <c r="H11" s="453"/>
      <c r="I11" s="356"/>
      <c r="J11" s="456"/>
      <c r="K11" s="357" t="s">
        <v>17</v>
      </c>
      <c r="L11" s="456"/>
      <c r="M11" s="357" t="s">
        <v>18</v>
      </c>
      <c r="N11" s="452"/>
      <c r="O11" s="357" t="s">
        <v>19</v>
      </c>
      <c r="P11" s="452"/>
      <c r="Q11" s="160"/>
    </row>
    <row r="12" spans="2:17" x14ac:dyDescent="0.3">
      <c r="B12" s="230"/>
      <c r="C12" s="223"/>
      <c r="D12" s="223"/>
      <c r="E12" s="223"/>
      <c r="F12" s="223"/>
      <c r="G12" s="223"/>
      <c r="H12" s="231"/>
      <c r="J12" s="230"/>
      <c r="K12" s="223"/>
      <c r="L12" s="223"/>
      <c r="M12" s="223"/>
      <c r="N12" s="223"/>
      <c r="O12" s="223"/>
      <c r="P12" s="223"/>
      <c r="Q12" s="160"/>
    </row>
    <row r="13" spans="2:17" ht="40.049999999999997" customHeight="1" x14ac:dyDescent="0.3">
      <c r="B13" s="230"/>
      <c r="C13" s="450"/>
      <c r="D13" s="196"/>
      <c r="E13" s="505" t="s">
        <v>20</v>
      </c>
      <c r="F13" s="196"/>
      <c r="G13" s="451"/>
      <c r="H13" s="231"/>
      <c r="J13" s="230"/>
      <c r="K13" s="450"/>
      <c r="L13" s="196"/>
      <c r="M13" s="506" t="s">
        <v>21</v>
      </c>
      <c r="N13" s="196"/>
      <c r="O13" s="451"/>
      <c r="P13" s="223"/>
      <c r="Q13" s="160"/>
    </row>
    <row r="14" spans="2:17" x14ac:dyDescent="0.3">
      <c r="B14" s="230"/>
      <c r="C14" s="223"/>
      <c r="D14" s="223"/>
      <c r="E14" s="223"/>
      <c r="F14" s="223"/>
      <c r="G14" s="223"/>
      <c r="H14" s="231"/>
      <c r="J14" s="230"/>
      <c r="K14" s="223"/>
      <c r="L14" s="223"/>
      <c r="M14" s="223"/>
      <c r="N14" s="223"/>
      <c r="O14" s="223"/>
      <c r="P14" s="223"/>
      <c r="Q14" s="160"/>
    </row>
    <row r="15" spans="2:17" ht="213.75" customHeight="1" x14ac:dyDescent="0.3">
      <c r="B15" s="230"/>
      <c r="C15" s="352" t="s">
        <v>22</v>
      </c>
      <c r="D15" s="454"/>
      <c r="E15" s="353" t="s">
        <v>23</v>
      </c>
      <c r="F15" s="454"/>
      <c r="G15" s="351" t="s">
        <v>24</v>
      </c>
      <c r="H15" s="455"/>
      <c r="I15" s="241"/>
      <c r="J15" s="457"/>
      <c r="K15" s="354" t="s">
        <v>25</v>
      </c>
      <c r="L15" s="457"/>
      <c r="M15" s="392" t="s">
        <v>26</v>
      </c>
      <c r="N15" s="454"/>
      <c r="O15" s="392" t="s">
        <v>27</v>
      </c>
      <c r="P15" s="454"/>
      <c r="Q15" s="160"/>
    </row>
    <row r="16" spans="2:17" x14ac:dyDescent="0.3">
      <c r="B16" s="228"/>
      <c r="C16" s="227"/>
      <c r="D16" s="227"/>
      <c r="E16" s="227"/>
      <c r="F16" s="227"/>
      <c r="G16" s="227"/>
      <c r="H16" s="229"/>
      <c r="J16" s="228"/>
      <c r="K16" s="227"/>
      <c r="L16" s="458"/>
      <c r="M16" s="458"/>
      <c r="N16" s="458"/>
      <c r="O16" s="458"/>
      <c r="P16" s="458"/>
      <c r="Q16" s="160"/>
    </row>
    <row r="19" spans="2:16" x14ac:dyDescent="0.3">
      <c r="B19" s="225"/>
      <c r="C19" s="388"/>
      <c r="D19" s="388"/>
      <c r="E19" s="388"/>
      <c r="F19" s="388"/>
      <c r="G19" s="388"/>
      <c r="H19" s="388"/>
      <c r="I19" s="388"/>
      <c r="J19" s="388"/>
      <c r="K19" s="388"/>
      <c r="L19" s="388"/>
      <c r="M19" s="388"/>
      <c r="N19" s="388"/>
      <c r="O19" s="388"/>
      <c r="P19" s="226"/>
    </row>
    <row r="20" spans="2:16" x14ac:dyDescent="0.3">
      <c r="B20" s="230" t="s">
        <v>28</v>
      </c>
      <c r="C20" s="223"/>
      <c r="D20" s="223"/>
      <c r="E20" s="223"/>
      <c r="F20" s="223"/>
      <c r="G20" s="223"/>
      <c r="H20" s="223"/>
      <c r="I20" s="223"/>
      <c r="J20" s="223"/>
      <c r="K20" s="223"/>
      <c r="L20" s="223"/>
      <c r="M20" s="223"/>
      <c r="N20" s="223"/>
      <c r="O20" s="223"/>
      <c r="P20" s="231"/>
    </row>
    <row r="21" spans="2:16" x14ac:dyDescent="0.3">
      <c r="B21" s="459" t="s">
        <v>29</v>
      </c>
      <c r="C21" s="223"/>
      <c r="D21" s="223"/>
      <c r="E21" s="223"/>
      <c r="F21" s="223"/>
      <c r="G21" s="223"/>
      <c r="H21" s="223"/>
      <c r="I21" s="223"/>
      <c r="J21" s="223"/>
      <c r="K21" s="223"/>
      <c r="L21" s="223"/>
      <c r="M21" s="223"/>
      <c r="N21" s="223"/>
      <c r="O21" s="223"/>
      <c r="P21" s="231"/>
    </row>
    <row r="22" spans="2:16" x14ac:dyDescent="0.3">
      <c r="B22" s="460" t="s">
        <v>30</v>
      </c>
      <c r="C22" s="223"/>
      <c r="D22" s="223"/>
      <c r="E22" s="223"/>
      <c r="F22" s="223"/>
      <c r="G22" s="223"/>
      <c r="H22" s="223"/>
      <c r="I22" s="223"/>
      <c r="J22" s="223"/>
      <c r="K22" s="223"/>
      <c r="L22" s="223"/>
      <c r="M22" s="223"/>
      <c r="N22" s="223"/>
      <c r="O22" s="223"/>
      <c r="P22" s="231"/>
    </row>
    <row r="23" spans="2:16" x14ac:dyDescent="0.3">
      <c r="B23" s="461" t="s">
        <v>31</v>
      </c>
      <c r="C23" s="223"/>
      <c r="D23" s="223"/>
      <c r="E23" s="223"/>
      <c r="F23" s="223"/>
      <c r="G23" s="223"/>
      <c r="H23" s="223"/>
      <c r="I23" s="223"/>
      <c r="J23" s="223"/>
      <c r="K23" s="223"/>
      <c r="L23" s="223"/>
      <c r="M23" s="223"/>
      <c r="N23" s="223"/>
      <c r="O23" s="223"/>
      <c r="P23" s="231"/>
    </row>
    <row r="24" spans="2:16" x14ac:dyDescent="0.3">
      <c r="B24" s="460" t="s">
        <v>32</v>
      </c>
      <c r="C24" s="223"/>
      <c r="D24" s="223"/>
      <c r="E24" s="223"/>
      <c r="F24" s="223"/>
      <c r="G24" s="223"/>
      <c r="H24" s="223"/>
      <c r="I24" s="223"/>
      <c r="J24" s="223"/>
      <c r="K24" s="223"/>
      <c r="L24" s="223"/>
      <c r="M24" s="223"/>
      <c r="N24" s="223"/>
      <c r="O24" s="223"/>
      <c r="P24" s="231"/>
    </row>
    <row r="25" spans="2:16" x14ac:dyDescent="0.3">
      <c r="B25" s="460" t="s">
        <v>33</v>
      </c>
      <c r="C25" s="223"/>
      <c r="D25" s="223"/>
      <c r="E25" s="223"/>
      <c r="F25" s="223"/>
      <c r="G25" s="223"/>
      <c r="H25" s="223"/>
      <c r="I25" s="223"/>
      <c r="J25" s="223"/>
      <c r="K25" s="223"/>
      <c r="L25" s="223"/>
      <c r="M25" s="223"/>
      <c r="N25" s="223"/>
      <c r="O25" s="223"/>
      <c r="P25" s="231"/>
    </row>
    <row r="26" spans="2:16" x14ac:dyDescent="0.3">
      <c r="B26" s="230"/>
      <c r="C26" s="223"/>
      <c r="D26" s="223"/>
      <c r="E26" s="223"/>
      <c r="F26" s="223"/>
      <c r="G26" s="223"/>
      <c r="H26" s="223"/>
      <c r="I26" s="223"/>
      <c r="J26" s="223"/>
      <c r="K26" s="223"/>
      <c r="L26" s="223"/>
      <c r="M26" s="223"/>
      <c r="N26" s="223"/>
      <c r="O26" s="223"/>
      <c r="P26" s="231"/>
    </row>
    <row r="27" spans="2:16" x14ac:dyDescent="0.3">
      <c r="B27" s="462" t="s">
        <v>34</v>
      </c>
      <c r="C27" s="223"/>
      <c r="D27" s="223"/>
      <c r="E27" s="223"/>
      <c r="F27" s="223"/>
      <c r="G27" s="223"/>
      <c r="H27" s="223"/>
      <c r="I27" s="223"/>
      <c r="J27" s="223"/>
      <c r="K27" s="223"/>
      <c r="L27" s="223"/>
      <c r="M27" s="223"/>
      <c r="N27" s="223"/>
      <c r="O27" s="223"/>
      <c r="P27" s="231"/>
    </row>
    <row r="28" spans="2:16" x14ac:dyDescent="0.3">
      <c r="B28" s="228"/>
      <c r="C28" s="227"/>
      <c r="D28" s="227"/>
      <c r="E28" s="227"/>
      <c r="F28" s="227"/>
      <c r="G28" s="227"/>
      <c r="H28" s="227"/>
      <c r="I28" s="227"/>
      <c r="J28" s="227"/>
      <c r="K28" s="227"/>
      <c r="L28" s="227"/>
      <c r="M28" s="227"/>
      <c r="N28" s="227"/>
      <c r="O28" s="227"/>
      <c r="P28" s="229"/>
    </row>
  </sheetData>
  <sheetProtection algorithmName="SHA-512" hashValue="JRr7WUcMP5xutJGoq4hcJBOUaEE8JVofjYVsGvb11+g/OCfwMTxqVUhXwpaTTA3aDa/xMcVbKxYKV5RUeiaG9A==" saltValue="lGgq0xCHcLQBiHxToc+NV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21875" defaultRowHeight="13.8" x14ac:dyDescent="0.25"/>
  <cols>
    <col min="1" max="1" width="24.33203125" style="11" customWidth="1"/>
    <col min="2" max="2" width="49.33203125" style="11" customWidth="1"/>
    <col min="3" max="3" width="63.5546875" style="15" customWidth="1"/>
    <col min="4" max="4" width="20.33203125" style="11" customWidth="1"/>
    <col min="5" max="12" width="21" style="11" customWidth="1"/>
    <col min="13" max="13" width="22.77734375" style="11" customWidth="1"/>
    <col min="14" max="14" width="22.5546875" style="11" customWidth="1"/>
    <col min="15" max="15" width="25.77734375" style="11" customWidth="1"/>
    <col min="16" max="16" width="10.77734375" style="11" customWidth="1"/>
    <col min="17" max="17" width="15.21875" style="12" customWidth="1"/>
    <col min="18" max="18" width="20.21875" style="12" customWidth="1"/>
    <col min="19" max="23" width="10.77734375" style="12" customWidth="1"/>
    <col min="24" max="42" width="10.77734375" style="12" hidden="1" customWidth="1"/>
    <col min="43" max="50" width="10.77734375" style="13" hidden="1" customWidth="1"/>
    <col min="51" max="100" width="10.77734375" style="1" hidden="1" customWidth="1"/>
    <col min="101" max="106" width="10.77734375" style="1" customWidth="1"/>
    <col min="107" max="190" width="10.77734375" style="11" hidden="1" customWidth="1"/>
    <col min="191" max="193" width="10.77734375" style="11" customWidth="1"/>
    <col min="194" max="194" width="10.33203125" style="11" customWidth="1"/>
    <col min="195" max="16384" width="9.21875" style="11"/>
  </cols>
  <sheetData>
    <row r="1" spans="2:106" x14ac:dyDescent="0.25">
      <c r="B1" s="9" t="s">
        <v>35</v>
      </c>
      <c r="C1" s="102"/>
      <c r="D1" s="22"/>
      <c r="E1" s="10" t="s">
        <v>36</v>
      </c>
      <c r="F1" s="7"/>
      <c r="G1" s="7"/>
    </row>
    <row r="3" spans="2:106" x14ac:dyDescent="0.25">
      <c r="B3" s="92" t="s">
        <v>37</v>
      </c>
      <c r="C3" s="511"/>
      <c r="D3" s="512"/>
      <c r="E3" s="512"/>
      <c r="F3" s="512"/>
      <c r="G3" s="93"/>
    </row>
    <row r="4" spans="2:106" x14ac:dyDescent="0.25">
      <c r="B4" s="94"/>
      <c r="C4" s="95"/>
      <c r="D4" s="7"/>
      <c r="E4" s="7"/>
      <c r="F4" s="7"/>
      <c r="G4" s="96"/>
      <c r="L4" s="9" t="s">
        <v>38</v>
      </c>
      <c r="M4" s="9" t="s">
        <v>38</v>
      </c>
      <c r="N4" s="9" t="s">
        <v>39</v>
      </c>
      <c r="O4" s="9" t="s">
        <v>39</v>
      </c>
      <c r="P4" s="9" t="s">
        <v>40</v>
      </c>
      <c r="R4" s="169" t="s">
        <v>41</v>
      </c>
      <c r="S4" s="169" t="s">
        <v>42</v>
      </c>
      <c r="T4" s="169" t="s">
        <v>43</v>
      </c>
      <c r="V4" s="169" t="s">
        <v>44</v>
      </c>
    </row>
    <row r="5" spans="2:106" ht="27.6" x14ac:dyDescent="0.25">
      <c r="B5" s="97" t="s">
        <v>45</v>
      </c>
      <c r="C5" s="95"/>
      <c r="D5" s="7"/>
      <c r="E5" s="7"/>
      <c r="F5" s="7"/>
      <c r="G5" s="96"/>
      <c r="L5" s="16" t="s">
        <v>46</v>
      </c>
      <c r="M5" s="16" t="s">
        <v>47</v>
      </c>
      <c r="N5" s="16" t="s">
        <v>48</v>
      </c>
      <c r="O5" s="16" t="s">
        <v>49</v>
      </c>
      <c r="P5" s="19"/>
      <c r="Q5" s="17"/>
      <c r="R5" s="16" t="s">
        <v>49</v>
      </c>
      <c r="S5" s="138" t="s">
        <v>50</v>
      </c>
      <c r="V5" s="139">
        <v>4</v>
      </c>
    </row>
    <row r="6" spans="2:106"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1" t="s">
        <v>54</v>
      </c>
      <c r="S6" s="138" t="s">
        <v>55</v>
      </c>
      <c r="V6" s="139">
        <v>5</v>
      </c>
    </row>
    <row r="7" spans="2:106" x14ac:dyDescent="0.25">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1" t="s">
        <v>58</v>
      </c>
      <c r="S7" s="387"/>
      <c r="V7" s="139">
        <v>6</v>
      </c>
    </row>
    <row r="8" spans="2:106" ht="19.5" customHeight="1" x14ac:dyDescent="0.25">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4" x14ac:dyDescent="0.3">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5">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6.05" customHeight="1" x14ac:dyDescent="0.25">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9">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5">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25">
      <c r="B16" s="203" t="s">
        <v>87</v>
      </c>
      <c r="C16" s="204">
        <f>IF(C15&gt;0,C14,C15)</f>
        <v>57106398</v>
      </c>
      <c r="D16" s="204">
        <f>IF(D15&gt;0,D14,D15)</f>
        <v>21895402</v>
      </c>
      <c r="E16" s="204">
        <f>IF(E15&gt;0,E14,E15)</f>
        <v>23324090</v>
      </c>
      <c r="F16" s="204">
        <f>SUM(F15)</f>
        <v>45219492</v>
      </c>
      <c r="L16" s="22"/>
      <c r="M16" s="22"/>
      <c r="P16" s="385">
        <f>COUNTIF(P6:P14, TRUE)</f>
        <v>9</v>
      </c>
    </row>
    <row r="17" spans="1:194" x14ac:dyDescent="0.25">
      <c r="Q17" s="23"/>
      <c r="R17" s="23"/>
    </row>
    <row r="18" spans="1:194" ht="45.6" customHeight="1" x14ac:dyDescent="0.25">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126"/>
      <c r="CZ20" s="514" t="s">
        <v>94</v>
      </c>
      <c r="DA20" s="514"/>
      <c r="DB20" s="514"/>
      <c r="DC20" s="514"/>
      <c r="DD20" s="514"/>
      <c r="DE20" s="514"/>
      <c r="DF20" s="514"/>
      <c r="DG20" s="514"/>
      <c r="DH20" s="514"/>
      <c r="DI20" s="514"/>
      <c r="DJ20" s="514"/>
      <c r="DK20" s="514"/>
      <c r="DL20" s="514"/>
      <c r="DM20" s="514"/>
      <c r="DN20" s="514"/>
      <c r="DO20" s="514"/>
      <c r="DP20" s="514"/>
      <c r="DQ20" s="514"/>
      <c r="DR20" s="514"/>
      <c r="DS20" s="514"/>
      <c r="DT20" s="514"/>
      <c r="DU20" s="514"/>
      <c r="DV20" s="514"/>
      <c r="DW20" s="514"/>
      <c r="DX20" s="514"/>
      <c r="DY20" s="514"/>
      <c r="DZ20" s="514"/>
      <c r="EA20" s="514"/>
      <c r="EB20" s="514"/>
      <c r="EC20" s="514"/>
      <c r="ED20" s="514"/>
      <c r="EE20" s="514"/>
      <c r="EF20" s="514"/>
      <c r="EG20" s="514"/>
      <c r="EH20" s="514"/>
      <c r="EI20" s="514"/>
      <c r="EJ20" s="514"/>
      <c r="EK20" s="514"/>
      <c r="EL20" s="514"/>
      <c r="EM20" s="514"/>
      <c r="EN20" s="514"/>
      <c r="EO20" s="514"/>
      <c r="EP20" s="514"/>
      <c r="EQ20" s="514"/>
      <c r="ER20" s="514"/>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4"/>
      <c r="GD20" s="514"/>
      <c r="GE20" s="514"/>
      <c r="GF20" s="514"/>
      <c r="GG20" s="514"/>
      <c r="GH20" s="514"/>
      <c r="GI20" s="514"/>
      <c r="GJ20" s="514"/>
      <c r="GK20" s="514"/>
      <c r="GL20" s="122"/>
    </row>
    <row r="21" spans="1:194" s="8" customFormat="1" ht="27.6"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5">
      <c r="A22" s="30"/>
      <c r="B22" s="72"/>
      <c r="C22" s="60"/>
      <c r="D22" s="78"/>
      <c r="E22" s="78"/>
      <c r="F22" s="515"/>
      <c r="G22" s="515"/>
      <c r="H22" s="78"/>
      <c r="I22" s="78"/>
      <c r="J22" s="78"/>
      <c r="K22" s="515"/>
      <c r="L22" s="78"/>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78"/>
      <c r="CZ22" s="515"/>
      <c r="DA22" s="515"/>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5"/>
      <c r="FC22" s="515"/>
      <c r="FD22" s="515"/>
      <c r="FE22" s="515"/>
      <c r="FF22" s="515"/>
      <c r="FG22" s="515"/>
      <c r="FH22" s="515"/>
      <c r="FI22" s="515"/>
      <c r="FJ22" s="515"/>
      <c r="FK22" s="515"/>
      <c r="FL22" s="515"/>
      <c r="FM22" s="515"/>
      <c r="FN22" s="515"/>
      <c r="FO22" s="515"/>
      <c r="FP22" s="515"/>
      <c r="FQ22" s="515"/>
      <c r="FR22" s="515"/>
      <c r="FS22" s="515"/>
      <c r="FT22" s="515"/>
      <c r="FU22" s="515"/>
      <c r="FV22" s="515"/>
      <c r="FW22" s="515"/>
      <c r="FX22" s="515"/>
      <c r="FY22" s="515"/>
      <c r="FZ22" s="515"/>
      <c r="GA22" s="515"/>
      <c r="GB22" s="515"/>
      <c r="GC22" s="515"/>
      <c r="GD22" s="515"/>
      <c r="GE22" s="515"/>
      <c r="GF22" s="515"/>
      <c r="GG22" s="515"/>
      <c r="GH22" s="515"/>
      <c r="GI22" s="515"/>
      <c r="GJ22" s="515"/>
      <c r="GK22" s="515"/>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5">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25">
      <c r="A25" s="74" t="s">
        <v>56</v>
      </c>
      <c r="B25" s="553" t="s">
        <v>97</v>
      </c>
      <c r="C25" s="75" t="s">
        <v>98</v>
      </c>
      <c r="D25" s="77">
        <f t="shared" ref="D25:E27" si="3">I25</f>
        <v>21895402</v>
      </c>
      <c r="E25" s="77">
        <f t="shared" si="3"/>
        <v>23324090</v>
      </c>
      <c r="F25" s="516">
        <f>G25+H25</f>
        <v>57106398</v>
      </c>
      <c r="G25" s="516">
        <f>SUM(M25:CY25)</f>
        <v>27983290</v>
      </c>
      <c r="H25" s="76">
        <f>SUM(CZ25:GL25)</f>
        <v>29123108</v>
      </c>
      <c r="I25" s="76">
        <f>SUM(AE25:CY25)</f>
        <v>21895402</v>
      </c>
      <c r="J25" s="76">
        <f>SUM(DR25:GL25)</f>
        <v>23324090</v>
      </c>
      <c r="K25" s="517">
        <f>SUM(M25:AD25)</f>
        <v>6087888</v>
      </c>
      <c r="L25" s="77">
        <f>SUM(CZ25:DQ25)</f>
        <v>5799018</v>
      </c>
      <c r="M25" s="516">
        <v>305120</v>
      </c>
      <c r="N25" s="516">
        <v>303019</v>
      </c>
      <c r="O25" s="516">
        <v>314737</v>
      </c>
      <c r="P25" s="516">
        <v>321299</v>
      </c>
      <c r="Q25" s="516">
        <v>325230</v>
      </c>
      <c r="R25" s="516">
        <v>333023</v>
      </c>
      <c r="S25" s="516">
        <v>343154</v>
      </c>
      <c r="T25" s="516">
        <v>339729</v>
      </c>
      <c r="U25" s="516">
        <v>341966</v>
      </c>
      <c r="V25" s="516">
        <v>351482</v>
      </c>
      <c r="W25" s="516">
        <v>360539</v>
      </c>
      <c r="X25" s="516">
        <v>361688</v>
      </c>
      <c r="Y25" s="516">
        <v>356777</v>
      </c>
      <c r="Z25" s="516">
        <v>354079</v>
      </c>
      <c r="AA25" s="516">
        <v>357199</v>
      </c>
      <c r="AB25" s="516">
        <v>344190</v>
      </c>
      <c r="AC25" s="516">
        <v>336612</v>
      </c>
      <c r="AD25" s="516">
        <v>338045</v>
      </c>
      <c r="AE25" s="516">
        <v>339142</v>
      </c>
      <c r="AF25" s="516">
        <v>339234</v>
      </c>
      <c r="AG25" s="516">
        <v>338398</v>
      </c>
      <c r="AH25" s="516">
        <v>338465</v>
      </c>
      <c r="AI25" s="516">
        <v>345338</v>
      </c>
      <c r="AJ25" s="516">
        <v>358287</v>
      </c>
      <c r="AK25" s="516">
        <v>360304</v>
      </c>
      <c r="AL25" s="516">
        <v>365799</v>
      </c>
      <c r="AM25" s="516">
        <v>360324</v>
      </c>
      <c r="AN25" s="516">
        <v>364086</v>
      </c>
      <c r="AO25" s="516">
        <v>372653</v>
      </c>
      <c r="AP25" s="516">
        <v>372807</v>
      </c>
      <c r="AQ25" s="516">
        <v>383710</v>
      </c>
      <c r="AR25" s="516">
        <v>389563</v>
      </c>
      <c r="AS25" s="516">
        <v>387640</v>
      </c>
      <c r="AT25" s="516">
        <v>384620</v>
      </c>
      <c r="AU25" s="516">
        <v>387905</v>
      </c>
      <c r="AV25" s="516">
        <v>378829</v>
      </c>
      <c r="AW25" s="516">
        <v>378199</v>
      </c>
      <c r="AX25" s="516">
        <v>377186</v>
      </c>
      <c r="AY25" s="516">
        <v>365502</v>
      </c>
      <c r="AZ25" s="516">
        <v>366111</v>
      </c>
      <c r="BA25" s="516">
        <v>365728</v>
      </c>
      <c r="BB25" s="516">
        <v>369097</v>
      </c>
      <c r="BC25" s="516">
        <v>371802</v>
      </c>
      <c r="BD25" s="516">
        <v>357560</v>
      </c>
      <c r="BE25" s="516">
        <v>334069</v>
      </c>
      <c r="BF25" s="516">
        <v>328458</v>
      </c>
      <c r="BG25" s="516">
        <v>335746</v>
      </c>
      <c r="BH25" s="516">
        <v>342585</v>
      </c>
      <c r="BI25" s="516">
        <v>346685</v>
      </c>
      <c r="BJ25" s="516">
        <v>360442</v>
      </c>
      <c r="BK25" s="516">
        <v>373390</v>
      </c>
      <c r="BL25" s="516">
        <v>385375</v>
      </c>
      <c r="BM25" s="516">
        <v>375807</v>
      </c>
      <c r="BN25" s="516">
        <v>383988</v>
      </c>
      <c r="BO25" s="516">
        <v>382566</v>
      </c>
      <c r="BP25" s="516">
        <v>385629</v>
      </c>
      <c r="BQ25" s="516">
        <v>381742</v>
      </c>
      <c r="BR25" s="516">
        <v>381998</v>
      </c>
      <c r="BS25" s="516">
        <v>376164</v>
      </c>
      <c r="BT25" s="516">
        <v>367036</v>
      </c>
      <c r="BU25" s="516">
        <v>357672</v>
      </c>
      <c r="BV25" s="516">
        <v>344928</v>
      </c>
      <c r="BW25" s="516">
        <v>329857</v>
      </c>
      <c r="BX25" s="516">
        <v>319451</v>
      </c>
      <c r="BY25" s="516">
        <v>309724</v>
      </c>
      <c r="BZ25" s="516">
        <v>294558</v>
      </c>
      <c r="CA25" s="516">
        <v>282293</v>
      </c>
      <c r="CB25" s="516">
        <v>268536</v>
      </c>
      <c r="CC25" s="516">
        <v>266443</v>
      </c>
      <c r="CD25" s="516">
        <v>260410</v>
      </c>
      <c r="CE25" s="516">
        <v>249450</v>
      </c>
      <c r="CF25" s="516">
        <v>249080</v>
      </c>
      <c r="CG25" s="516">
        <v>249070</v>
      </c>
      <c r="CH25" s="516">
        <v>252982</v>
      </c>
      <c r="CI25" s="516">
        <v>263625</v>
      </c>
      <c r="CJ25" s="516">
        <v>283090</v>
      </c>
      <c r="CK25" s="516">
        <v>211587</v>
      </c>
      <c r="CL25" s="516">
        <v>200401</v>
      </c>
      <c r="CM25" s="516">
        <v>195036</v>
      </c>
      <c r="CN25" s="516">
        <v>174093</v>
      </c>
      <c r="CO25" s="516">
        <v>149572</v>
      </c>
      <c r="CP25" s="516">
        <v>127665</v>
      </c>
      <c r="CQ25" s="516">
        <v>127183</v>
      </c>
      <c r="CR25" s="516">
        <v>120061</v>
      </c>
      <c r="CS25" s="516">
        <v>109873</v>
      </c>
      <c r="CT25" s="516">
        <v>97456</v>
      </c>
      <c r="CU25" s="516">
        <v>84705</v>
      </c>
      <c r="CV25" s="516">
        <v>73428</v>
      </c>
      <c r="CW25" s="516">
        <v>60864</v>
      </c>
      <c r="CX25" s="516">
        <v>51376</v>
      </c>
      <c r="CY25" s="516">
        <v>170964</v>
      </c>
      <c r="CZ25" s="516">
        <v>291186</v>
      </c>
      <c r="DA25" s="516">
        <v>289546</v>
      </c>
      <c r="DB25" s="516">
        <v>300800</v>
      </c>
      <c r="DC25" s="516">
        <v>305906</v>
      </c>
      <c r="DD25" s="516">
        <v>310539</v>
      </c>
      <c r="DE25" s="516">
        <v>318263</v>
      </c>
      <c r="DF25" s="516">
        <v>326932</v>
      </c>
      <c r="DG25" s="516">
        <v>324633</v>
      </c>
      <c r="DH25" s="516">
        <v>326780</v>
      </c>
      <c r="DI25" s="516">
        <v>334543</v>
      </c>
      <c r="DJ25" s="516">
        <v>344341</v>
      </c>
      <c r="DK25" s="516">
        <v>343967</v>
      </c>
      <c r="DL25" s="516">
        <v>339949</v>
      </c>
      <c r="DM25" s="516">
        <v>337345</v>
      </c>
      <c r="DN25" s="516">
        <v>340474</v>
      </c>
      <c r="DO25" s="516">
        <v>326885</v>
      </c>
      <c r="DP25" s="516">
        <v>319023</v>
      </c>
      <c r="DQ25" s="516">
        <v>317906</v>
      </c>
      <c r="DR25" s="516">
        <v>318297</v>
      </c>
      <c r="DS25" s="516">
        <v>319325</v>
      </c>
      <c r="DT25" s="516">
        <v>325075</v>
      </c>
      <c r="DU25" s="516">
        <v>327194</v>
      </c>
      <c r="DV25" s="516">
        <v>333614</v>
      </c>
      <c r="DW25" s="516">
        <v>350669</v>
      </c>
      <c r="DX25" s="516">
        <v>358581</v>
      </c>
      <c r="DY25" s="516">
        <v>367839</v>
      </c>
      <c r="DZ25" s="516">
        <v>363988</v>
      </c>
      <c r="EA25" s="516">
        <v>374022</v>
      </c>
      <c r="EB25" s="516">
        <v>387522</v>
      </c>
      <c r="EC25" s="516">
        <v>390671</v>
      </c>
      <c r="ED25" s="516">
        <v>404331</v>
      </c>
      <c r="EE25" s="516">
        <v>410921</v>
      </c>
      <c r="EF25" s="516">
        <v>413176</v>
      </c>
      <c r="EG25" s="516">
        <v>411450</v>
      </c>
      <c r="EH25" s="516">
        <v>417983</v>
      </c>
      <c r="EI25" s="516">
        <v>409203</v>
      </c>
      <c r="EJ25" s="516">
        <v>404000</v>
      </c>
      <c r="EK25" s="516">
        <v>401928</v>
      </c>
      <c r="EL25" s="516">
        <v>389436</v>
      </c>
      <c r="EM25" s="516">
        <v>389518</v>
      </c>
      <c r="EN25" s="516">
        <v>386124</v>
      </c>
      <c r="EO25" s="516">
        <v>390735</v>
      </c>
      <c r="EP25" s="516">
        <v>390956</v>
      </c>
      <c r="EQ25" s="516">
        <v>373536</v>
      </c>
      <c r="ER25" s="516">
        <v>346385</v>
      </c>
      <c r="ES25" s="516">
        <v>339293</v>
      </c>
      <c r="ET25" s="516">
        <v>345871</v>
      </c>
      <c r="EU25" s="516">
        <v>353016</v>
      </c>
      <c r="EV25" s="516">
        <v>356906</v>
      </c>
      <c r="EW25" s="516">
        <v>370244</v>
      </c>
      <c r="EX25" s="516">
        <v>384214</v>
      </c>
      <c r="EY25" s="516">
        <v>399644</v>
      </c>
      <c r="EZ25" s="516">
        <v>389031</v>
      </c>
      <c r="FA25" s="516">
        <v>397139</v>
      </c>
      <c r="FB25" s="516">
        <v>395547</v>
      </c>
      <c r="FC25" s="516">
        <v>396676</v>
      </c>
      <c r="FD25" s="516">
        <v>396578</v>
      </c>
      <c r="FE25" s="516">
        <v>396708</v>
      </c>
      <c r="FF25" s="516">
        <v>390539</v>
      </c>
      <c r="FG25" s="516">
        <v>380695</v>
      </c>
      <c r="FH25" s="516">
        <v>371143</v>
      </c>
      <c r="FI25" s="516">
        <v>355407</v>
      </c>
      <c r="FJ25" s="516">
        <v>340408</v>
      </c>
      <c r="FK25" s="516">
        <v>331322</v>
      </c>
      <c r="FL25" s="516">
        <v>321164</v>
      </c>
      <c r="FM25" s="516">
        <v>308551</v>
      </c>
      <c r="FN25" s="516">
        <v>295719</v>
      </c>
      <c r="FO25" s="516">
        <v>284931</v>
      </c>
      <c r="FP25" s="516">
        <v>285437</v>
      </c>
      <c r="FQ25" s="516">
        <v>278929</v>
      </c>
      <c r="FR25" s="516">
        <v>271460</v>
      </c>
      <c r="FS25" s="516">
        <v>271487</v>
      </c>
      <c r="FT25" s="516">
        <v>275610</v>
      </c>
      <c r="FU25" s="516">
        <v>280129</v>
      </c>
      <c r="FV25" s="516">
        <v>294843</v>
      </c>
      <c r="FW25" s="516">
        <v>316380</v>
      </c>
      <c r="FX25" s="516">
        <v>240292</v>
      </c>
      <c r="FY25" s="516">
        <v>230370</v>
      </c>
      <c r="FZ25" s="516">
        <v>225985</v>
      </c>
      <c r="GA25" s="516">
        <v>206546</v>
      </c>
      <c r="GB25" s="516">
        <v>181398</v>
      </c>
      <c r="GC25" s="516">
        <v>159103</v>
      </c>
      <c r="GD25" s="516">
        <v>161482</v>
      </c>
      <c r="GE25" s="516">
        <v>155577</v>
      </c>
      <c r="GF25" s="516">
        <v>145759</v>
      </c>
      <c r="GG25" s="516">
        <v>132931</v>
      </c>
      <c r="GH25" s="516">
        <v>120255</v>
      </c>
      <c r="GI25" s="516">
        <v>107758</v>
      </c>
      <c r="GJ25" s="516">
        <v>93505</v>
      </c>
      <c r="GK25" s="516">
        <v>82264</v>
      </c>
      <c r="GL25" s="516">
        <v>349365</v>
      </c>
    </row>
    <row r="26" spans="1:194" s="8" customFormat="1" x14ac:dyDescent="0.25">
      <c r="A26" s="32" t="s">
        <v>56</v>
      </c>
      <c r="B26" s="554"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25">
      <c r="A27" s="38" t="s">
        <v>56</v>
      </c>
      <c r="B27" s="555"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5">
      <c r="A28" s="44"/>
      <c r="B28" s="55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5">
      <c r="A29" s="83" t="s">
        <v>83</v>
      </c>
      <c r="B29" s="557" t="s">
        <v>103</v>
      </c>
      <c r="C29" s="72" t="str">
        <f t="shared" ref="C29:C92" si="4">CONCATENATE(A29," - ",B29)</f>
        <v xml:space="preserve">England – CCGs - Barnsley </v>
      </c>
      <c r="D29" s="61">
        <f>I29</f>
        <v>95316</v>
      </c>
      <c r="E29" s="61">
        <f>J29</f>
        <v>100485</v>
      </c>
      <c r="F29" s="518">
        <f>G29+H29</f>
        <v>246482</v>
      </c>
      <c r="G29" s="518">
        <f>SUM(M29:CY29)</f>
        <v>121223</v>
      </c>
      <c r="H29" s="62">
        <f>SUM(CZ29:GL29)</f>
        <v>125259</v>
      </c>
      <c r="I29" s="62">
        <f>SUM(AE29:CY29)</f>
        <v>95316</v>
      </c>
      <c r="J29" s="62">
        <f>SUM(DR29:GL29)</f>
        <v>100485</v>
      </c>
      <c r="K29" s="519">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5">
      <c r="A30" s="87" t="s">
        <v>83</v>
      </c>
      <c r="B30" s="557"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5">
      <c r="A31" s="87" t="s">
        <v>83</v>
      </c>
      <c r="B31" s="557"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5">
      <c r="A32" s="87" t="s">
        <v>83</v>
      </c>
      <c r="B32" s="557"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5">
      <c r="A33" s="87" t="s">
        <v>83</v>
      </c>
      <c r="B33" s="557"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5">
      <c r="A34" s="87" t="s">
        <v>83</v>
      </c>
      <c r="B34" s="557"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5">
      <c r="A35" s="87" t="s">
        <v>83</v>
      </c>
      <c r="B35" s="557"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5">
      <c r="A36" s="87" t="s">
        <v>83</v>
      </c>
      <c r="B36" s="557"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5">
      <c r="A37" s="87" t="s">
        <v>83</v>
      </c>
      <c r="B37" s="557"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5">
      <c r="A38" s="87" t="s">
        <v>83</v>
      </c>
      <c r="B38" s="557"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5">
      <c r="A39" s="87" t="s">
        <v>83</v>
      </c>
      <c r="B39" s="557"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5">
      <c r="A40" s="87" t="s">
        <v>83</v>
      </c>
      <c r="B40" s="557"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5">
      <c r="A41" s="87" t="s">
        <v>83</v>
      </c>
      <c r="B41" s="557"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5">
      <c r="A42" s="87" t="s">
        <v>83</v>
      </c>
      <c r="B42" s="557"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5">
      <c r="A43" s="87" t="s">
        <v>83</v>
      </c>
      <c r="B43" s="557"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5">
      <c r="A44" s="87" t="s">
        <v>83</v>
      </c>
      <c r="B44" s="557"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5">
      <c r="A45" s="87" t="s">
        <v>83</v>
      </c>
      <c r="B45" s="557"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5">
      <c r="A46" s="87" t="s">
        <v>83</v>
      </c>
      <c r="B46" s="557"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5">
      <c r="A47" s="87" t="s">
        <v>83</v>
      </c>
      <c r="B47" s="557"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5">
      <c r="A48" s="87" t="s">
        <v>83</v>
      </c>
      <c r="B48" s="557"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5">
      <c r="A49" s="87" t="s">
        <v>83</v>
      </c>
      <c r="B49" s="557"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5">
      <c r="A50" s="87" t="s">
        <v>83</v>
      </c>
      <c r="B50" s="557"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5">
      <c r="A51" s="87" t="s">
        <v>83</v>
      </c>
      <c r="B51" s="557"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5">
      <c r="A52" s="87" t="s">
        <v>83</v>
      </c>
      <c r="B52" s="557"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5">
      <c r="A53" s="87" t="s">
        <v>83</v>
      </c>
      <c r="B53" s="557"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5">
      <c r="A54" s="87" t="s">
        <v>83</v>
      </c>
      <c r="B54" s="557"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5">
      <c r="A55" s="87" t="s">
        <v>83</v>
      </c>
      <c r="B55" s="557"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5">
      <c r="A56" s="87" t="s">
        <v>83</v>
      </c>
      <c r="B56" s="557"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5">
      <c r="A57" s="87" t="s">
        <v>83</v>
      </c>
      <c r="B57" s="557"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5">
      <c r="A58" s="87" t="s">
        <v>83</v>
      </c>
      <c r="B58" s="557"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5">
      <c r="A59" s="87" t="s">
        <v>83</v>
      </c>
      <c r="B59" s="557"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5">
      <c r="A60" s="87" t="s">
        <v>83</v>
      </c>
      <c r="B60" s="557"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5">
      <c r="A61" s="87" t="s">
        <v>83</v>
      </c>
      <c r="B61" s="557"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5">
      <c r="A62" s="87" t="s">
        <v>83</v>
      </c>
      <c r="B62" s="557"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5">
      <c r="A63" s="87" t="s">
        <v>83</v>
      </c>
      <c r="B63" s="557"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5">
      <c r="A64" s="87" t="s">
        <v>83</v>
      </c>
      <c r="B64" s="557"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5">
      <c r="A65" s="87" t="s">
        <v>83</v>
      </c>
      <c r="B65" s="557"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5">
      <c r="A66" s="87" t="s">
        <v>83</v>
      </c>
      <c r="B66" s="557"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5">
      <c r="A67" s="87" t="s">
        <v>83</v>
      </c>
      <c r="B67" s="557"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5">
      <c r="A68" s="87" t="s">
        <v>83</v>
      </c>
      <c r="B68" s="557"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5">
      <c r="A69" s="87" t="s">
        <v>83</v>
      </c>
      <c r="B69" s="557"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5">
      <c r="A70" s="87" t="s">
        <v>83</v>
      </c>
      <c r="B70" s="557"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5">
      <c r="A71" s="87" t="s">
        <v>83</v>
      </c>
      <c r="B71" s="557"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5">
      <c r="A72" s="87" t="s">
        <v>83</v>
      </c>
      <c r="B72" s="557"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5">
      <c r="A73" s="87" t="s">
        <v>83</v>
      </c>
      <c r="B73" s="557"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5">
      <c r="A74" s="87" t="s">
        <v>83</v>
      </c>
      <c r="B74" s="557"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5">
      <c r="A75" s="87" t="s">
        <v>83</v>
      </c>
      <c r="B75" s="557"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5">
      <c r="A76" s="87" t="s">
        <v>83</v>
      </c>
      <c r="B76" s="557"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5">
      <c r="A77" s="87" t="s">
        <v>83</v>
      </c>
      <c r="B77" s="557"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5">
      <c r="A78" s="87" t="s">
        <v>83</v>
      </c>
      <c r="B78" s="557"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5">
      <c r="A79" s="87" t="s">
        <v>83</v>
      </c>
      <c r="B79" s="557"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5">
      <c r="A80" s="87" t="s">
        <v>83</v>
      </c>
      <c r="B80" s="557"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5">
      <c r="A81" s="87" t="s">
        <v>83</v>
      </c>
      <c r="B81" s="557"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5">
      <c r="A82" s="87" t="s">
        <v>83</v>
      </c>
      <c r="B82" s="557"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5">
      <c r="A83" s="87" t="s">
        <v>83</v>
      </c>
      <c r="B83" s="557"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5">
      <c r="A84" s="87" t="s">
        <v>83</v>
      </c>
      <c r="B84" s="557"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5">
      <c r="A85" s="87" t="s">
        <v>83</v>
      </c>
      <c r="B85" s="557"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5">
      <c r="A86" s="87" t="s">
        <v>83</v>
      </c>
      <c r="B86" s="557"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5">
      <c r="A87" s="87" t="s">
        <v>83</v>
      </c>
      <c r="B87" s="557"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5">
      <c r="A88" s="87" t="s">
        <v>83</v>
      </c>
      <c r="B88" s="557"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5">
      <c r="A89" s="87" t="s">
        <v>83</v>
      </c>
      <c r="B89" s="557"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5">
      <c r="A90" s="87" t="s">
        <v>83</v>
      </c>
      <c r="B90" s="557"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5">
      <c r="A91" s="87" t="s">
        <v>83</v>
      </c>
      <c r="B91" s="557"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5">
      <c r="A92" s="87" t="s">
        <v>83</v>
      </c>
      <c r="B92" s="557"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5">
      <c r="A93" s="87" t="s">
        <v>83</v>
      </c>
      <c r="B93" s="557"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5">
      <c r="A94" s="87" t="s">
        <v>83</v>
      </c>
      <c r="B94" s="557"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5">
      <c r="A95" s="87" t="s">
        <v>83</v>
      </c>
      <c r="B95" s="557"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5">
      <c r="A96" s="87" t="s">
        <v>83</v>
      </c>
      <c r="B96" s="557"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5">
      <c r="A97" s="87" t="s">
        <v>83</v>
      </c>
      <c r="B97" s="557"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5">
      <c r="A98" s="87" t="s">
        <v>83</v>
      </c>
      <c r="B98" s="557"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5">
      <c r="A99" s="87" t="s">
        <v>83</v>
      </c>
      <c r="B99" s="557"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5">
      <c r="A100" s="87" t="s">
        <v>83</v>
      </c>
      <c r="B100" s="557"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5">
      <c r="A101" s="87" t="s">
        <v>83</v>
      </c>
      <c r="B101" s="557"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5">
      <c r="A102" s="87" t="s">
        <v>83</v>
      </c>
      <c r="B102" s="557"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5">
      <c r="A103" s="87" t="s">
        <v>83</v>
      </c>
      <c r="B103" s="557"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5">
      <c r="A104" s="87" t="s">
        <v>83</v>
      </c>
      <c r="B104" s="557"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5">
      <c r="A105" s="87" t="s">
        <v>83</v>
      </c>
      <c r="B105" s="557"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5">
      <c r="A106" s="87" t="s">
        <v>83</v>
      </c>
      <c r="B106" s="557"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5">
      <c r="A107" s="87" t="s">
        <v>83</v>
      </c>
      <c r="B107" s="557"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5">
      <c r="A108" s="87" t="s">
        <v>83</v>
      </c>
      <c r="B108" s="557"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5">
      <c r="A109" s="87" t="s">
        <v>83</v>
      </c>
      <c r="B109" s="557"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5">
      <c r="A110" s="87" t="s">
        <v>83</v>
      </c>
      <c r="B110" s="557"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5">
      <c r="A111" s="87" t="s">
        <v>83</v>
      </c>
      <c r="B111" s="557"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5">
      <c r="A112" s="87" t="s">
        <v>83</v>
      </c>
      <c r="B112" s="557"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5">
      <c r="A113" s="87" t="s">
        <v>83</v>
      </c>
      <c r="B113" s="557"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5">
      <c r="A114" s="87" t="s">
        <v>83</v>
      </c>
      <c r="B114" s="557"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5">
      <c r="A115" s="87" t="s">
        <v>83</v>
      </c>
      <c r="B115" s="557"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5">
      <c r="A116" s="87" t="s">
        <v>83</v>
      </c>
      <c r="B116" s="557"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5">
      <c r="A117" s="87" t="s">
        <v>83</v>
      </c>
      <c r="B117" s="557"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5">
      <c r="A118" s="87" t="s">
        <v>83</v>
      </c>
      <c r="B118" s="557"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5">
      <c r="A119" s="87" t="s">
        <v>83</v>
      </c>
      <c r="B119" s="557"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5">
      <c r="A120" s="87" t="s">
        <v>83</v>
      </c>
      <c r="B120" s="557"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5">
      <c r="A121" s="87" t="s">
        <v>83</v>
      </c>
      <c r="B121" s="557"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5">
      <c r="A122" s="87" t="s">
        <v>83</v>
      </c>
      <c r="B122" s="557"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5">
      <c r="A123" s="87" t="s">
        <v>83</v>
      </c>
      <c r="B123" s="557"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5">
      <c r="A124" s="87" t="s">
        <v>83</v>
      </c>
      <c r="B124" s="557"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5">
      <c r="A125" s="87" t="s">
        <v>83</v>
      </c>
      <c r="B125" s="557"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5">
      <c r="A126" s="87" t="s">
        <v>83</v>
      </c>
      <c r="B126" s="557"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5">
      <c r="A127" s="87" t="s">
        <v>83</v>
      </c>
      <c r="B127" s="557"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5">
      <c r="A128" s="87" t="s">
        <v>83</v>
      </c>
      <c r="B128" s="557"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5">
      <c r="A129" s="87" t="s">
        <v>83</v>
      </c>
      <c r="B129" s="557"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5">
      <c r="A130" s="87" t="s">
        <v>83</v>
      </c>
      <c r="B130" s="557"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5">
      <c r="A131" s="87" t="s">
        <v>83</v>
      </c>
      <c r="B131" s="557"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5">
      <c r="A132" s="87" t="s">
        <v>83</v>
      </c>
      <c r="B132" s="557"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5">
      <c r="A133" s="87" t="s">
        <v>83</v>
      </c>
      <c r="B133" s="557"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5">
      <c r="A134" s="87" t="s">
        <v>83</v>
      </c>
      <c r="B134" s="557"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25">
      <c r="A135" s="113"/>
      <c r="B135" s="558"/>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5">
      <c r="A136" s="54" t="s">
        <v>62</v>
      </c>
      <c r="B136" s="559"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5">
      <c r="A137" s="54" t="s">
        <v>62</v>
      </c>
      <c r="B137" s="560"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5">
      <c r="A138" s="54" t="s">
        <v>62</v>
      </c>
      <c r="B138" s="560"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5">
      <c r="A139" s="54" t="s">
        <v>62</v>
      </c>
      <c r="B139" s="560"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5">
      <c r="A140" s="54" t="s">
        <v>62</v>
      </c>
      <c r="B140" s="560"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5">
      <c r="A141" s="54" t="s">
        <v>62</v>
      </c>
      <c r="B141" s="560"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5">
      <c r="A142" s="55" t="s">
        <v>62</v>
      </c>
      <c r="B142" s="561"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25">
      <c r="A143" s="117"/>
      <c r="B143" s="562"/>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5">
      <c r="A144" s="59" t="s">
        <v>65</v>
      </c>
      <c r="B144" s="559" t="s">
        <v>216</v>
      </c>
      <c r="C144" s="72" t="str">
        <f>CONCATENATE(A144," - ",B144)</f>
        <v>NI – Health and Social Care Trusts - Belfast Health and Social Care Trust</v>
      </c>
      <c r="D144" s="61">
        <f t="shared" ref="D144:E148" si="33">I144</f>
        <v>138553.97738288154</v>
      </c>
      <c r="E144" s="61">
        <f t="shared" si="33"/>
        <v>149546.65719477332</v>
      </c>
      <c r="F144" s="518">
        <f>G144+H144</f>
        <v>364103.61922965694</v>
      </c>
      <c r="G144" s="518">
        <f>SUM(M144:CY144)</f>
        <v>177508.17393508262</v>
      </c>
      <c r="H144" s="62">
        <f>SUM(CZ144:GL144)</f>
        <v>186595.44529457431</v>
      </c>
      <c r="I144" s="62">
        <f>SUM(AE144:CY144)</f>
        <v>138553.97738288154</v>
      </c>
      <c r="J144" s="62">
        <f>SUM(DR144:GL144)</f>
        <v>149546.65719477332</v>
      </c>
      <c r="K144" s="519">
        <f>SUM(M144:AD144)</f>
        <v>38954.196552201036</v>
      </c>
      <c r="L144" s="61">
        <f>SUM(CZ144:DQ144)</f>
        <v>37048.788099800979</v>
      </c>
      <c r="M144" s="519">
        <v>2017.8952120383037</v>
      </c>
      <c r="N144" s="519">
        <v>2031.4154300095463</v>
      </c>
      <c r="O144" s="519">
        <v>2025.5722779004586</v>
      </c>
      <c r="P144" s="519">
        <v>2036.6363244919048</v>
      </c>
      <c r="Q144" s="519">
        <v>2174.8657606103957</v>
      </c>
      <c r="R144" s="519">
        <v>2139.1275684252282</v>
      </c>
      <c r="S144" s="519">
        <v>2269.8788621098379</v>
      </c>
      <c r="T144" s="519">
        <v>2199.8731034482757</v>
      </c>
      <c r="U144" s="519">
        <v>2214.1918960244648</v>
      </c>
      <c r="V144" s="519">
        <v>2323.0202012443356</v>
      </c>
      <c r="W144" s="519">
        <v>2319.2258355916892</v>
      </c>
      <c r="X144" s="519">
        <v>2302.9974595842955</v>
      </c>
      <c r="Y144" s="519">
        <v>2256.5049293083684</v>
      </c>
      <c r="Z144" s="519">
        <v>2212.0418107754977</v>
      </c>
      <c r="AA144" s="519">
        <v>2229.1199141767324</v>
      </c>
      <c r="AB144" s="519">
        <v>2134.8894582108355</v>
      </c>
      <c r="AC144" s="519">
        <v>2012.6591474539725</v>
      </c>
      <c r="AD144" s="519">
        <v>2054.2813607968933</v>
      </c>
      <c r="AE144" s="519">
        <v>2265.0450211864404</v>
      </c>
      <c r="AF144" s="519">
        <v>2804.7232134687529</v>
      </c>
      <c r="AG144" s="519">
        <v>2878.6458486407055</v>
      </c>
      <c r="AH144" s="519">
        <v>2648.2416475163518</v>
      </c>
      <c r="AI144" s="519">
        <v>2812.8031562871206</v>
      </c>
      <c r="AJ144" s="519">
        <v>2819.1729711141679</v>
      </c>
      <c r="AK144" s="519">
        <v>2731.7522704339053</v>
      </c>
      <c r="AL144" s="519">
        <v>2754.8174718956493</v>
      </c>
      <c r="AM144" s="519">
        <v>2792.2450211225105</v>
      </c>
      <c r="AN144" s="519">
        <v>2709.9772329246935</v>
      </c>
      <c r="AO144" s="519">
        <v>2693.0545391183132</v>
      </c>
      <c r="AP144" s="519">
        <v>2739.741847362131</v>
      </c>
      <c r="AQ144" s="519">
        <v>2738.9105892047796</v>
      </c>
      <c r="AR144" s="519">
        <v>2711.0666008067833</v>
      </c>
      <c r="AS144" s="519">
        <v>2782.8070289619263</v>
      </c>
      <c r="AT144" s="519">
        <v>2691.3420944220152</v>
      </c>
      <c r="AU144" s="519">
        <v>2575.2371291098634</v>
      </c>
      <c r="AV144" s="519">
        <v>2616.3572226656024</v>
      </c>
      <c r="AW144" s="519">
        <v>2585.9089460686691</v>
      </c>
      <c r="AX144" s="519">
        <v>2533.264568094025</v>
      </c>
      <c r="AY144" s="519">
        <v>2413.1614349775782</v>
      </c>
      <c r="AZ144" s="519">
        <v>2431.4496314496314</v>
      </c>
      <c r="BA144" s="519">
        <v>2293.8903732491299</v>
      </c>
      <c r="BB144" s="519">
        <v>2344.819097470061</v>
      </c>
      <c r="BC144" s="519">
        <v>2403.7633319021038</v>
      </c>
      <c r="BD144" s="519">
        <v>2239.8626248466794</v>
      </c>
      <c r="BE144" s="519">
        <v>2047.4737312365976</v>
      </c>
      <c r="BF144" s="519">
        <v>2052.8353243075835</v>
      </c>
      <c r="BG144" s="519">
        <v>1984.3233076189651</v>
      </c>
      <c r="BH144" s="519">
        <v>1967.3126347206103</v>
      </c>
      <c r="BI144" s="519">
        <v>1977.5348837209303</v>
      </c>
      <c r="BJ144" s="519">
        <v>2084.857469993683</v>
      </c>
      <c r="BK144" s="519">
        <v>2131.2999446158715</v>
      </c>
      <c r="BL144" s="519">
        <v>2143.6819436775263</v>
      </c>
      <c r="BM144" s="519">
        <v>2073.8563380281689</v>
      </c>
      <c r="BN144" s="519">
        <v>2300.7910402197972</v>
      </c>
      <c r="BO144" s="519">
        <v>2326.6164287385909</v>
      </c>
      <c r="BP144" s="519">
        <v>2307.9060786106033</v>
      </c>
      <c r="BQ144" s="519">
        <v>2344.6145362640732</v>
      </c>
      <c r="BR144" s="519">
        <v>2368.012116504854</v>
      </c>
      <c r="BS144" s="519">
        <v>2252.978437722139</v>
      </c>
      <c r="BT144" s="519">
        <v>2241.3179516972359</v>
      </c>
      <c r="BU144" s="519">
        <v>2297.6054466954502</v>
      </c>
      <c r="BV144" s="519">
        <v>2198.0522088353414</v>
      </c>
      <c r="BW144" s="519">
        <v>2021.5031326614003</v>
      </c>
      <c r="BX144" s="519">
        <v>2002.5265144540601</v>
      </c>
      <c r="BY144" s="519">
        <v>1890.3538506703198</v>
      </c>
      <c r="BZ144" s="519">
        <v>1822.7951142631994</v>
      </c>
      <c r="CA144" s="519">
        <v>1687.8206664564279</v>
      </c>
      <c r="CB144" s="519">
        <v>1588.8602704443015</v>
      </c>
      <c r="CC144" s="519">
        <v>1552.3684032476319</v>
      </c>
      <c r="CD144" s="519">
        <v>1527.1244533743056</v>
      </c>
      <c r="CE144" s="519">
        <v>1273.9034871433603</v>
      </c>
      <c r="CF144" s="519">
        <v>1290.2680573978055</v>
      </c>
      <c r="CG144" s="519">
        <v>1292.323121170439</v>
      </c>
      <c r="CH144" s="519">
        <v>1203.3575933400607</v>
      </c>
      <c r="CI144" s="519">
        <v>1137.5975561687032</v>
      </c>
      <c r="CJ144" s="519">
        <v>1181.2559576345984</v>
      </c>
      <c r="CK144" s="519">
        <v>1033.272138554217</v>
      </c>
      <c r="CL144" s="519">
        <v>966.99722735674675</v>
      </c>
      <c r="CM144" s="519">
        <v>986.02355350742448</v>
      </c>
      <c r="CN144" s="519">
        <v>974.00968523002427</v>
      </c>
      <c r="CO144" s="519">
        <v>796.9</v>
      </c>
      <c r="CP144" s="519">
        <v>696.19117288466236</v>
      </c>
      <c r="CQ144" s="519">
        <v>621.99595857539782</v>
      </c>
      <c r="CR144" s="519">
        <v>600.77992957746471</v>
      </c>
      <c r="CS144" s="519">
        <v>583.85111740635818</v>
      </c>
      <c r="CT144" s="519">
        <v>522.79582712369597</v>
      </c>
      <c r="CU144" s="519">
        <v>452.41860465116281</v>
      </c>
      <c r="CV144" s="519">
        <v>372.84571129707109</v>
      </c>
      <c r="CW144" s="519">
        <v>312.34061135371184</v>
      </c>
      <c r="CX144" s="519">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5">
      <c r="A145" s="59" t="s">
        <v>65</v>
      </c>
      <c r="B145" s="560"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5">
      <c r="A146" s="59" t="s">
        <v>65</v>
      </c>
      <c r="B146" s="560"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5">
      <c r="A147" s="59" t="s">
        <v>65</v>
      </c>
      <c r="B147" s="560"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5">
      <c r="A148" s="63" t="s">
        <v>65</v>
      </c>
      <c r="B148" s="561"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25">
      <c r="A149" s="117"/>
      <c r="B149" s="562"/>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5">
      <c r="A150" s="73" t="s">
        <v>60</v>
      </c>
      <c r="B150" s="563" t="s">
        <v>221</v>
      </c>
      <c r="C150" s="72" t="str">
        <f>CONCATENATE(A150," - ",B150)</f>
        <v>NHSE regions - East of England</v>
      </c>
      <c r="D150" s="61">
        <f t="shared" ref="D150:E156" si="35">I150</f>
        <v>2447757</v>
      </c>
      <c r="E150" s="61">
        <f t="shared" si="35"/>
        <v>2602371</v>
      </c>
      <c r="F150" s="518">
        <f t="shared" ref="F150:F156" si="36">G150+H150</f>
        <v>6398497</v>
      </c>
      <c r="G150" s="518">
        <f t="shared" ref="G150:G156" si="37">SUM(M150:CY150)</f>
        <v>3138914</v>
      </c>
      <c r="H150" s="62">
        <f t="shared" ref="H150:H156" si="38">SUM(CZ150:GL150)</f>
        <v>3259583</v>
      </c>
      <c r="I150" s="62">
        <f t="shared" ref="I150:I156" si="39">SUM(AE150:CY150)</f>
        <v>2447757</v>
      </c>
      <c r="J150" s="62">
        <f t="shared" ref="J150:J156" si="40">SUM(DR150:GL150)</f>
        <v>2602371</v>
      </c>
      <c r="K150" s="519">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5">
      <c r="A151" s="64" t="s">
        <v>60</v>
      </c>
      <c r="B151" s="563"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5">
      <c r="A152" s="64" t="s">
        <v>60</v>
      </c>
      <c r="B152" s="563"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5">
      <c r="A153" s="64" t="s">
        <v>60</v>
      </c>
      <c r="B153" s="563"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5">
      <c r="A154" s="64" t="s">
        <v>60</v>
      </c>
      <c r="B154" s="563"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5">
      <c r="A155" s="64" t="s">
        <v>60</v>
      </c>
      <c r="B155" s="563"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5">
      <c r="A156" s="140" t="s">
        <v>60</v>
      </c>
      <c r="B156" s="563"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25">
      <c r="A157" s="118"/>
      <c r="B157" s="564"/>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517"/>
      <c r="AJ157" s="517"/>
      <c r="AK157" s="517"/>
      <c r="AL157" s="517"/>
      <c r="AM157" s="517"/>
      <c r="AN157" s="517"/>
      <c r="AO157" s="517"/>
      <c r="AP157" s="517"/>
      <c r="AQ157" s="517"/>
      <c r="AR157" s="517"/>
      <c r="AS157" s="517"/>
      <c r="AT157" s="517"/>
      <c r="AU157" s="517"/>
      <c r="AV157" s="517"/>
      <c r="AW157" s="517"/>
      <c r="AX157" s="517"/>
      <c r="AY157" s="517"/>
      <c r="AZ157" s="517"/>
      <c r="BA157" s="517"/>
      <c r="BB157" s="517"/>
      <c r="BC157" s="517"/>
      <c r="BD157" s="517"/>
      <c r="BE157" s="517"/>
      <c r="BF157" s="517"/>
      <c r="BG157" s="517"/>
      <c r="BH157" s="517"/>
      <c r="BI157" s="517"/>
      <c r="BJ157" s="517"/>
      <c r="BK157" s="517"/>
      <c r="BL157" s="517"/>
      <c r="BM157" s="517"/>
      <c r="BN157" s="517"/>
      <c r="BO157" s="517"/>
      <c r="BP157" s="517"/>
      <c r="BQ157" s="517"/>
      <c r="BR157" s="517"/>
      <c r="BS157" s="517"/>
      <c r="BT157" s="517"/>
      <c r="BU157" s="517"/>
      <c r="BV157" s="517"/>
      <c r="BW157" s="517"/>
      <c r="BX157" s="517"/>
      <c r="BY157" s="517"/>
      <c r="BZ157" s="517"/>
      <c r="CA157" s="517"/>
      <c r="CB157" s="517"/>
      <c r="CC157" s="517"/>
      <c r="CD157" s="517"/>
      <c r="CE157" s="517"/>
      <c r="CF157" s="517"/>
      <c r="CG157" s="517"/>
      <c r="CH157" s="517"/>
      <c r="CI157" s="517"/>
      <c r="CJ157" s="517"/>
      <c r="CK157" s="517"/>
      <c r="CL157" s="517"/>
      <c r="CM157" s="517"/>
      <c r="CN157" s="517"/>
      <c r="CO157" s="517"/>
      <c r="CP157" s="517"/>
      <c r="CQ157" s="517"/>
      <c r="CR157" s="517"/>
      <c r="CS157" s="517"/>
      <c r="CT157" s="517"/>
      <c r="CU157" s="517"/>
      <c r="CV157" s="517"/>
      <c r="CW157" s="517"/>
      <c r="CX157" s="517"/>
      <c r="CY157" s="77"/>
      <c r="CZ157" s="119"/>
      <c r="DA157" s="517"/>
      <c r="DB157" s="517"/>
      <c r="DC157" s="517"/>
      <c r="DD157" s="517"/>
      <c r="DE157" s="517"/>
      <c r="DF157" s="517"/>
      <c r="DG157" s="517"/>
      <c r="DH157" s="517"/>
      <c r="DI157" s="517"/>
      <c r="DJ157" s="517"/>
      <c r="DK157" s="517"/>
      <c r="DL157" s="517"/>
      <c r="DM157" s="517"/>
      <c r="DN157" s="517"/>
      <c r="DO157" s="517"/>
      <c r="DP157" s="517"/>
      <c r="DQ157" s="517"/>
      <c r="DR157" s="517"/>
      <c r="DS157" s="517"/>
      <c r="DT157" s="517"/>
      <c r="DU157" s="517"/>
      <c r="DV157" s="517"/>
      <c r="DW157" s="517"/>
      <c r="DX157" s="517"/>
      <c r="DY157" s="517"/>
      <c r="DZ157" s="517"/>
      <c r="EA157" s="517"/>
      <c r="EB157" s="517"/>
      <c r="EC157" s="517"/>
      <c r="ED157" s="517"/>
      <c r="EE157" s="517"/>
      <c r="EF157" s="517"/>
      <c r="EG157" s="517"/>
      <c r="EH157" s="517"/>
      <c r="EI157" s="517"/>
      <c r="EJ157" s="517"/>
      <c r="EK157" s="517"/>
      <c r="EL157" s="517"/>
      <c r="EM157" s="517"/>
      <c r="EN157" s="517"/>
      <c r="EO157" s="517"/>
      <c r="EP157" s="517"/>
      <c r="EQ157" s="517"/>
      <c r="ER157" s="517"/>
      <c r="ES157" s="517"/>
      <c r="ET157" s="517"/>
      <c r="EU157" s="517"/>
      <c r="EV157" s="517"/>
      <c r="EW157" s="517"/>
      <c r="EX157" s="517"/>
      <c r="EY157" s="517"/>
      <c r="EZ157" s="517"/>
      <c r="FA157" s="517"/>
      <c r="FB157" s="517"/>
      <c r="FC157" s="517"/>
      <c r="FD157" s="517"/>
      <c r="FE157" s="517"/>
      <c r="FF157" s="517"/>
      <c r="FG157" s="517"/>
      <c r="FH157" s="517"/>
      <c r="FI157" s="517"/>
      <c r="FJ157" s="517"/>
      <c r="FK157" s="517"/>
      <c r="FL157" s="517"/>
      <c r="FM157" s="517"/>
      <c r="FN157" s="517"/>
      <c r="FO157" s="517"/>
      <c r="FP157" s="517"/>
      <c r="FQ157" s="517"/>
      <c r="FR157" s="517"/>
      <c r="FS157" s="517"/>
      <c r="FT157" s="517"/>
      <c r="FU157" s="517"/>
      <c r="FV157" s="517"/>
      <c r="FW157" s="517"/>
      <c r="FX157" s="517"/>
      <c r="FY157" s="517"/>
      <c r="FZ157" s="517"/>
      <c r="GA157" s="517"/>
      <c r="GB157" s="517"/>
      <c r="GC157" s="517"/>
      <c r="GD157" s="517"/>
      <c r="GE157" s="517"/>
      <c r="GF157" s="517"/>
      <c r="GG157" s="517"/>
      <c r="GH157" s="517"/>
      <c r="GI157" s="517"/>
      <c r="GJ157" s="517"/>
      <c r="GK157" s="517"/>
      <c r="GL157" s="77"/>
    </row>
    <row r="158" spans="1:194" s="1" customFormat="1" x14ac:dyDescent="0.25">
      <c r="A158" s="108" t="s">
        <v>52</v>
      </c>
      <c r="B158" s="565" t="s">
        <v>228</v>
      </c>
      <c r="C158" s="520" t="str">
        <f t="shared" si="43"/>
        <v>England ICB - NHS Bath and North East Somerset, Swindon and Wiltshire Integrated Care Board</v>
      </c>
      <c r="D158" s="79">
        <f t="shared" ref="D158:E163" si="45">I158</f>
        <v>372192</v>
      </c>
      <c r="E158" s="79">
        <f t="shared" si="45"/>
        <v>388592</v>
      </c>
      <c r="F158" s="109">
        <f t="shared" ref="F158:F163" si="46">G158+H158</f>
        <v>953852</v>
      </c>
      <c r="G158" s="518">
        <f t="shared" ref="G158:G163" si="47">SUM(M158:CY158)</f>
        <v>470982</v>
      </c>
      <c r="H158" s="62">
        <f t="shared" ref="H158:H163" si="48">SUM(CZ158:GL158)</f>
        <v>482870</v>
      </c>
      <c r="I158" s="518">
        <f t="shared" ref="I158:I163" si="49">SUM(AE158:CY158)</f>
        <v>372192</v>
      </c>
      <c r="J158" s="104">
        <f t="shared" ref="J158:J163" si="50">SUM(DR158:GL158)</f>
        <v>388592</v>
      </c>
      <c r="K158" s="106">
        <f t="shared" ref="K158:K163" si="51">SUM(M158:AD158)</f>
        <v>98790</v>
      </c>
      <c r="L158" s="61">
        <f t="shared" ref="L158:L163" si="52">SUM(CZ158:DQ158)</f>
        <v>94278</v>
      </c>
      <c r="M158" s="106">
        <v>4647</v>
      </c>
      <c r="N158" s="519">
        <v>4706</v>
      </c>
      <c r="O158" s="519">
        <v>4907</v>
      </c>
      <c r="P158" s="519">
        <v>5108</v>
      </c>
      <c r="Q158" s="519">
        <v>5293</v>
      </c>
      <c r="R158" s="519">
        <v>5287</v>
      </c>
      <c r="S158" s="519">
        <v>5628</v>
      </c>
      <c r="T158" s="519">
        <v>5623</v>
      </c>
      <c r="U158" s="519">
        <v>5617</v>
      </c>
      <c r="V158" s="519">
        <v>5799</v>
      </c>
      <c r="W158" s="519">
        <v>6160</v>
      </c>
      <c r="X158" s="519">
        <v>6033</v>
      </c>
      <c r="Y158" s="519">
        <v>5955</v>
      </c>
      <c r="Z158" s="519">
        <v>5803</v>
      </c>
      <c r="AA158" s="519">
        <v>5710</v>
      </c>
      <c r="AB158" s="519">
        <v>5605</v>
      </c>
      <c r="AC158" s="519">
        <v>5496</v>
      </c>
      <c r="AD158" s="519">
        <v>5413</v>
      </c>
      <c r="AE158" s="519">
        <v>5967</v>
      </c>
      <c r="AF158" s="519">
        <v>6678</v>
      </c>
      <c r="AG158" s="519">
        <v>6216</v>
      </c>
      <c r="AH158" s="519">
        <v>5569</v>
      </c>
      <c r="AI158" s="519">
        <v>5932</v>
      </c>
      <c r="AJ158" s="519">
        <v>5961</v>
      </c>
      <c r="AK158" s="519">
        <v>5644</v>
      </c>
      <c r="AL158" s="519">
        <v>5569</v>
      </c>
      <c r="AM158" s="519">
        <v>5603</v>
      </c>
      <c r="AN158" s="519">
        <v>5436</v>
      </c>
      <c r="AO158" s="519">
        <v>5723</v>
      </c>
      <c r="AP158" s="519">
        <v>5509</v>
      </c>
      <c r="AQ158" s="519">
        <v>5906</v>
      </c>
      <c r="AR158" s="519">
        <v>5926</v>
      </c>
      <c r="AS158" s="519">
        <v>5999</v>
      </c>
      <c r="AT158" s="519">
        <v>5968</v>
      </c>
      <c r="AU158" s="519">
        <v>6124</v>
      </c>
      <c r="AV158" s="519">
        <v>6089</v>
      </c>
      <c r="AW158" s="519">
        <v>6037</v>
      </c>
      <c r="AX158" s="519">
        <v>5950</v>
      </c>
      <c r="AY158" s="519">
        <v>6029</v>
      </c>
      <c r="AZ158" s="519">
        <v>5880</v>
      </c>
      <c r="BA158" s="519">
        <v>5821</v>
      </c>
      <c r="BB158" s="519">
        <v>5960</v>
      </c>
      <c r="BC158" s="519">
        <v>6033</v>
      </c>
      <c r="BD158" s="519">
        <v>5922</v>
      </c>
      <c r="BE158" s="519">
        <v>5375</v>
      </c>
      <c r="BF158" s="519">
        <v>5274</v>
      </c>
      <c r="BG158" s="519">
        <v>5437</v>
      </c>
      <c r="BH158" s="519">
        <v>5820</v>
      </c>
      <c r="BI158" s="519">
        <v>5866</v>
      </c>
      <c r="BJ158" s="519">
        <v>6432</v>
      </c>
      <c r="BK158" s="519">
        <v>6631</v>
      </c>
      <c r="BL158" s="519">
        <v>6700</v>
      </c>
      <c r="BM158" s="519">
        <v>6536</v>
      </c>
      <c r="BN158" s="519">
        <v>6527</v>
      </c>
      <c r="BO158" s="519">
        <v>6586</v>
      </c>
      <c r="BP158" s="519">
        <v>6746</v>
      </c>
      <c r="BQ158" s="519">
        <v>6723</v>
      </c>
      <c r="BR158" s="519">
        <v>6887</v>
      </c>
      <c r="BS158" s="519">
        <v>6661</v>
      </c>
      <c r="BT158" s="519">
        <v>6550</v>
      </c>
      <c r="BU158" s="519">
        <v>6440</v>
      </c>
      <c r="BV158" s="519">
        <v>6192</v>
      </c>
      <c r="BW158" s="519">
        <v>5977</v>
      </c>
      <c r="BX158" s="519">
        <v>5691</v>
      </c>
      <c r="BY158" s="519">
        <v>5371</v>
      </c>
      <c r="BZ158" s="519">
        <v>5135</v>
      </c>
      <c r="CA158" s="519">
        <v>4863</v>
      </c>
      <c r="CB158" s="519">
        <v>4730</v>
      </c>
      <c r="CC158" s="519">
        <v>4797</v>
      </c>
      <c r="CD158" s="519">
        <v>4544</v>
      </c>
      <c r="CE158" s="519">
        <v>4485</v>
      </c>
      <c r="CF158" s="519">
        <v>4422</v>
      </c>
      <c r="CG158" s="519">
        <v>4421</v>
      </c>
      <c r="CH158" s="519">
        <v>4529</v>
      </c>
      <c r="CI158" s="519">
        <v>4861</v>
      </c>
      <c r="CJ158" s="519">
        <v>5197</v>
      </c>
      <c r="CK158" s="519">
        <v>3865</v>
      </c>
      <c r="CL158" s="519">
        <v>3773</v>
      </c>
      <c r="CM158" s="519">
        <v>3497</v>
      </c>
      <c r="CN158" s="519">
        <v>3141</v>
      </c>
      <c r="CO158" s="519">
        <v>2804</v>
      </c>
      <c r="CP158" s="519">
        <v>2380</v>
      </c>
      <c r="CQ158" s="519">
        <v>2335</v>
      </c>
      <c r="CR158" s="519">
        <v>2209</v>
      </c>
      <c r="CS158" s="519">
        <v>2008</v>
      </c>
      <c r="CT158" s="519">
        <v>1804</v>
      </c>
      <c r="CU158" s="519">
        <v>1625</v>
      </c>
      <c r="CV158" s="519">
        <v>1368</v>
      </c>
      <c r="CW158" s="519">
        <v>1144</v>
      </c>
      <c r="CX158" s="519">
        <v>1023</v>
      </c>
      <c r="CY158" s="61">
        <v>3359</v>
      </c>
      <c r="CZ158" s="106">
        <v>4395</v>
      </c>
      <c r="DA158" s="519">
        <v>4569</v>
      </c>
      <c r="DB158" s="519">
        <v>4724</v>
      </c>
      <c r="DC158" s="519">
        <v>4830</v>
      </c>
      <c r="DD158" s="519">
        <v>5033</v>
      </c>
      <c r="DE158" s="519">
        <v>5193</v>
      </c>
      <c r="DF158" s="519">
        <v>5362</v>
      </c>
      <c r="DG158" s="519">
        <v>5295</v>
      </c>
      <c r="DH158" s="519">
        <v>5344</v>
      </c>
      <c r="DI158" s="519">
        <v>5565</v>
      </c>
      <c r="DJ158" s="519">
        <v>5551</v>
      </c>
      <c r="DK158" s="519">
        <v>5719</v>
      </c>
      <c r="DL158" s="519">
        <v>5546</v>
      </c>
      <c r="DM158" s="519">
        <v>5549</v>
      </c>
      <c r="DN158" s="519">
        <v>5624</v>
      </c>
      <c r="DO158" s="519">
        <v>5574</v>
      </c>
      <c r="DP158" s="519">
        <v>5184</v>
      </c>
      <c r="DQ158" s="519">
        <v>5221</v>
      </c>
      <c r="DR158" s="519">
        <v>5415</v>
      </c>
      <c r="DS158" s="519">
        <v>5600</v>
      </c>
      <c r="DT158" s="519">
        <v>5189</v>
      </c>
      <c r="DU158" s="519">
        <v>4912</v>
      </c>
      <c r="DV158" s="519">
        <v>5426</v>
      </c>
      <c r="DW158" s="519">
        <v>5137</v>
      </c>
      <c r="DX158" s="519">
        <v>5128</v>
      </c>
      <c r="DY158" s="519">
        <v>5294</v>
      </c>
      <c r="DZ158" s="519">
        <v>5013</v>
      </c>
      <c r="EA158" s="519">
        <v>5302</v>
      </c>
      <c r="EB158" s="519">
        <v>5698</v>
      </c>
      <c r="EC158" s="519">
        <v>5815</v>
      </c>
      <c r="ED158" s="519">
        <v>5939</v>
      </c>
      <c r="EE158" s="519">
        <v>6272</v>
      </c>
      <c r="EF158" s="519">
        <v>6263</v>
      </c>
      <c r="EG158" s="519">
        <v>6313</v>
      </c>
      <c r="EH158" s="519">
        <v>6318</v>
      </c>
      <c r="EI158" s="519">
        <v>6535</v>
      </c>
      <c r="EJ158" s="519">
        <v>6131</v>
      </c>
      <c r="EK158" s="519">
        <v>6244</v>
      </c>
      <c r="EL158" s="519">
        <v>6165</v>
      </c>
      <c r="EM158" s="519">
        <v>5942</v>
      </c>
      <c r="EN158" s="519">
        <v>6211</v>
      </c>
      <c r="EO158" s="519">
        <v>6218</v>
      </c>
      <c r="EP158" s="519">
        <v>6104</v>
      </c>
      <c r="EQ158" s="519">
        <v>5799</v>
      </c>
      <c r="ER158" s="519">
        <v>5574</v>
      </c>
      <c r="ES158" s="519">
        <v>5586</v>
      </c>
      <c r="ET158" s="519">
        <v>5770</v>
      </c>
      <c r="EU158" s="519">
        <v>5831</v>
      </c>
      <c r="EV158" s="519">
        <v>6251</v>
      </c>
      <c r="EW158" s="519">
        <v>6563</v>
      </c>
      <c r="EX158" s="519">
        <v>6923</v>
      </c>
      <c r="EY158" s="519">
        <v>6736</v>
      </c>
      <c r="EZ158" s="519">
        <v>6661</v>
      </c>
      <c r="FA158" s="519">
        <v>6860</v>
      </c>
      <c r="FB158" s="519">
        <v>6795</v>
      </c>
      <c r="FC158" s="519">
        <v>7093</v>
      </c>
      <c r="FD158" s="519">
        <v>7056</v>
      </c>
      <c r="FE158" s="519">
        <v>6890</v>
      </c>
      <c r="FF158" s="519">
        <v>6926</v>
      </c>
      <c r="FG158" s="519">
        <v>6551</v>
      </c>
      <c r="FH158" s="519">
        <v>6513</v>
      </c>
      <c r="FI158" s="519">
        <v>6413</v>
      </c>
      <c r="FJ158" s="519">
        <v>5897</v>
      </c>
      <c r="FK158" s="519">
        <v>5838</v>
      </c>
      <c r="FL158" s="519">
        <v>5643</v>
      </c>
      <c r="FM158" s="519">
        <v>5384</v>
      </c>
      <c r="FN158" s="519">
        <v>5189</v>
      </c>
      <c r="FO158" s="519">
        <v>5034</v>
      </c>
      <c r="FP158" s="519">
        <v>5088</v>
      </c>
      <c r="FQ158" s="519">
        <v>5112</v>
      </c>
      <c r="FR158" s="519">
        <v>4845</v>
      </c>
      <c r="FS158" s="519">
        <v>4831</v>
      </c>
      <c r="FT158" s="519">
        <v>4917</v>
      </c>
      <c r="FU158" s="519">
        <v>5074</v>
      </c>
      <c r="FV158" s="519">
        <v>5409</v>
      </c>
      <c r="FW158" s="519">
        <v>5546</v>
      </c>
      <c r="FX158" s="519">
        <v>4375</v>
      </c>
      <c r="FY158" s="519">
        <v>4296</v>
      </c>
      <c r="FZ158" s="519">
        <v>4189</v>
      </c>
      <c r="GA158" s="519">
        <v>3718</v>
      </c>
      <c r="GB158" s="519">
        <v>3306</v>
      </c>
      <c r="GC158" s="519">
        <v>2846</v>
      </c>
      <c r="GD158" s="519">
        <v>2931</v>
      </c>
      <c r="GE158" s="519">
        <v>2828</v>
      </c>
      <c r="GF158" s="519">
        <v>2632</v>
      </c>
      <c r="GG158" s="519">
        <v>2327</v>
      </c>
      <c r="GH158" s="519">
        <v>2137</v>
      </c>
      <c r="GI158" s="519">
        <v>1982</v>
      </c>
      <c r="GJ158" s="519">
        <v>1693</v>
      </c>
      <c r="GK158" s="519">
        <v>1476</v>
      </c>
      <c r="GL158" s="61">
        <v>6674</v>
      </c>
    </row>
    <row r="159" spans="1:194" s="1" customFormat="1" x14ac:dyDescent="0.25">
      <c r="A159" s="110" t="s">
        <v>52</v>
      </c>
      <c r="B159" s="566"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5">
      <c r="A160" s="110" t="s">
        <v>52</v>
      </c>
      <c r="B160" s="566"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5">
      <c r="A161" s="110" t="s">
        <v>52</v>
      </c>
      <c r="B161" s="566"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5">
      <c r="A162" s="110" t="s">
        <v>52</v>
      </c>
      <c r="B162" s="566"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5">
      <c r="A163" s="110" t="s">
        <v>52</v>
      </c>
      <c r="B163" s="566"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5">
      <c r="A164" s="110" t="s">
        <v>52</v>
      </c>
      <c r="B164" s="566"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5">
      <c r="A165" s="110" t="s">
        <v>52</v>
      </c>
      <c r="B165" s="566"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5">
      <c r="A166" s="110" t="s">
        <v>52</v>
      </c>
      <c r="B166" s="566"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5">
      <c r="A167" s="110" t="s">
        <v>52</v>
      </c>
      <c r="B167" s="566"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5">
      <c r="A168" s="110" t="s">
        <v>52</v>
      </c>
      <c r="B168" s="566"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5">
      <c r="A169" s="110" t="s">
        <v>52</v>
      </c>
      <c r="B169" s="566"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5">
      <c r="A170" s="110" t="s">
        <v>52</v>
      </c>
      <c r="B170" s="566"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5">
      <c r="A171" s="110" t="s">
        <v>52</v>
      </c>
      <c r="B171" s="566"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5">
      <c r="A172" s="110" t="s">
        <v>52</v>
      </c>
      <c r="B172" s="566"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5">
      <c r="A173" s="110" t="s">
        <v>52</v>
      </c>
      <c r="B173" s="566"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5">
      <c r="A174" s="110" t="s">
        <v>52</v>
      </c>
      <c r="B174" s="566"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5">
      <c r="A175" s="110" t="s">
        <v>52</v>
      </c>
      <c r="B175" s="566"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5">
      <c r="A176" s="110" t="s">
        <v>52</v>
      </c>
      <c r="B176" s="566"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5">
      <c r="A177" s="110" t="s">
        <v>52</v>
      </c>
      <c r="B177" s="566"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5">
      <c r="A178" s="110" t="s">
        <v>52</v>
      </c>
      <c r="B178" s="566"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5">
      <c r="A179" s="110" t="s">
        <v>52</v>
      </c>
      <c r="B179" s="566"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5">
      <c r="A180" s="110" t="s">
        <v>52</v>
      </c>
      <c r="B180" s="566"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5">
      <c r="A181" s="110" t="s">
        <v>52</v>
      </c>
      <c r="B181" s="566"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5">
      <c r="A182" s="110" t="s">
        <v>52</v>
      </c>
      <c r="B182" s="566"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5">
      <c r="A183" s="110" t="s">
        <v>52</v>
      </c>
      <c r="B183" s="566"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5">
      <c r="A184" s="110" t="s">
        <v>52</v>
      </c>
      <c r="B184" s="566"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5">
      <c r="A185" s="110" t="s">
        <v>52</v>
      </c>
      <c r="B185" s="566"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5">
      <c r="A186" s="110" t="s">
        <v>52</v>
      </c>
      <c r="B186" s="566"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5">
      <c r="A187" s="110" t="s">
        <v>52</v>
      </c>
      <c r="B187" s="566"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5">
      <c r="A188" s="110" t="s">
        <v>52</v>
      </c>
      <c r="B188" s="566"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5">
      <c r="A189" s="110" t="s">
        <v>52</v>
      </c>
      <c r="B189" s="566"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5">
      <c r="A190" s="110" t="s">
        <v>52</v>
      </c>
      <c r="B190" s="566"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5">
      <c r="A191" s="110" t="s">
        <v>52</v>
      </c>
      <c r="B191" s="566"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5">
      <c r="A192" s="110" t="s">
        <v>52</v>
      </c>
      <c r="B192" s="566"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5">
      <c r="A193" s="110" t="s">
        <v>52</v>
      </c>
      <c r="B193" s="566"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5">
      <c r="A194" s="110" t="s">
        <v>52</v>
      </c>
      <c r="B194" s="566"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5">
      <c r="A195" s="110" t="s">
        <v>52</v>
      </c>
      <c r="B195" s="566"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5">
      <c r="A196" s="110" t="s">
        <v>52</v>
      </c>
      <c r="B196" s="566"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5">
      <c r="A197" s="110" t="s">
        <v>52</v>
      </c>
      <c r="B197" s="566"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5">
      <c r="A198" s="110" t="s">
        <v>52</v>
      </c>
      <c r="B198" s="566"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5">
      <c r="A199" s="110" t="s">
        <v>52</v>
      </c>
      <c r="B199" s="566"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25">
      <c r="A200" s="113"/>
      <c r="B200" s="567"/>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5">
      <c r="A201" s="31" t="s">
        <v>81</v>
      </c>
      <c r="B201" s="1" t="s">
        <v>270</v>
      </c>
      <c r="C201" s="72" t="str">
        <f>CONCATENATE(A201," - ",B201)</f>
        <v>LA England - Adur</v>
      </c>
      <c r="D201" s="61">
        <f t="shared" ref="D201:D265" si="73">I201</f>
        <v>24443</v>
      </c>
      <c r="E201" s="61">
        <f t="shared" ref="E201:E265" si="74">J201</f>
        <v>27108</v>
      </c>
      <c r="F201" s="518">
        <f t="shared" ref="F201:F265" si="75">G201+H201</f>
        <v>64688</v>
      </c>
      <c r="G201" s="518">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5">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5">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5">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5">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5">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5">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5">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5">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5">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5">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5">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5">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5">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5">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5">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5">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5">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5">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5">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5">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5">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5">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5">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5">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5">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5">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5">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5">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5">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5">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5">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5">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5">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5">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5">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5">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5">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5">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5">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5">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5">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5">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5">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5">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5">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5">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5">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5">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5">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5">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5">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5">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5">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5">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5">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5">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5">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5">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5">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5">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5">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5">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5">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5">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5">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5">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5">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5">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5">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5">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5">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5">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5">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5">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5">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5">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5">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5">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5">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5">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5">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5">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5">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5">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5">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5">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5">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5">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5">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5">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5">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5">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5">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5">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5">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5">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5">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5">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5">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5">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5">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5">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5">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5">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5">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5">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5">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5">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5">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5">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5">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5">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5">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5">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5">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5">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5">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5">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5">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5">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5">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5">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5">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5">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5">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5">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5">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5">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5">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5">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5">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5">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5">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5">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5">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5">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5">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5">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5">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5">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5">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5">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5">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5">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5">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5">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5">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5">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5">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5">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5">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5">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5">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5">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5">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5">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5">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5">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5">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5">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5">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5">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5">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5">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5">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5">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5">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5">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5">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5">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5">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5">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5">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5">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5">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5">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5">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5">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5">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5">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5">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5">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5">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5">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5">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5">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5">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5">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5">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5">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5">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5">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5">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5">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5">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5">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5">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5">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5">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5">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5">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5">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5">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5">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5">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5">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5">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5">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5">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5">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5">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5">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5">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5">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5">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5">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5">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5">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5">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5">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5">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5">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5">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5">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5">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5">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5">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5">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5">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5">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5">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5">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5">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5">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5">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5">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5">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5">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5">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5">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5">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5">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5">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5">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5">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5">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5">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5">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5">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5">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5">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5">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5">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5">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5">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5">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5">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5">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5">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5">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5">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5">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5">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5">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5">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5">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5">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5">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5">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5">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5">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5">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5">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5">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5">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5">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5">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5">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5">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5">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5">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5">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5">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5">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5">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5">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5">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5">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5">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5">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5">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5">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5">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5">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5">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5">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52">
        <v>391</v>
      </c>
      <c r="N498" s="552">
        <v>334</v>
      </c>
      <c r="O498" s="552">
        <v>374</v>
      </c>
      <c r="P498" s="552">
        <v>393</v>
      </c>
      <c r="Q498" s="552">
        <v>365</v>
      </c>
      <c r="R498" s="552">
        <v>333</v>
      </c>
      <c r="S498" s="552">
        <v>365</v>
      </c>
      <c r="T498" s="552">
        <v>388</v>
      </c>
      <c r="U498" s="552">
        <v>394</v>
      </c>
      <c r="V498" s="552">
        <v>392</v>
      </c>
      <c r="W498" s="552">
        <v>375</v>
      </c>
      <c r="X498" s="552">
        <v>423</v>
      </c>
      <c r="Y498" s="552">
        <v>403</v>
      </c>
      <c r="Z498" s="552">
        <v>425</v>
      </c>
      <c r="AA498" s="552">
        <v>394</v>
      </c>
      <c r="AB498" s="552">
        <v>319</v>
      </c>
      <c r="AC498" s="552">
        <v>337</v>
      </c>
      <c r="AD498" s="552">
        <v>363</v>
      </c>
      <c r="AE498" s="552">
        <v>363</v>
      </c>
      <c r="AF498" s="552">
        <v>317</v>
      </c>
      <c r="AG498" s="552">
        <v>288</v>
      </c>
      <c r="AH498" s="552">
        <v>332</v>
      </c>
      <c r="AI498" s="552">
        <v>374</v>
      </c>
      <c r="AJ498" s="552">
        <v>338</v>
      </c>
      <c r="AK498" s="552">
        <v>389</v>
      </c>
      <c r="AL498" s="552">
        <v>412</v>
      </c>
      <c r="AM498" s="552">
        <v>367</v>
      </c>
      <c r="AN498" s="552">
        <v>361</v>
      </c>
      <c r="AO498" s="552">
        <v>441</v>
      </c>
      <c r="AP498" s="552">
        <v>438</v>
      </c>
      <c r="AQ498" s="552">
        <v>468</v>
      </c>
      <c r="AR498" s="552">
        <v>465</v>
      </c>
      <c r="AS498" s="552">
        <v>442</v>
      </c>
      <c r="AT498" s="552">
        <v>467</v>
      </c>
      <c r="AU498" s="552">
        <v>398</v>
      </c>
      <c r="AV498" s="552">
        <v>423</v>
      </c>
      <c r="AW498" s="552">
        <v>418</v>
      </c>
      <c r="AX498" s="552">
        <v>449</v>
      </c>
      <c r="AY498" s="552">
        <v>389</v>
      </c>
      <c r="AZ498" s="552">
        <v>409</v>
      </c>
      <c r="BA498" s="552">
        <v>365</v>
      </c>
      <c r="BB498" s="552">
        <v>396</v>
      </c>
      <c r="BC498" s="552">
        <v>373</v>
      </c>
      <c r="BD498" s="552">
        <v>369</v>
      </c>
      <c r="BE498" s="552">
        <v>348</v>
      </c>
      <c r="BF498" s="552">
        <v>299</v>
      </c>
      <c r="BG498" s="552">
        <v>345</v>
      </c>
      <c r="BH498" s="552">
        <v>417</v>
      </c>
      <c r="BI498" s="552">
        <v>386</v>
      </c>
      <c r="BJ498" s="552">
        <v>430</v>
      </c>
      <c r="BK498" s="552">
        <v>495</v>
      </c>
      <c r="BL498" s="552">
        <v>469</v>
      </c>
      <c r="BM498" s="552">
        <v>471</v>
      </c>
      <c r="BN498" s="552">
        <v>521</v>
      </c>
      <c r="BO498" s="552">
        <v>498</v>
      </c>
      <c r="BP498" s="552">
        <v>491</v>
      </c>
      <c r="BQ498" s="552">
        <v>525</v>
      </c>
      <c r="BR498" s="552">
        <v>529</v>
      </c>
      <c r="BS498" s="552">
        <v>512</v>
      </c>
      <c r="BT498" s="552">
        <v>493</v>
      </c>
      <c r="BU498" s="552">
        <v>503</v>
      </c>
      <c r="BV498" s="552">
        <v>432</v>
      </c>
      <c r="BW498" s="552">
        <v>445</v>
      </c>
      <c r="BX498" s="552">
        <v>434</v>
      </c>
      <c r="BY498" s="552">
        <v>364</v>
      </c>
      <c r="BZ498" s="552">
        <v>441</v>
      </c>
      <c r="CA498" s="552">
        <v>389</v>
      </c>
      <c r="CB498" s="552">
        <v>372</v>
      </c>
      <c r="CC498" s="552">
        <v>364</v>
      </c>
      <c r="CD498" s="552">
        <v>375</v>
      </c>
      <c r="CE498" s="552">
        <v>341</v>
      </c>
      <c r="CF498" s="552">
        <v>358</v>
      </c>
      <c r="CG498" s="552">
        <v>351</v>
      </c>
      <c r="CH498" s="552">
        <v>359</v>
      </c>
      <c r="CI498" s="552">
        <v>343</v>
      </c>
      <c r="CJ498" s="552">
        <v>401</v>
      </c>
      <c r="CK498" s="552">
        <v>297</v>
      </c>
      <c r="CL498" s="552">
        <v>262</v>
      </c>
      <c r="CM498" s="552">
        <v>235</v>
      </c>
      <c r="CN498" s="552">
        <v>261</v>
      </c>
      <c r="CO498" s="552">
        <v>210</v>
      </c>
      <c r="CP498" s="552">
        <v>179</v>
      </c>
      <c r="CQ498" s="552">
        <v>155</v>
      </c>
      <c r="CR498" s="552">
        <v>164</v>
      </c>
      <c r="CS498" s="552">
        <v>135</v>
      </c>
      <c r="CT498" s="552">
        <v>101</v>
      </c>
      <c r="CU498" s="552">
        <v>100</v>
      </c>
      <c r="CV498" s="552">
        <v>87</v>
      </c>
      <c r="CW498" s="552">
        <v>55</v>
      </c>
      <c r="CX498" s="552">
        <v>58</v>
      </c>
      <c r="CY498" s="552">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5">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52">
        <v>731</v>
      </c>
      <c r="N499" s="552">
        <v>689</v>
      </c>
      <c r="O499" s="552">
        <v>714</v>
      </c>
      <c r="P499" s="552">
        <v>751</v>
      </c>
      <c r="Q499" s="552">
        <v>788</v>
      </c>
      <c r="R499" s="552">
        <v>823</v>
      </c>
      <c r="S499" s="552">
        <v>811</v>
      </c>
      <c r="T499" s="552">
        <v>852</v>
      </c>
      <c r="U499" s="552">
        <v>862</v>
      </c>
      <c r="V499" s="552">
        <v>879</v>
      </c>
      <c r="W499" s="552">
        <v>884</v>
      </c>
      <c r="X499" s="552">
        <v>978</v>
      </c>
      <c r="Y499" s="552">
        <v>895</v>
      </c>
      <c r="Z499" s="552">
        <v>924</v>
      </c>
      <c r="AA499" s="552">
        <v>890</v>
      </c>
      <c r="AB499" s="552">
        <v>868</v>
      </c>
      <c r="AC499" s="552">
        <v>836</v>
      </c>
      <c r="AD499" s="552">
        <v>905</v>
      </c>
      <c r="AE499" s="552">
        <v>777</v>
      </c>
      <c r="AF499" s="552">
        <v>641</v>
      </c>
      <c r="AG499" s="552">
        <v>674</v>
      </c>
      <c r="AH499" s="552">
        <v>686</v>
      </c>
      <c r="AI499" s="552">
        <v>727</v>
      </c>
      <c r="AJ499" s="552">
        <v>840</v>
      </c>
      <c r="AK499" s="552">
        <v>858</v>
      </c>
      <c r="AL499" s="552">
        <v>945</v>
      </c>
      <c r="AM499" s="552">
        <v>890</v>
      </c>
      <c r="AN499" s="552">
        <v>816</v>
      </c>
      <c r="AO499" s="552">
        <v>944</v>
      </c>
      <c r="AP499" s="552">
        <v>857</v>
      </c>
      <c r="AQ499" s="552">
        <v>968</v>
      </c>
      <c r="AR499" s="552">
        <v>910</v>
      </c>
      <c r="AS499" s="552">
        <v>982</v>
      </c>
      <c r="AT499" s="552">
        <v>986</v>
      </c>
      <c r="AU499" s="552">
        <v>996</v>
      </c>
      <c r="AV499" s="552">
        <v>984</v>
      </c>
      <c r="AW499" s="552">
        <v>944</v>
      </c>
      <c r="AX499" s="552">
        <v>937</v>
      </c>
      <c r="AY499" s="552">
        <v>874</v>
      </c>
      <c r="AZ499" s="552">
        <v>882</v>
      </c>
      <c r="BA499" s="552">
        <v>860</v>
      </c>
      <c r="BB499" s="552">
        <v>916</v>
      </c>
      <c r="BC499" s="552">
        <v>935</v>
      </c>
      <c r="BD499" s="552">
        <v>885</v>
      </c>
      <c r="BE499" s="552">
        <v>798</v>
      </c>
      <c r="BF499" s="552">
        <v>764</v>
      </c>
      <c r="BG499" s="552">
        <v>821</v>
      </c>
      <c r="BH499" s="552">
        <v>816</v>
      </c>
      <c r="BI499" s="552">
        <v>884</v>
      </c>
      <c r="BJ499" s="552">
        <v>901</v>
      </c>
      <c r="BK499" s="552">
        <v>1009</v>
      </c>
      <c r="BL499" s="552">
        <v>1091</v>
      </c>
      <c r="BM499" s="552">
        <v>977</v>
      </c>
      <c r="BN499" s="552">
        <v>1017</v>
      </c>
      <c r="BO499" s="552">
        <v>1078</v>
      </c>
      <c r="BP499" s="552">
        <v>1056</v>
      </c>
      <c r="BQ499" s="552">
        <v>1081</v>
      </c>
      <c r="BR499" s="552">
        <v>1062</v>
      </c>
      <c r="BS499" s="552">
        <v>1067</v>
      </c>
      <c r="BT499" s="552">
        <v>1000</v>
      </c>
      <c r="BU499" s="552">
        <v>1035</v>
      </c>
      <c r="BV499" s="552">
        <v>984</v>
      </c>
      <c r="BW499" s="552">
        <v>918</v>
      </c>
      <c r="BX499" s="552">
        <v>903</v>
      </c>
      <c r="BY499" s="552">
        <v>907</v>
      </c>
      <c r="BZ499" s="552">
        <v>835</v>
      </c>
      <c r="CA499" s="552">
        <v>831</v>
      </c>
      <c r="CB499" s="552">
        <v>766</v>
      </c>
      <c r="CC499" s="552">
        <v>742</v>
      </c>
      <c r="CD499" s="552">
        <v>776</v>
      </c>
      <c r="CE499" s="552">
        <v>736</v>
      </c>
      <c r="CF499" s="552">
        <v>767</v>
      </c>
      <c r="CG499" s="552">
        <v>726</v>
      </c>
      <c r="CH499" s="552">
        <v>780</v>
      </c>
      <c r="CI499" s="552">
        <v>754</v>
      </c>
      <c r="CJ499" s="552">
        <v>809</v>
      </c>
      <c r="CK499" s="552">
        <v>632</v>
      </c>
      <c r="CL499" s="552">
        <v>617</v>
      </c>
      <c r="CM499" s="552">
        <v>572</v>
      </c>
      <c r="CN499" s="552">
        <v>506</v>
      </c>
      <c r="CO499" s="552">
        <v>443</v>
      </c>
      <c r="CP499" s="552">
        <v>449</v>
      </c>
      <c r="CQ499" s="552">
        <v>367</v>
      </c>
      <c r="CR499" s="552">
        <v>336</v>
      </c>
      <c r="CS499" s="552">
        <v>314</v>
      </c>
      <c r="CT499" s="552">
        <v>257</v>
      </c>
      <c r="CU499" s="552">
        <v>226</v>
      </c>
      <c r="CV499" s="552">
        <v>223</v>
      </c>
      <c r="CW499" s="552">
        <v>154</v>
      </c>
      <c r="CX499" s="552">
        <v>144</v>
      </c>
      <c r="CY499" s="552">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5">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52">
        <v>834</v>
      </c>
      <c r="N500" s="552">
        <v>824</v>
      </c>
      <c r="O500" s="552">
        <v>908</v>
      </c>
      <c r="P500" s="552">
        <v>935</v>
      </c>
      <c r="Q500" s="552">
        <v>1007</v>
      </c>
      <c r="R500" s="552">
        <v>996</v>
      </c>
      <c r="S500" s="552">
        <v>1029</v>
      </c>
      <c r="T500" s="552">
        <v>1072</v>
      </c>
      <c r="U500" s="552">
        <v>1068</v>
      </c>
      <c r="V500" s="552">
        <v>1056</v>
      </c>
      <c r="W500" s="552">
        <v>1069</v>
      </c>
      <c r="X500" s="552">
        <v>1095</v>
      </c>
      <c r="Y500" s="552">
        <v>1148</v>
      </c>
      <c r="Z500" s="552">
        <v>1126</v>
      </c>
      <c r="AA500" s="552">
        <v>1141</v>
      </c>
      <c r="AB500" s="552">
        <v>1053</v>
      </c>
      <c r="AC500" s="552">
        <v>1026</v>
      </c>
      <c r="AD500" s="552">
        <v>1028</v>
      </c>
      <c r="AE500" s="552">
        <v>1108</v>
      </c>
      <c r="AF500" s="552">
        <v>875</v>
      </c>
      <c r="AG500" s="552">
        <v>817</v>
      </c>
      <c r="AH500" s="552">
        <v>888</v>
      </c>
      <c r="AI500" s="552">
        <v>942</v>
      </c>
      <c r="AJ500" s="552">
        <v>891</v>
      </c>
      <c r="AK500" s="552">
        <v>901</v>
      </c>
      <c r="AL500" s="552">
        <v>1103</v>
      </c>
      <c r="AM500" s="552">
        <v>1005</v>
      </c>
      <c r="AN500" s="552">
        <v>987</v>
      </c>
      <c r="AO500" s="552">
        <v>1032</v>
      </c>
      <c r="AP500" s="552">
        <v>1030</v>
      </c>
      <c r="AQ500" s="552">
        <v>1074</v>
      </c>
      <c r="AR500" s="552">
        <v>1182</v>
      </c>
      <c r="AS500" s="552">
        <v>1115</v>
      </c>
      <c r="AT500" s="552">
        <v>1132</v>
      </c>
      <c r="AU500" s="552">
        <v>1167</v>
      </c>
      <c r="AV500" s="552">
        <v>1071</v>
      </c>
      <c r="AW500" s="552">
        <v>1140</v>
      </c>
      <c r="AX500" s="552">
        <v>1077</v>
      </c>
      <c r="AY500" s="552">
        <v>1079</v>
      </c>
      <c r="AZ500" s="552">
        <v>1060</v>
      </c>
      <c r="BA500" s="552">
        <v>1012</v>
      </c>
      <c r="BB500" s="552">
        <v>1070</v>
      </c>
      <c r="BC500" s="552">
        <v>1085</v>
      </c>
      <c r="BD500" s="552">
        <v>1002</v>
      </c>
      <c r="BE500" s="552">
        <v>958</v>
      </c>
      <c r="BF500" s="552">
        <v>997</v>
      </c>
      <c r="BG500" s="552">
        <v>992</v>
      </c>
      <c r="BH500" s="552">
        <v>988</v>
      </c>
      <c r="BI500" s="552">
        <v>1077</v>
      </c>
      <c r="BJ500" s="552">
        <v>1113</v>
      </c>
      <c r="BK500" s="552">
        <v>1157</v>
      </c>
      <c r="BL500" s="552">
        <v>1232</v>
      </c>
      <c r="BM500" s="552">
        <v>1129</v>
      </c>
      <c r="BN500" s="552">
        <v>1299</v>
      </c>
      <c r="BO500" s="552">
        <v>1259</v>
      </c>
      <c r="BP500" s="552">
        <v>1214</v>
      </c>
      <c r="BQ500" s="552">
        <v>1265</v>
      </c>
      <c r="BR500" s="552">
        <v>1277</v>
      </c>
      <c r="BS500" s="552">
        <v>1255</v>
      </c>
      <c r="BT500" s="552">
        <v>1273</v>
      </c>
      <c r="BU500" s="552">
        <v>1181</v>
      </c>
      <c r="BV500" s="552">
        <v>1146</v>
      </c>
      <c r="BW500" s="552">
        <v>1118</v>
      </c>
      <c r="BX500" s="552">
        <v>1064</v>
      </c>
      <c r="BY500" s="552">
        <v>1058</v>
      </c>
      <c r="BZ500" s="552">
        <v>1029</v>
      </c>
      <c r="CA500" s="552">
        <v>925</v>
      </c>
      <c r="CB500" s="552">
        <v>870</v>
      </c>
      <c r="CC500" s="552">
        <v>989</v>
      </c>
      <c r="CD500" s="552">
        <v>948</v>
      </c>
      <c r="CE500" s="552">
        <v>880</v>
      </c>
      <c r="CF500" s="552">
        <v>910</v>
      </c>
      <c r="CG500" s="552">
        <v>938</v>
      </c>
      <c r="CH500" s="552">
        <v>837</v>
      </c>
      <c r="CI500" s="552">
        <v>970</v>
      </c>
      <c r="CJ500" s="552">
        <v>989</v>
      </c>
      <c r="CK500" s="552">
        <v>740</v>
      </c>
      <c r="CL500" s="552">
        <v>691</v>
      </c>
      <c r="CM500" s="552">
        <v>645</v>
      </c>
      <c r="CN500" s="552">
        <v>570</v>
      </c>
      <c r="CO500" s="552">
        <v>578</v>
      </c>
      <c r="CP500" s="552">
        <v>442</v>
      </c>
      <c r="CQ500" s="552">
        <v>426</v>
      </c>
      <c r="CR500" s="552">
        <v>410</v>
      </c>
      <c r="CS500" s="552">
        <v>355</v>
      </c>
      <c r="CT500" s="552">
        <v>296</v>
      </c>
      <c r="CU500" s="552">
        <v>259</v>
      </c>
      <c r="CV500" s="552">
        <v>215</v>
      </c>
      <c r="CW500" s="552">
        <v>176</v>
      </c>
      <c r="CX500" s="552">
        <v>150</v>
      </c>
      <c r="CY500" s="552">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5">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52">
        <v>1950</v>
      </c>
      <c r="N501" s="552">
        <v>1875</v>
      </c>
      <c r="O501" s="552">
        <v>1880</v>
      </c>
      <c r="P501" s="552">
        <v>1977</v>
      </c>
      <c r="Q501" s="552">
        <v>2035</v>
      </c>
      <c r="R501" s="552">
        <v>2099</v>
      </c>
      <c r="S501" s="552">
        <v>2234</v>
      </c>
      <c r="T501" s="552">
        <v>2194</v>
      </c>
      <c r="U501" s="552">
        <v>2213</v>
      </c>
      <c r="V501" s="552">
        <v>2181</v>
      </c>
      <c r="W501" s="552">
        <v>2303</v>
      </c>
      <c r="X501" s="552">
        <v>2380</v>
      </c>
      <c r="Y501" s="552">
        <v>2271</v>
      </c>
      <c r="Z501" s="552">
        <v>2188</v>
      </c>
      <c r="AA501" s="552">
        <v>2173</v>
      </c>
      <c r="AB501" s="552">
        <v>2117</v>
      </c>
      <c r="AC501" s="552">
        <v>2130</v>
      </c>
      <c r="AD501" s="552">
        <v>2130</v>
      </c>
      <c r="AE501" s="552">
        <v>2327</v>
      </c>
      <c r="AF501" s="552">
        <v>4164</v>
      </c>
      <c r="AG501" s="552">
        <v>4565</v>
      </c>
      <c r="AH501" s="552">
        <v>4249</v>
      </c>
      <c r="AI501" s="552">
        <v>3797</v>
      </c>
      <c r="AJ501" s="552">
        <v>3628</v>
      </c>
      <c r="AK501" s="552">
        <v>3513</v>
      </c>
      <c r="AL501" s="552">
        <v>3439</v>
      </c>
      <c r="AM501" s="552">
        <v>3420</v>
      </c>
      <c r="AN501" s="552">
        <v>3228</v>
      </c>
      <c r="AO501" s="552">
        <v>3077</v>
      </c>
      <c r="AP501" s="552">
        <v>2999</v>
      </c>
      <c r="AQ501" s="552">
        <v>2824</v>
      </c>
      <c r="AR501" s="552">
        <v>2846</v>
      </c>
      <c r="AS501" s="552">
        <v>2776</v>
      </c>
      <c r="AT501" s="552">
        <v>2588</v>
      </c>
      <c r="AU501" s="552">
        <v>2705</v>
      </c>
      <c r="AV501" s="552">
        <v>2608</v>
      </c>
      <c r="AW501" s="552">
        <v>2669</v>
      </c>
      <c r="AX501" s="552">
        <v>2467</v>
      </c>
      <c r="AY501" s="552">
        <v>2494</v>
      </c>
      <c r="AZ501" s="552">
        <v>2498</v>
      </c>
      <c r="BA501" s="552">
        <v>2343</v>
      </c>
      <c r="BB501" s="552">
        <v>2361</v>
      </c>
      <c r="BC501" s="552">
        <v>2324</v>
      </c>
      <c r="BD501" s="552">
        <v>2260</v>
      </c>
      <c r="BE501" s="552">
        <v>2022</v>
      </c>
      <c r="BF501" s="552">
        <v>2128</v>
      </c>
      <c r="BG501" s="552">
        <v>2019</v>
      </c>
      <c r="BH501" s="552">
        <v>2027</v>
      </c>
      <c r="BI501" s="552">
        <v>2070</v>
      </c>
      <c r="BJ501" s="552">
        <v>1928</v>
      </c>
      <c r="BK501" s="552">
        <v>1966</v>
      </c>
      <c r="BL501" s="552">
        <v>2100</v>
      </c>
      <c r="BM501" s="552">
        <v>2061</v>
      </c>
      <c r="BN501" s="552">
        <v>2078</v>
      </c>
      <c r="BO501" s="552">
        <v>1992</v>
      </c>
      <c r="BP501" s="552">
        <v>2070</v>
      </c>
      <c r="BQ501" s="552">
        <v>1888</v>
      </c>
      <c r="BR501" s="552">
        <v>2027</v>
      </c>
      <c r="BS501" s="552">
        <v>1976</v>
      </c>
      <c r="BT501" s="552">
        <v>1918</v>
      </c>
      <c r="BU501" s="552">
        <v>1994</v>
      </c>
      <c r="BV501" s="552">
        <v>1814</v>
      </c>
      <c r="BW501" s="552">
        <v>1830</v>
      </c>
      <c r="BX501" s="552">
        <v>1808</v>
      </c>
      <c r="BY501" s="552">
        <v>1654</v>
      </c>
      <c r="BZ501" s="552">
        <v>1666</v>
      </c>
      <c r="CA501" s="552">
        <v>1538</v>
      </c>
      <c r="CB501" s="552">
        <v>1449</v>
      </c>
      <c r="CC501" s="552">
        <v>1467</v>
      </c>
      <c r="CD501" s="552">
        <v>1364</v>
      </c>
      <c r="CE501" s="552">
        <v>1286</v>
      </c>
      <c r="CF501" s="552">
        <v>1359</v>
      </c>
      <c r="CG501" s="552">
        <v>1353</v>
      </c>
      <c r="CH501" s="552">
        <v>1306</v>
      </c>
      <c r="CI501" s="552">
        <v>1244</v>
      </c>
      <c r="CJ501" s="552">
        <v>1342</v>
      </c>
      <c r="CK501" s="552">
        <v>991</v>
      </c>
      <c r="CL501" s="552">
        <v>942</v>
      </c>
      <c r="CM501" s="552">
        <v>905</v>
      </c>
      <c r="CN501" s="552">
        <v>742</v>
      </c>
      <c r="CO501" s="552">
        <v>691</v>
      </c>
      <c r="CP501" s="552">
        <v>611</v>
      </c>
      <c r="CQ501" s="552">
        <v>589</v>
      </c>
      <c r="CR501" s="552">
        <v>538</v>
      </c>
      <c r="CS501" s="552">
        <v>490</v>
      </c>
      <c r="CT501" s="552">
        <v>446</v>
      </c>
      <c r="CU501" s="552">
        <v>394</v>
      </c>
      <c r="CV501" s="552">
        <v>368</v>
      </c>
      <c r="CW501" s="552">
        <v>281</v>
      </c>
      <c r="CX501" s="552">
        <v>249</v>
      </c>
      <c r="CY501" s="552">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5">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52">
        <v>856</v>
      </c>
      <c r="N502" s="552">
        <v>866</v>
      </c>
      <c r="O502" s="552">
        <v>854</v>
      </c>
      <c r="P502" s="552">
        <v>934</v>
      </c>
      <c r="Q502" s="552">
        <v>976</v>
      </c>
      <c r="R502" s="552">
        <v>1016</v>
      </c>
      <c r="S502" s="552">
        <v>1068</v>
      </c>
      <c r="T502" s="552">
        <v>1057</v>
      </c>
      <c r="U502" s="552">
        <v>1032</v>
      </c>
      <c r="V502" s="552">
        <v>1077</v>
      </c>
      <c r="W502" s="552">
        <v>1158</v>
      </c>
      <c r="X502" s="552">
        <v>1168</v>
      </c>
      <c r="Y502" s="552">
        <v>1148</v>
      </c>
      <c r="Z502" s="552">
        <v>1099</v>
      </c>
      <c r="AA502" s="552">
        <v>1137</v>
      </c>
      <c r="AB502" s="552">
        <v>1146</v>
      </c>
      <c r="AC502" s="552">
        <v>1150</v>
      </c>
      <c r="AD502" s="552">
        <v>1098</v>
      </c>
      <c r="AE502" s="552">
        <v>1071</v>
      </c>
      <c r="AF502" s="552">
        <v>898</v>
      </c>
      <c r="AG502" s="552">
        <v>829</v>
      </c>
      <c r="AH502" s="552">
        <v>834</v>
      </c>
      <c r="AI502" s="552">
        <v>847</v>
      </c>
      <c r="AJ502" s="552">
        <v>907</v>
      </c>
      <c r="AK502" s="552">
        <v>957</v>
      </c>
      <c r="AL502" s="552">
        <v>1013</v>
      </c>
      <c r="AM502" s="552">
        <v>1000</v>
      </c>
      <c r="AN502" s="552">
        <v>923</v>
      </c>
      <c r="AO502" s="552">
        <v>977</v>
      </c>
      <c r="AP502" s="552">
        <v>975</v>
      </c>
      <c r="AQ502" s="552">
        <v>1005</v>
      </c>
      <c r="AR502" s="552">
        <v>1049</v>
      </c>
      <c r="AS502" s="552">
        <v>1077</v>
      </c>
      <c r="AT502" s="552">
        <v>1035</v>
      </c>
      <c r="AU502" s="552">
        <v>1116</v>
      </c>
      <c r="AV502" s="552">
        <v>1060</v>
      </c>
      <c r="AW502" s="552">
        <v>1050</v>
      </c>
      <c r="AX502" s="552">
        <v>991</v>
      </c>
      <c r="AY502" s="552">
        <v>1021</v>
      </c>
      <c r="AZ502" s="552">
        <v>1015</v>
      </c>
      <c r="BA502" s="552">
        <v>996</v>
      </c>
      <c r="BB502" s="552">
        <v>1033</v>
      </c>
      <c r="BC502" s="552">
        <v>1042</v>
      </c>
      <c r="BD502" s="552">
        <v>1003</v>
      </c>
      <c r="BE502" s="552">
        <v>929</v>
      </c>
      <c r="BF502" s="552">
        <v>918</v>
      </c>
      <c r="BG502" s="552">
        <v>1008</v>
      </c>
      <c r="BH502" s="552">
        <v>1037</v>
      </c>
      <c r="BI502" s="552">
        <v>1074</v>
      </c>
      <c r="BJ502" s="552">
        <v>1130</v>
      </c>
      <c r="BK502" s="552">
        <v>1203</v>
      </c>
      <c r="BL502" s="552">
        <v>1281</v>
      </c>
      <c r="BM502" s="552">
        <v>1243</v>
      </c>
      <c r="BN502" s="552">
        <v>1231</v>
      </c>
      <c r="BO502" s="552">
        <v>1260</v>
      </c>
      <c r="BP502" s="552">
        <v>1356</v>
      </c>
      <c r="BQ502" s="552">
        <v>1372</v>
      </c>
      <c r="BR502" s="552">
        <v>1413</v>
      </c>
      <c r="BS502" s="552">
        <v>1455</v>
      </c>
      <c r="BT502" s="552">
        <v>1317</v>
      </c>
      <c r="BU502" s="552">
        <v>1416</v>
      </c>
      <c r="BV502" s="552">
        <v>1373</v>
      </c>
      <c r="BW502" s="552">
        <v>1349</v>
      </c>
      <c r="BX502" s="552">
        <v>1279</v>
      </c>
      <c r="BY502" s="552">
        <v>1311</v>
      </c>
      <c r="BZ502" s="552">
        <v>1261</v>
      </c>
      <c r="CA502" s="552">
        <v>1172</v>
      </c>
      <c r="CB502" s="552">
        <v>1270</v>
      </c>
      <c r="CC502" s="552">
        <v>1212</v>
      </c>
      <c r="CD502" s="552">
        <v>1197</v>
      </c>
      <c r="CE502" s="552">
        <v>1164</v>
      </c>
      <c r="CF502" s="552">
        <v>1112</v>
      </c>
      <c r="CG502" s="552">
        <v>1141</v>
      </c>
      <c r="CH502" s="552">
        <v>1175</v>
      </c>
      <c r="CI502" s="552">
        <v>1186</v>
      </c>
      <c r="CJ502" s="552">
        <v>1175</v>
      </c>
      <c r="CK502" s="552">
        <v>999</v>
      </c>
      <c r="CL502" s="552">
        <v>920</v>
      </c>
      <c r="CM502" s="552">
        <v>863</v>
      </c>
      <c r="CN502" s="552">
        <v>789</v>
      </c>
      <c r="CO502" s="552">
        <v>736</v>
      </c>
      <c r="CP502" s="552">
        <v>619</v>
      </c>
      <c r="CQ502" s="552">
        <v>561</v>
      </c>
      <c r="CR502" s="552">
        <v>506</v>
      </c>
      <c r="CS502" s="552">
        <v>445</v>
      </c>
      <c r="CT502" s="552">
        <v>454</v>
      </c>
      <c r="CU502" s="552">
        <v>361</v>
      </c>
      <c r="CV502" s="552">
        <v>330</v>
      </c>
      <c r="CW502" s="552">
        <v>265</v>
      </c>
      <c r="CX502" s="552">
        <v>198</v>
      </c>
      <c r="CY502" s="552">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5">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52">
        <v>276</v>
      </c>
      <c r="N503" s="552">
        <v>237</v>
      </c>
      <c r="O503" s="552">
        <v>271</v>
      </c>
      <c r="P503" s="552">
        <v>294</v>
      </c>
      <c r="Q503" s="552">
        <v>285</v>
      </c>
      <c r="R503" s="552">
        <v>312</v>
      </c>
      <c r="S503" s="552">
        <v>341</v>
      </c>
      <c r="T503" s="552">
        <v>317</v>
      </c>
      <c r="U503" s="552">
        <v>309</v>
      </c>
      <c r="V503" s="552">
        <v>360</v>
      </c>
      <c r="W503" s="552">
        <v>360</v>
      </c>
      <c r="X503" s="552">
        <v>370</v>
      </c>
      <c r="Y503" s="552">
        <v>368</v>
      </c>
      <c r="Z503" s="552">
        <v>326</v>
      </c>
      <c r="AA503" s="552">
        <v>334</v>
      </c>
      <c r="AB503" s="552">
        <v>346</v>
      </c>
      <c r="AC503" s="552">
        <v>355</v>
      </c>
      <c r="AD503" s="552">
        <v>378</v>
      </c>
      <c r="AE503" s="552">
        <v>435</v>
      </c>
      <c r="AF503" s="552">
        <v>855</v>
      </c>
      <c r="AG503" s="552">
        <v>809</v>
      </c>
      <c r="AH503" s="552">
        <v>767</v>
      </c>
      <c r="AI503" s="552">
        <v>615</v>
      </c>
      <c r="AJ503" s="552">
        <v>548</v>
      </c>
      <c r="AK503" s="552">
        <v>432</v>
      </c>
      <c r="AL503" s="552">
        <v>350</v>
      </c>
      <c r="AM503" s="552">
        <v>336</v>
      </c>
      <c r="AN503" s="552">
        <v>361</v>
      </c>
      <c r="AO503" s="552">
        <v>363</v>
      </c>
      <c r="AP503" s="552">
        <v>307</v>
      </c>
      <c r="AQ503" s="552">
        <v>338</v>
      </c>
      <c r="AR503" s="552">
        <v>347</v>
      </c>
      <c r="AS503" s="552">
        <v>354</v>
      </c>
      <c r="AT503" s="552">
        <v>356</v>
      </c>
      <c r="AU503" s="552">
        <v>352</v>
      </c>
      <c r="AV503" s="552">
        <v>311</v>
      </c>
      <c r="AW503" s="552">
        <v>316</v>
      </c>
      <c r="AX503" s="552">
        <v>334</v>
      </c>
      <c r="AY503" s="552">
        <v>320</v>
      </c>
      <c r="AZ503" s="552">
        <v>335</v>
      </c>
      <c r="BA503" s="552">
        <v>353</v>
      </c>
      <c r="BB503" s="552">
        <v>347</v>
      </c>
      <c r="BC503" s="552">
        <v>316</v>
      </c>
      <c r="BD503" s="552">
        <v>308</v>
      </c>
      <c r="BE503" s="552">
        <v>280</v>
      </c>
      <c r="BF503" s="552">
        <v>309</v>
      </c>
      <c r="BG503" s="552">
        <v>342</v>
      </c>
      <c r="BH503" s="552">
        <v>348</v>
      </c>
      <c r="BI503" s="552">
        <v>356</v>
      </c>
      <c r="BJ503" s="552">
        <v>339</v>
      </c>
      <c r="BK503" s="552">
        <v>402</v>
      </c>
      <c r="BL503" s="552">
        <v>431</v>
      </c>
      <c r="BM503" s="552">
        <v>435</v>
      </c>
      <c r="BN503" s="552">
        <v>504</v>
      </c>
      <c r="BO503" s="552">
        <v>475</v>
      </c>
      <c r="BP503" s="552">
        <v>496</v>
      </c>
      <c r="BQ503" s="552">
        <v>511</v>
      </c>
      <c r="BR503" s="552">
        <v>501</v>
      </c>
      <c r="BS503" s="552">
        <v>541</v>
      </c>
      <c r="BT503" s="552">
        <v>553</v>
      </c>
      <c r="BU503" s="552">
        <v>538</v>
      </c>
      <c r="BV503" s="552">
        <v>517</v>
      </c>
      <c r="BW503" s="552">
        <v>495</v>
      </c>
      <c r="BX503" s="552">
        <v>529</v>
      </c>
      <c r="BY503" s="552">
        <v>518</v>
      </c>
      <c r="BZ503" s="552">
        <v>495</v>
      </c>
      <c r="CA503" s="552">
        <v>519</v>
      </c>
      <c r="CB503" s="552">
        <v>491</v>
      </c>
      <c r="CC503" s="552">
        <v>490</v>
      </c>
      <c r="CD503" s="552">
        <v>448</v>
      </c>
      <c r="CE503" s="552">
        <v>472</v>
      </c>
      <c r="CF503" s="552">
        <v>453</v>
      </c>
      <c r="CG503" s="552">
        <v>454</v>
      </c>
      <c r="CH503" s="552">
        <v>509</v>
      </c>
      <c r="CI503" s="552">
        <v>531</v>
      </c>
      <c r="CJ503" s="552">
        <v>500</v>
      </c>
      <c r="CK503" s="552">
        <v>376</v>
      </c>
      <c r="CL503" s="552">
        <v>376</v>
      </c>
      <c r="CM503" s="552">
        <v>354</v>
      </c>
      <c r="CN503" s="552">
        <v>347</v>
      </c>
      <c r="CO503" s="552">
        <v>289</v>
      </c>
      <c r="CP503" s="552">
        <v>213</v>
      </c>
      <c r="CQ503" s="552">
        <v>241</v>
      </c>
      <c r="CR503" s="552">
        <v>198</v>
      </c>
      <c r="CS503" s="552">
        <v>175</v>
      </c>
      <c r="CT503" s="552">
        <v>168</v>
      </c>
      <c r="CU503" s="552">
        <v>134</v>
      </c>
      <c r="CV503" s="552">
        <v>115</v>
      </c>
      <c r="CW503" s="552">
        <v>97</v>
      </c>
      <c r="CX503" s="552">
        <v>84</v>
      </c>
      <c r="CY503" s="552">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5">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52">
        <v>483</v>
      </c>
      <c r="N504" s="552">
        <v>469</v>
      </c>
      <c r="O504" s="552">
        <v>522</v>
      </c>
      <c r="P504" s="552">
        <v>523</v>
      </c>
      <c r="Q504" s="552">
        <v>549</v>
      </c>
      <c r="R504" s="552">
        <v>540</v>
      </c>
      <c r="S504" s="552">
        <v>563</v>
      </c>
      <c r="T504" s="552">
        <v>620</v>
      </c>
      <c r="U504" s="552">
        <v>583</v>
      </c>
      <c r="V504" s="552">
        <v>622</v>
      </c>
      <c r="W504" s="552">
        <v>611</v>
      </c>
      <c r="X504" s="552">
        <v>686</v>
      </c>
      <c r="Y504" s="552">
        <v>621</v>
      </c>
      <c r="Z504" s="552">
        <v>634</v>
      </c>
      <c r="AA504" s="552">
        <v>601</v>
      </c>
      <c r="AB504" s="552">
        <v>642</v>
      </c>
      <c r="AC504" s="552">
        <v>627</v>
      </c>
      <c r="AD504" s="552">
        <v>641</v>
      </c>
      <c r="AE504" s="552">
        <v>613</v>
      </c>
      <c r="AF504" s="552">
        <v>404</v>
      </c>
      <c r="AG504" s="552">
        <v>422</v>
      </c>
      <c r="AH504" s="552">
        <v>441</v>
      </c>
      <c r="AI504" s="552">
        <v>543</v>
      </c>
      <c r="AJ504" s="552">
        <v>525</v>
      </c>
      <c r="AK504" s="552">
        <v>583</v>
      </c>
      <c r="AL504" s="552">
        <v>572</v>
      </c>
      <c r="AM504" s="552">
        <v>471</v>
      </c>
      <c r="AN504" s="552">
        <v>561</v>
      </c>
      <c r="AO504" s="552">
        <v>538</v>
      </c>
      <c r="AP504" s="552">
        <v>526</v>
      </c>
      <c r="AQ504" s="552">
        <v>576</v>
      </c>
      <c r="AR504" s="552">
        <v>623</v>
      </c>
      <c r="AS504" s="552">
        <v>576</v>
      </c>
      <c r="AT504" s="552">
        <v>615</v>
      </c>
      <c r="AU504" s="552">
        <v>597</v>
      </c>
      <c r="AV504" s="552">
        <v>594</v>
      </c>
      <c r="AW504" s="552">
        <v>552</v>
      </c>
      <c r="AX504" s="552">
        <v>589</v>
      </c>
      <c r="AY504" s="552">
        <v>559</v>
      </c>
      <c r="AZ504" s="552">
        <v>543</v>
      </c>
      <c r="BA504" s="552">
        <v>551</v>
      </c>
      <c r="BB504" s="552">
        <v>596</v>
      </c>
      <c r="BC504" s="552">
        <v>626</v>
      </c>
      <c r="BD504" s="552">
        <v>555</v>
      </c>
      <c r="BE504" s="552">
        <v>470</v>
      </c>
      <c r="BF504" s="552">
        <v>555</v>
      </c>
      <c r="BG504" s="552">
        <v>559</v>
      </c>
      <c r="BH504" s="552">
        <v>569</v>
      </c>
      <c r="BI504" s="552">
        <v>603</v>
      </c>
      <c r="BJ504" s="552">
        <v>679</v>
      </c>
      <c r="BK504" s="552">
        <v>788</v>
      </c>
      <c r="BL504" s="552">
        <v>775</v>
      </c>
      <c r="BM504" s="552">
        <v>750</v>
      </c>
      <c r="BN504" s="552">
        <v>805</v>
      </c>
      <c r="BO504" s="552">
        <v>775</v>
      </c>
      <c r="BP504" s="552">
        <v>819</v>
      </c>
      <c r="BQ504" s="552">
        <v>862</v>
      </c>
      <c r="BR504" s="552">
        <v>890</v>
      </c>
      <c r="BS504" s="552">
        <v>870</v>
      </c>
      <c r="BT504" s="552">
        <v>881</v>
      </c>
      <c r="BU504" s="552">
        <v>879</v>
      </c>
      <c r="BV504" s="552">
        <v>894</v>
      </c>
      <c r="BW504" s="552">
        <v>876</v>
      </c>
      <c r="BX504" s="552">
        <v>830</v>
      </c>
      <c r="BY504" s="552">
        <v>792</v>
      </c>
      <c r="BZ504" s="552">
        <v>785</v>
      </c>
      <c r="CA504" s="552">
        <v>740</v>
      </c>
      <c r="CB504" s="552">
        <v>717</v>
      </c>
      <c r="CC504" s="552">
        <v>789</v>
      </c>
      <c r="CD504" s="552">
        <v>744</v>
      </c>
      <c r="CE504" s="552">
        <v>734</v>
      </c>
      <c r="CF504" s="552">
        <v>780</v>
      </c>
      <c r="CG504" s="552">
        <v>723</v>
      </c>
      <c r="CH504" s="552">
        <v>809</v>
      </c>
      <c r="CI504" s="552">
        <v>853</v>
      </c>
      <c r="CJ504" s="552">
        <v>851</v>
      </c>
      <c r="CK504" s="552">
        <v>673</v>
      </c>
      <c r="CL504" s="552">
        <v>628</v>
      </c>
      <c r="CM504" s="552">
        <v>602</v>
      </c>
      <c r="CN504" s="552">
        <v>548</v>
      </c>
      <c r="CO504" s="552">
        <v>479</v>
      </c>
      <c r="CP504" s="552">
        <v>400</v>
      </c>
      <c r="CQ504" s="552">
        <v>367</v>
      </c>
      <c r="CR504" s="552">
        <v>373</v>
      </c>
      <c r="CS504" s="552">
        <v>296</v>
      </c>
      <c r="CT504" s="552">
        <v>289</v>
      </c>
      <c r="CU504" s="552">
        <v>267</v>
      </c>
      <c r="CV504" s="552">
        <v>251</v>
      </c>
      <c r="CW504" s="552">
        <v>195</v>
      </c>
      <c r="CX504" s="552">
        <v>194</v>
      </c>
      <c r="CY504" s="552">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5">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52">
        <v>457</v>
      </c>
      <c r="N505" s="552">
        <v>493</v>
      </c>
      <c r="O505" s="552">
        <v>520</v>
      </c>
      <c r="P505" s="552">
        <v>480</v>
      </c>
      <c r="Q505" s="552">
        <v>486</v>
      </c>
      <c r="R505" s="552">
        <v>551</v>
      </c>
      <c r="S505" s="552">
        <v>523</v>
      </c>
      <c r="T505" s="552">
        <v>558</v>
      </c>
      <c r="U505" s="552">
        <v>524</v>
      </c>
      <c r="V505" s="552">
        <v>561</v>
      </c>
      <c r="W505" s="552">
        <v>567</v>
      </c>
      <c r="X505" s="552">
        <v>592</v>
      </c>
      <c r="Y505" s="552">
        <v>615</v>
      </c>
      <c r="Z505" s="552">
        <v>593</v>
      </c>
      <c r="AA505" s="552">
        <v>609</v>
      </c>
      <c r="AB505" s="552">
        <v>587</v>
      </c>
      <c r="AC505" s="552">
        <v>587</v>
      </c>
      <c r="AD505" s="552">
        <v>627</v>
      </c>
      <c r="AE505" s="552">
        <v>551</v>
      </c>
      <c r="AF505" s="552">
        <v>439</v>
      </c>
      <c r="AG505" s="552">
        <v>422</v>
      </c>
      <c r="AH505" s="552">
        <v>434</v>
      </c>
      <c r="AI505" s="552">
        <v>423</v>
      </c>
      <c r="AJ505" s="552">
        <v>470</v>
      </c>
      <c r="AK505" s="552">
        <v>490</v>
      </c>
      <c r="AL505" s="552">
        <v>482</v>
      </c>
      <c r="AM505" s="552">
        <v>514</v>
      </c>
      <c r="AN505" s="552">
        <v>470</v>
      </c>
      <c r="AO505" s="552">
        <v>500</v>
      </c>
      <c r="AP505" s="552">
        <v>483</v>
      </c>
      <c r="AQ505" s="552">
        <v>507</v>
      </c>
      <c r="AR505" s="552">
        <v>516</v>
      </c>
      <c r="AS505" s="552">
        <v>511</v>
      </c>
      <c r="AT505" s="552">
        <v>471</v>
      </c>
      <c r="AU505" s="552">
        <v>530</v>
      </c>
      <c r="AV505" s="552">
        <v>513</v>
      </c>
      <c r="AW505" s="552">
        <v>510</v>
      </c>
      <c r="AX505" s="552">
        <v>477</v>
      </c>
      <c r="AY505" s="552">
        <v>509</v>
      </c>
      <c r="AZ505" s="552">
        <v>424</v>
      </c>
      <c r="BA505" s="552">
        <v>488</v>
      </c>
      <c r="BB505" s="552">
        <v>496</v>
      </c>
      <c r="BC505" s="552">
        <v>500</v>
      </c>
      <c r="BD505" s="552">
        <v>478</v>
      </c>
      <c r="BE505" s="552">
        <v>422</v>
      </c>
      <c r="BF505" s="552">
        <v>464</v>
      </c>
      <c r="BG505" s="552">
        <v>515</v>
      </c>
      <c r="BH505" s="552">
        <v>516</v>
      </c>
      <c r="BI505" s="552">
        <v>525</v>
      </c>
      <c r="BJ505" s="552">
        <v>532</v>
      </c>
      <c r="BK505" s="552">
        <v>646</v>
      </c>
      <c r="BL505" s="552">
        <v>654</v>
      </c>
      <c r="BM505" s="552">
        <v>645</v>
      </c>
      <c r="BN505" s="552">
        <v>662</v>
      </c>
      <c r="BO505" s="552">
        <v>643</v>
      </c>
      <c r="BP505" s="552">
        <v>715</v>
      </c>
      <c r="BQ505" s="552">
        <v>681</v>
      </c>
      <c r="BR505" s="552">
        <v>758</v>
      </c>
      <c r="BS505" s="552">
        <v>746</v>
      </c>
      <c r="BT505" s="552">
        <v>697</v>
      </c>
      <c r="BU505" s="552">
        <v>737</v>
      </c>
      <c r="BV505" s="552">
        <v>654</v>
      </c>
      <c r="BW505" s="552">
        <v>713</v>
      </c>
      <c r="BX505" s="552">
        <v>665</v>
      </c>
      <c r="BY505" s="552">
        <v>635</v>
      </c>
      <c r="BZ505" s="552">
        <v>637</v>
      </c>
      <c r="CA505" s="552">
        <v>603</v>
      </c>
      <c r="CB505" s="552">
        <v>603</v>
      </c>
      <c r="CC505" s="552">
        <v>596</v>
      </c>
      <c r="CD505" s="552">
        <v>599</v>
      </c>
      <c r="CE505" s="552">
        <v>543</v>
      </c>
      <c r="CF505" s="552">
        <v>547</v>
      </c>
      <c r="CG505" s="552">
        <v>614</v>
      </c>
      <c r="CH505" s="552">
        <v>653</v>
      </c>
      <c r="CI505" s="552">
        <v>674</v>
      </c>
      <c r="CJ505" s="552">
        <v>666</v>
      </c>
      <c r="CK505" s="552">
        <v>469</v>
      </c>
      <c r="CL505" s="552">
        <v>446</v>
      </c>
      <c r="CM505" s="552">
        <v>473</v>
      </c>
      <c r="CN505" s="552">
        <v>443</v>
      </c>
      <c r="CO505" s="552">
        <v>359</v>
      </c>
      <c r="CP505" s="552">
        <v>328</v>
      </c>
      <c r="CQ505" s="552">
        <v>290</v>
      </c>
      <c r="CR505" s="552">
        <v>259</v>
      </c>
      <c r="CS505" s="552">
        <v>236</v>
      </c>
      <c r="CT505" s="552">
        <v>224</v>
      </c>
      <c r="CU505" s="552">
        <v>181</v>
      </c>
      <c r="CV505" s="552">
        <v>162</v>
      </c>
      <c r="CW505" s="552">
        <v>127</v>
      </c>
      <c r="CX505" s="552">
        <v>108</v>
      </c>
      <c r="CY505" s="552">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5">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52">
        <v>701</v>
      </c>
      <c r="N506" s="552">
        <v>780</v>
      </c>
      <c r="O506" s="552">
        <v>775</v>
      </c>
      <c r="P506" s="552">
        <v>770</v>
      </c>
      <c r="Q506" s="552">
        <v>817</v>
      </c>
      <c r="R506" s="552">
        <v>825</v>
      </c>
      <c r="S506" s="552">
        <v>849</v>
      </c>
      <c r="T506" s="552">
        <v>888</v>
      </c>
      <c r="U506" s="552">
        <v>904</v>
      </c>
      <c r="V506" s="552">
        <v>899</v>
      </c>
      <c r="W506" s="552">
        <v>971</v>
      </c>
      <c r="X506" s="552">
        <v>933</v>
      </c>
      <c r="Y506" s="552">
        <v>1008</v>
      </c>
      <c r="Z506" s="552">
        <v>933</v>
      </c>
      <c r="AA506" s="552">
        <v>1033</v>
      </c>
      <c r="AB506" s="552">
        <v>950</v>
      </c>
      <c r="AC506" s="552">
        <v>903</v>
      </c>
      <c r="AD506" s="552">
        <v>944</v>
      </c>
      <c r="AE506" s="552">
        <v>881</v>
      </c>
      <c r="AF506" s="552">
        <v>661</v>
      </c>
      <c r="AG506" s="552">
        <v>648</v>
      </c>
      <c r="AH506" s="552">
        <v>673</v>
      </c>
      <c r="AI506" s="552">
        <v>728</v>
      </c>
      <c r="AJ506" s="552">
        <v>844</v>
      </c>
      <c r="AK506" s="552">
        <v>853</v>
      </c>
      <c r="AL506" s="552">
        <v>829</v>
      </c>
      <c r="AM506" s="552">
        <v>799</v>
      </c>
      <c r="AN506" s="552">
        <v>822</v>
      </c>
      <c r="AO506" s="552">
        <v>837</v>
      </c>
      <c r="AP506" s="552">
        <v>879</v>
      </c>
      <c r="AQ506" s="552">
        <v>1004</v>
      </c>
      <c r="AR506" s="552">
        <v>928</v>
      </c>
      <c r="AS506" s="552">
        <v>919</v>
      </c>
      <c r="AT506" s="552">
        <v>961</v>
      </c>
      <c r="AU506" s="552">
        <v>970</v>
      </c>
      <c r="AV506" s="552">
        <v>947</v>
      </c>
      <c r="AW506" s="552">
        <v>978</v>
      </c>
      <c r="AX506" s="552">
        <v>903</v>
      </c>
      <c r="AY506" s="552">
        <v>860</v>
      </c>
      <c r="AZ506" s="552">
        <v>889</v>
      </c>
      <c r="BA506" s="552">
        <v>925</v>
      </c>
      <c r="BB506" s="552">
        <v>916</v>
      </c>
      <c r="BC506" s="552">
        <v>930</v>
      </c>
      <c r="BD506" s="552">
        <v>875</v>
      </c>
      <c r="BE506" s="552">
        <v>855</v>
      </c>
      <c r="BF506" s="552">
        <v>802</v>
      </c>
      <c r="BG506" s="552">
        <v>825</v>
      </c>
      <c r="BH506" s="552">
        <v>925</v>
      </c>
      <c r="BI506" s="552">
        <v>970</v>
      </c>
      <c r="BJ506" s="552">
        <v>989</v>
      </c>
      <c r="BK506" s="552">
        <v>1124</v>
      </c>
      <c r="BL506" s="552">
        <v>1159</v>
      </c>
      <c r="BM506" s="552">
        <v>1172</v>
      </c>
      <c r="BN506" s="552">
        <v>1222</v>
      </c>
      <c r="BO506" s="552">
        <v>1193</v>
      </c>
      <c r="BP506" s="552">
        <v>1115</v>
      </c>
      <c r="BQ506" s="552">
        <v>1116</v>
      </c>
      <c r="BR506" s="552">
        <v>1156</v>
      </c>
      <c r="BS506" s="552">
        <v>1196</v>
      </c>
      <c r="BT506" s="552">
        <v>1096</v>
      </c>
      <c r="BU506" s="552">
        <v>1149</v>
      </c>
      <c r="BV506" s="552">
        <v>1060</v>
      </c>
      <c r="BW506" s="552">
        <v>1024</v>
      </c>
      <c r="BX506" s="552">
        <v>1036</v>
      </c>
      <c r="BY506" s="552">
        <v>912</v>
      </c>
      <c r="BZ506" s="552">
        <v>883</v>
      </c>
      <c r="CA506" s="552">
        <v>867</v>
      </c>
      <c r="CB506" s="552">
        <v>793</v>
      </c>
      <c r="CC506" s="552">
        <v>812</v>
      </c>
      <c r="CD506" s="552">
        <v>850</v>
      </c>
      <c r="CE506" s="552">
        <v>761</v>
      </c>
      <c r="CF506" s="552">
        <v>877</v>
      </c>
      <c r="CG506" s="552">
        <v>832</v>
      </c>
      <c r="CH506" s="552">
        <v>891</v>
      </c>
      <c r="CI506" s="552">
        <v>922</v>
      </c>
      <c r="CJ506" s="552">
        <v>1006</v>
      </c>
      <c r="CK506" s="552">
        <v>637</v>
      </c>
      <c r="CL506" s="552">
        <v>646</v>
      </c>
      <c r="CM506" s="552">
        <v>660</v>
      </c>
      <c r="CN506" s="552">
        <v>553</v>
      </c>
      <c r="CO506" s="552">
        <v>481</v>
      </c>
      <c r="CP506" s="552">
        <v>430</v>
      </c>
      <c r="CQ506" s="552">
        <v>426</v>
      </c>
      <c r="CR506" s="552">
        <v>354</v>
      </c>
      <c r="CS506" s="552">
        <v>350</v>
      </c>
      <c r="CT506" s="552">
        <v>287</v>
      </c>
      <c r="CU506" s="552">
        <v>257</v>
      </c>
      <c r="CV506" s="552">
        <v>212</v>
      </c>
      <c r="CW506" s="552">
        <v>170</v>
      </c>
      <c r="CX506" s="552">
        <v>138</v>
      </c>
      <c r="CY506" s="552">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5">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52">
        <v>554</v>
      </c>
      <c r="N507" s="552">
        <v>518</v>
      </c>
      <c r="O507" s="552">
        <v>550</v>
      </c>
      <c r="P507" s="552">
        <v>548</v>
      </c>
      <c r="Q507" s="552">
        <v>593</v>
      </c>
      <c r="R507" s="552">
        <v>563</v>
      </c>
      <c r="S507" s="552">
        <v>656</v>
      </c>
      <c r="T507" s="552">
        <v>596</v>
      </c>
      <c r="U507" s="552">
        <v>662</v>
      </c>
      <c r="V507" s="552">
        <v>660</v>
      </c>
      <c r="W507" s="552">
        <v>664</v>
      </c>
      <c r="X507" s="552">
        <v>666</v>
      </c>
      <c r="Y507" s="552">
        <v>714</v>
      </c>
      <c r="Z507" s="552">
        <v>665</v>
      </c>
      <c r="AA507" s="552">
        <v>674</v>
      </c>
      <c r="AB507" s="552">
        <v>671</v>
      </c>
      <c r="AC507" s="552">
        <v>653</v>
      </c>
      <c r="AD507" s="552">
        <v>618</v>
      </c>
      <c r="AE507" s="552">
        <v>660</v>
      </c>
      <c r="AF507" s="552">
        <v>869</v>
      </c>
      <c r="AG507" s="552">
        <v>893</v>
      </c>
      <c r="AH507" s="552">
        <v>930</v>
      </c>
      <c r="AI507" s="552">
        <v>871</v>
      </c>
      <c r="AJ507" s="552">
        <v>777</v>
      </c>
      <c r="AK507" s="552">
        <v>709</v>
      </c>
      <c r="AL507" s="552">
        <v>648</v>
      </c>
      <c r="AM507" s="552">
        <v>637</v>
      </c>
      <c r="AN507" s="552">
        <v>635</v>
      </c>
      <c r="AO507" s="552">
        <v>676</v>
      </c>
      <c r="AP507" s="552">
        <v>659</v>
      </c>
      <c r="AQ507" s="552">
        <v>661</v>
      </c>
      <c r="AR507" s="552">
        <v>643</v>
      </c>
      <c r="AS507" s="552">
        <v>663</v>
      </c>
      <c r="AT507" s="552">
        <v>677</v>
      </c>
      <c r="AU507" s="552">
        <v>680</v>
      </c>
      <c r="AV507" s="552">
        <v>704</v>
      </c>
      <c r="AW507" s="552">
        <v>572</v>
      </c>
      <c r="AX507" s="552">
        <v>595</v>
      </c>
      <c r="AY507" s="552">
        <v>582</v>
      </c>
      <c r="AZ507" s="552">
        <v>586</v>
      </c>
      <c r="BA507" s="552">
        <v>589</v>
      </c>
      <c r="BB507" s="552">
        <v>603</v>
      </c>
      <c r="BC507" s="552">
        <v>613</v>
      </c>
      <c r="BD507" s="552">
        <v>569</v>
      </c>
      <c r="BE507" s="552">
        <v>557</v>
      </c>
      <c r="BF507" s="552">
        <v>575</v>
      </c>
      <c r="BG507" s="552">
        <v>581</v>
      </c>
      <c r="BH507" s="552">
        <v>606</v>
      </c>
      <c r="BI507" s="552">
        <v>678</v>
      </c>
      <c r="BJ507" s="552">
        <v>722</v>
      </c>
      <c r="BK507" s="552">
        <v>767</v>
      </c>
      <c r="BL507" s="552">
        <v>811</v>
      </c>
      <c r="BM507" s="552">
        <v>804</v>
      </c>
      <c r="BN507" s="552">
        <v>775</v>
      </c>
      <c r="BO507" s="552">
        <v>801</v>
      </c>
      <c r="BP507" s="552">
        <v>799</v>
      </c>
      <c r="BQ507" s="552">
        <v>858</v>
      </c>
      <c r="BR507" s="552">
        <v>866</v>
      </c>
      <c r="BS507" s="552">
        <v>874</v>
      </c>
      <c r="BT507" s="552">
        <v>888</v>
      </c>
      <c r="BU507" s="552">
        <v>867</v>
      </c>
      <c r="BV507" s="552">
        <v>849</v>
      </c>
      <c r="BW507" s="552">
        <v>771</v>
      </c>
      <c r="BX507" s="552">
        <v>768</v>
      </c>
      <c r="BY507" s="552">
        <v>811</v>
      </c>
      <c r="BZ507" s="552">
        <v>756</v>
      </c>
      <c r="CA507" s="552">
        <v>711</v>
      </c>
      <c r="CB507" s="552">
        <v>727</v>
      </c>
      <c r="CC507" s="552">
        <v>675</v>
      </c>
      <c r="CD507" s="552">
        <v>709</v>
      </c>
      <c r="CE507" s="552">
        <v>650</v>
      </c>
      <c r="CF507" s="552">
        <v>649</v>
      </c>
      <c r="CG507" s="552">
        <v>649</v>
      </c>
      <c r="CH507" s="552">
        <v>729</v>
      </c>
      <c r="CI507" s="552">
        <v>764</v>
      </c>
      <c r="CJ507" s="552">
        <v>736</v>
      </c>
      <c r="CK507" s="552">
        <v>589</v>
      </c>
      <c r="CL507" s="552">
        <v>522</v>
      </c>
      <c r="CM507" s="552">
        <v>521</v>
      </c>
      <c r="CN507" s="552">
        <v>483</v>
      </c>
      <c r="CO507" s="552">
        <v>379</v>
      </c>
      <c r="CP507" s="552">
        <v>308</v>
      </c>
      <c r="CQ507" s="552">
        <v>331</v>
      </c>
      <c r="CR507" s="552">
        <v>327</v>
      </c>
      <c r="CS507" s="552">
        <v>274</v>
      </c>
      <c r="CT507" s="552">
        <v>248</v>
      </c>
      <c r="CU507" s="552">
        <v>221</v>
      </c>
      <c r="CV507" s="552">
        <v>181</v>
      </c>
      <c r="CW507" s="552">
        <v>162</v>
      </c>
      <c r="CX507" s="552">
        <v>135</v>
      </c>
      <c r="CY507" s="552">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5">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52">
        <v>273</v>
      </c>
      <c r="N508" s="552">
        <v>322</v>
      </c>
      <c r="O508" s="552">
        <v>305</v>
      </c>
      <c r="P508" s="552">
        <v>320</v>
      </c>
      <c r="Q508" s="552">
        <v>334</v>
      </c>
      <c r="R508" s="552">
        <v>383</v>
      </c>
      <c r="S508" s="552">
        <v>383</v>
      </c>
      <c r="T508" s="552">
        <v>361</v>
      </c>
      <c r="U508" s="552">
        <v>383</v>
      </c>
      <c r="V508" s="552">
        <v>411</v>
      </c>
      <c r="W508" s="552">
        <v>394</v>
      </c>
      <c r="X508" s="552">
        <v>440</v>
      </c>
      <c r="Y508" s="552">
        <v>405</v>
      </c>
      <c r="Z508" s="552">
        <v>438</v>
      </c>
      <c r="AA508" s="552">
        <v>385</v>
      </c>
      <c r="AB508" s="552">
        <v>392</v>
      </c>
      <c r="AC508" s="552">
        <v>391</v>
      </c>
      <c r="AD508" s="552">
        <v>389</v>
      </c>
      <c r="AE508" s="552">
        <v>348</v>
      </c>
      <c r="AF508" s="552">
        <v>299</v>
      </c>
      <c r="AG508" s="552">
        <v>302</v>
      </c>
      <c r="AH508" s="552">
        <v>273</v>
      </c>
      <c r="AI508" s="552">
        <v>297</v>
      </c>
      <c r="AJ508" s="552">
        <v>367</v>
      </c>
      <c r="AK508" s="552">
        <v>299</v>
      </c>
      <c r="AL508" s="552">
        <v>316</v>
      </c>
      <c r="AM508" s="552">
        <v>341</v>
      </c>
      <c r="AN508" s="552">
        <v>319</v>
      </c>
      <c r="AO508" s="552">
        <v>363</v>
      </c>
      <c r="AP508" s="552">
        <v>338</v>
      </c>
      <c r="AQ508" s="552">
        <v>332</v>
      </c>
      <c r="AR508" s="552">
        <v>349</v>
      </c>
      <c r="AS508" s="552">
        <v>346</v>
      </c>
      <c r="AT508" s="552">
        <v>349</v>
      </c>
      <c r="AU508" s="552">
        <v>381</v>
      </c>
      <c r="AV508" s="552">
        <v>373</v>
      </c>
      <c r="AW508" s="552">
        <v>310</v>
      </c>
      <c r="AX508" s="552">
        <v>347</v>
      </c>
      <c r="AY508" s="552">
        <v>371</v>
      </c>
      <c r="AZ508" s="552">
        <v>328</v>
      </c>
      <c r="BA508" s="552">
        <v>331</v>
      </c>
      <c r="BB508" s="552">
        <v>346</v>
      </c>
      <c r="BC508" s="552">
        <v>345</v>
      </c>
      <c r="BD508" s="552">
        <v>373</v>
      </c>
      <c r="BE508" s="552">
        <v>321</v>
      </c>
      <c r="BF508" s="552">
        <v>306</v>
      </c>
      <c r="BG508" s="552">
        <v>326</v>
      </c>
      <c r="BH508" s="552">
        <v>357</v>
      </c>
      <c r="BI508" s="552">
        <v>373</v>
      </c>
      <c r="BJ508" s="552">
        <v>436</v>
      </c>
      <c r="BK508" s="552">
        <v>448</v>
      </c>
      <c r="BL508" s="552">
        <v>493</v>
      </c>
      <c r="BM508" s="552">
        <v>440</v>
      </c>
      <c r="BN508" s="552">
        <v>466</v>
      </c>
      <c r="BO508" s="552">
        <v>481</v>
      </c>
      <c r="BP508" s="552">
        <v>523</v>
      </c>
      <c r="BQ508" s="552">
        <v>490</v>
      </c>
      <c r="BR508" s="552">
        <v>546</v>
      </c>
      <c r="BS508" s="552">
        <v>515</v>
      </c>
      <c r="BT508" s="552">
        <v>563</v>
      </c>
      <c r="BU508" s="552">
        <v>503</v>
      </c>
      <c r="BV508" s="552">
        <v>511</v>
      </c>
      <c r="BW508" s="552">
        <v>539</v>
      </c>
      <c r="BX508" s="552">
        <v>521</v>
      </c>
      <c r="BY508" s="552">
        <v>482</v>
      </c>
      <c r="BZ508" s="552">
        <v>468</v>
      </c>
      <c r="CA508" s="552">
        <v>489</v>
      </c>
      <c r="CB508" s="552">
        <v>476</v>
      </c>
      <c r="CC508" s="552">
        <v>458</v>
      </c>
      <c r="CD508" s="552">
        <v>460</v>
      </c>
      <c r="CE508" s="552">
        <v>458</v>
      </c>
      <c r="CF508" s="552">
        <v>438</v>
      </c>
      <c r="CG508" s="552">
        <v>468</v>
      </c>
      <c r="CH508" s="552">
        <v>490</v>
      </c>
      <c r="CI508" s="552">
        <v>504</v>
      </c>
      <c r="CJ508" s="552">
        <v>484</v>
      </c>
      <c r="CK508" s="552">
        <v>343</v>
      </c>
      <c r="CL508" s="552">
        <v>365</v>
      </c>
      <c r="CM508" s="552">
        <v>374</v>
      </c>
      <c r="CN508" s="552">
        <v>344</v>
      </c>
      <c r="CO508" s="552">
        <v>273</v>
      </c>
      <c r="CP508" s="552">
        <v>244</v>
      </c>
      <c r="CQ508" s="552">
        <v>233</v>
      </c>
      <c r="CR508" s="552">
        <v>249</v>
      </c>
      <c r="CS508" s="552">
        <v>194</v>
      </c>
      <c r="CT508" s="552">
        <v>174</v>
      </c>
      <c r="CU508" s="552">
        <v>143</v>
      </c>
      <c r="CV508" s="552">
        <v>115</v>
      </c>
      <c r="CW508" s="552">
        <v>82</v>
      </c>
      <c r="CX508" s="552">
        <v>77</v>
      </c>
      <c r="CY508" s="552">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5">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52">
        <v>322</v>
      </c>
      <c r="N509" s="552">
        <v>325</v>
      </c>
      <c r="O509" s="552">
        <v>329</v>
      </c>
      <c r="P509" s="552">
        <v>309</v>
      </c>
      <c r="Q509" s="552">
        <v>371</v>
      </c>
      <c r="R509" s="552">
        <v>402</v>
      </c>
      <c r="S509" s="552">
        <v>381</v>
      </c>
      <c r="T509" s="552">
        <v>384</v>
      </c>
      <c r="U509" s="552">
        <v>350</v>
      </c>
      <c r="V509" s="552">
        <v>355</v>
      </c>
      <c r="W509" s="552">
        <v>378</v>
      </c>
      <c r="X509" s="552">
        <v>405</v>
      </c>
      <c r="Y509" s="552">
        <v>360</v>
      </c>
      <c r="Z509" s="552">
        <v>363</v>
      </c>
      <c r="AA509" s="552">
        <v>375</v>
      </c>
      <c r="AB509" s="552">
        <v>379</v>
      </c>
      <c r="AC509" s="552">
        <v>337</v>
      </c>
      <c r="AD509" s="552">
        <v>307</v>
      </c>
      <c r="AE509" s="552">
        <v>319</v>
      </c>
      <c r="AF509" s="552">
        <v>333</v>
      </c>
      <c r="AG509" s="552">
        <v>297</v>
      </c>
      <c r="AH509" s="552">
        <v>289</v>
      </c>
      <c r="AI509" s="552">
        <v>333</v>
      </c>
      <c r="AJ509" s="552">
        <v>329</v>
      </c>
      <c r="AK509" s="552">
        <v>314</v>
      </c>
      <c r="AL509" s="552">
        <v>356</v>
      </c>
      <c r="AM509" s="552">
        <v>342</v>
      </c>
      <c r="AN509" s="552">
        <v>329</v>
      </c>
      <c r="AO509" s="552">
        <v>375</v>
      </c>
      <c r="AP509" s="552">
        <v>373</v>
      </c>
      <c r="AQ509" s="552">
        <v>362</v>
      </c>
      <c r="AR509" s="552">
        <v>382</v>
      </c>
      <c r="AS509" s="552">
        <v>390</v>
      </c>
      <c r="AT509" s="552">
        <v>371</v>
      </c>
      <c r="AU509" s="552">
        <v>386</v>
      </c>
      <c r="AV509" s="552">
        <v>397</v>
      </c>
      <c r="AW509" s="552">
        <v>396</v>
      </c>
      <c r="AX509" s="552">
        <v>417</v>
      </c>
      <c r="AY509" s="552">
        <v>405</v>
      </c>
      <c r="AZ509" s="552">
        <v>353</v>
      </c>
      <c r="BA509" s="552">
        <v>345</v>
      </c>
      <c r="BB509" s="552">
        <v>368</v>
      </c>
      <c r="BC509" s="552">
        <v>386</v>
      </c>
      <c r="BD509" s="552">
        <v>340</v>
      </c>
      <c r="BE509" s="552">
        <v>284</v>
      </c>
      <c r="BF509" s="552">
        <v>280</v>
      </c>
      <c r="BG509" s="552">
        <v>319</v>
      </c>
      <c r="BH509" s="552">
        <v>331</v>
      </c>
      <c r="BI509" s="552">
        <v>303</v>
      </c>
      <c r="BJ509" s="552">
        <v>340</v>
      </c>
      <c r="BK509" s="552">
        <v>362</v>
      </c>
      <c r="BL509" s="552">
        <v>394</v>
      </c>
      <c r="BM509" s="552">
        <v>378</v>
      </c>
      <c r="BN509" s="552">
        <v>423</v>
      </c>
      <c r="BO509" s="552">
        <v>387</v>
      </c>
      <c r="BP509" s="552">
        <v>385</v>
      </c>
      <c r="BQ509" s="552">
        <v>419</v>
      </c>
      <c r="BR509" s="552">
        <v>416</v>
      </c>
      <c r="BS509" s="552">
        <v>421</v>
      </c>
      <c r="BT509" s="552">
        <v>381</v>
      </c>
      <c r="BU509" s="552">
        <v>405</v>
      </c>
      <c r="BV509" s="552">
        <v>379</v>
      </c>
      <c r="BW509" s="552">
        <v>383</v>
      </c>
      <c r="BX509" s="552">
        <v>405</v>
      </c>
      <c r="BY509" s="552">
        <v>393</v>
      </c>
      <c r="BZ509" s="552">
        <v>324</v>
      </c>
      <c r="CA509" s="552">
        <v>306</v>
      </c>
      <c r="CB509" s="552">
        <v>295</v>
      </c>
      <c r="CC509" s="552">
        <v>323</v>
      </c>
      <c r="CD509" s="552">
        <v>301</v>
      </c>
      <c r="CE509" s="552">
        <v>295</v>
      </c>
      <c r="CF509" s="552">
        <v>300</v>
      </c>
      <c r="CG509" s="552">
        <v>276</v>
      </c>
      <c r="CH509" s="552">
        <v>314</v>
      </c>
      <c r="CI509" s="552">
        <v>295</v>
      </c>
      <c r="CJ509" s="552">
        <v>264</v>
      </c>
      <c r="CK509" s="552">
        <v>208</v>
      </c>
      <c r="CL509" s="552">
        <v>225</v>
      </c>
      <c r="CM509" s="552">
        <v>219</v>
      </c>
      <c r="CN509" s="552">
        <v>190</v>
      </c>
      <c r="CO509" s="552">
        <v>177</v>
      </c>
      <c r="CP509" s="552">
        <v>123</v>
      </c>
      <c r="CQ509" s="552">
        <v>131</v>
      </c>
      <c r="CR509" s="552">
        <v>119</v>
      </c>
      <c r="CS509" s="552">
        <v>109</v>
      </c>
      <c r="CT509" s="552">
        <v>95</v>
      </c>
      <c r="CU509" s="552">
        <v>84</v>
      </c>
      <c r="CV509" s="552">
        <v>76</v>
      </c>
      <c r="CW509" s="552">
        <v>50</v>
      </c>
      <c r="CX509" s="552">
        <v>44</v>
      </c>
      <c r="CY509" s="552">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5">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52">
        <v>377</v>
      </c>
      <c r="N510" s="552">
        <v>383</v>
      </c>
      <c r="O510" s="552">
        <v>404</v>
      </c>
      <c r="P510" s="552">
        <v>394</v>
      </c>
      <c r="Q510" s="552">
        <v>447</v>
      </c>
      <c r="R510" s="552">
        <v>478</v>
      </c>
      <c r="S510" s="552">
        <v>490</v>
      </c>
      <c r="T510" s="552">
        <v>485</v>
      </c>
      <c r="U510" s="552">
        <v>489</v>
      </c>
      <c r="V510" s="552">
        <v>501</v>
      </c>
      <c r="W510" s="552">
        <v>531</v>
      </c>
      <c r="X510" s="552">
        <v>542</v>
      </c>
      <c r="Y510" s="552">
        <v>515</v>
      </c>
      <c r="Z510" s="552">
        <v>563</v>
      </c>
      <c r="AA510" s="552">
        <v>550</v>
      </c>
      <c r="AB510" s="552">
        <v>559</v>
      </c>
      <c r="AC510" s="552">
        <v>524</v>
      </c>
      <c r="AD510" s="552">
        <v>545</v>
      </c>
      <c r="AE510" s="552">
        <v>490</v>
      </c>
      <c r="AF510" s="552">
        <v>319</v>
      </c>
      <c r="AG510" s="552">
        <v>335</v>
      </c>
      <c r="AH510" s="552">
        <v>372</v>
      </c>
      <c r="AI510" s="552">
        <v>418</v>
      </c>
      <c r="AJ510" s="552">
        <v>441</v>
      </c>
      <c r="AK510" s="552">
        <v>398</v>
      </c>
      <c r="AL510" s="552">
        <v>495</v>
      </c>
      <c r="AM510" s="552">
        <v>449</v>
      </c>
      <c r="AN510" s="552">
        <v>462</v>
      </c>
      <c r="AO510" s="552">
        <v>457</v>
      </c>
      <c r="AP510" s="552">
        <v>442</v>
      </c>
      <c r="AQ510" s="552">
        <v>500</v>
      </c>
      <c r="AR510" s="552">
        <v>537</v>
      </c>
      <c r="AS510" s="552">
        <v>477</v>
      </c>
      <c r="AT510" s="552">
        <v>516</v>
      </c>
      <c r="AU510" s="552">
        <v>453</v>
      </c>
      <c r="AV510" s="552">
        <v>485</v>
      </c>
      <c r="AW510" s="552">
        <v>490</v>
      </c>
      <c r="AX510" s="552">
        <v>484</v>
      </c>
      <c r="AY510" s="552">
        <v>482</v>
      </c>
      <c r="AZ510" s="552">
        <v>486</v>
      </c>
      <c r="BA510" s="552">
        <v>499</v>
      </c>
      <c r="BB510" s="552">
        <v>471</v>
      </c>
      <c r="BC510" s="552">
        <v>509</v>
      </c>
      <c r="BD510" s="552">
        <v>520</v>
      </c>
      <c r="BE510" s="552">
        <v>463</v>
      </c>
      <c r="BF510" s="552">
        <v>519</v>
      </c>
      <c r="BG510" s="552">
        <v>496</v>
      </c>
      <c r="BH510" s="552">
        <v>549</v>
      </c>
      <c r="BI510" s="552">
        <v>538</v>
      </c>
      <c r="BJ510" s="552">
        <v>592</v>
      </c>
      <c r="BK510" s="552">
        <v>667</v>
      </c>
      <c r="BL510" s="552">
        <v>708</v>
      </c>
      <c r="BM510" s="552">
        <v>648</v>
      </c>
      <c r="BN510" s="552">
        <v>693</v>
      </c>
      <c r="BO510" s="552">
        <v>749</v>
      </c>
      <c r="BP510" s="552">
        <v>752</v>
      </c>
      <c r="BQ510" s="552">
        <v>784</v>
      </c>
      <c r="BR510" s="552">
        <v>766</v>
      </c>
      <c r="BS510" s="552">
        <v>756</v>
      </c>
      <c r="BT510" s="552">
        <v>782</v>
      </c>
      <c r="BU510" s="552">
        <v>721</v>
      </c>
      <c r="BV510" s="552">
        <v>717</v>
      </c>
      <c r="BW510" s="552">
        <v>665</v>
      </c>
      <c r="BX510" s="552">
        <v>635</v>
      </c>
      <c r="BY510" s="552">
        <v>685</v>
      </c>
      <c r="BZ510" s="552">
        <v>628</v>
      </c>
      <c r="CA510" s="552">
        <v>575</v>
      </c>
      <c r="CB510" s="552">
        <v>602</v>
      </c>
      <c r="CC510" s="552">
        <v>554</v>
      </c>
      <c r="CD510" s="552">
        <v>603</v>
      </c>
      <c r="CE510" s="552">
        <v>611</v>
      </c>
      <c r="CF510" s="552">
        <v>578</v>
      </c>
      <c r="CG510" s="552">
        <v>625</v>
      </c>
      <c r="CH510" s="552">
        <v>605</v>
      </c>
      <c r="CI510" s="552">
        <v>606</v>
      </c>
      <c r="CJ510" s="552">
        <v>658</v>
      </c>
      <c r="CK510" s="552">
        <v>487</v>
      </c>
      <c r="CL510" s="552">
        <v>470</v>
      </c>
      <c r="CM510" s="552">
        <v>490</v>
      </c>
      <c r="CN510" s="552">
        <v>437</v>
      </c>
      <c r="CO510" s="552">
        <v>368</v>
      </c>
      <c r="CP510" s="552">
        <v>310</v>
      </c>
      <c r="CQ510" s="552">
        <v>342</v>
      </c>
      <c r="CR510" s="552">
        <v>275</v>
      </c>
      <c r="CS510" s="552">
        <v>241</v>
      </c>
      <c r="CT510" s="552">
        <v>224</v>
      </c>
      <c r="CU510" s="552">
        <v>217</v>
      </c>
      <c r="CV510" s="552">
        <v>168</v>
      </c>
      <c r="CW510" s="552">
        <v>170</v>
      </c>
      <c r="CX510" s="552">
        <v>145</v>
      </c>
      <c r="CY510" s="552">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5">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52">
        <v>636</v>
      </c>
      <c r="N511" s="552">
        <v>642</v>
      </c>
      <c r="O511" s="552">
        <v>647</v>
      </c>
      <c r="P511" s="552">
        <v>707</v>
      </c>
      <c r="Q511" s="552">
        <v>762</v>
      </c>
      <c r="R511" s="552">
        <v>761</v>
      </c>
      <c r="S511" s="552">
        <v>825</v>
      </c>
      <c r="T511" s="552">
        <v>811</v>
      </c>
      <c r="U511" s="552">
        <v>818</v>
      </c>
      <c r="V511" s="552">
        <v>783</v>
      </c>
      <c r="W511" s="552">
        <v>915</v>
      </c>
      <c r="X511" s="552">
        <v>922</v>
      </c>
      <c r="Y511" s="552">
        <v>869</v>
      </c>
      <c r="Z511" s="552">
        <v>864</v>
      </c>
      <c r="AA511" s="552">
        <v>873</v>
      </c>
      <c r="AB511" s="552">
        <v>854</v>
      </c>
      <c r="AC511" s="552">
        <v>858</v>
      </c>
      <c r="AD511" s="552">
        <v>823</v>
      </c>
      <c r="AE511" s="552">
        <v>958</v>
      </c>
      <c r="AF511" s="552">
        <v>1502</v>
      </c>
      <c r="AG511" s="552">
        <v>878</v>
      </c>
      <c r="AH511" s="552">
        <v>667</v>
      </c>
      <c r="AI511" s="552">
        <v>607</v>
      </c>
      <c r="AJ511" s="552">
        <v>701</v>
      </c>
      <c r="AK511" s="552">
        <v>688</v>
      </c>
      <c r="AL511" s="552">
        <v>776</v>
      </c>
      <c r="AM511" s="552">
        <v>789</v>
      </c>
      <c r="AN511" s="552">
        <v>806</v>
      </c>
      <c r="AO511" s="552">
        <v>797</v>
      </c>
      <c r="AP511" s="552">
        <v>829</v>
      </c>
      <c r="AQ511" s="552">
        <v>904</v>
      </c>
      <c r="AR511" s="552">
        <v>851</v>
      </c>
      <c r="AS511" s="552">
        <v>855</v>
      </c>
      <c r="AT511" s="552">
        <v>855</v>
      </c>
      <c r="AU511" s="552">
        <v>825</v>
      </c>
      <c r="AV511" s="552">
        <v>845</v>
      </c>
      <c r="AW511" s="552">
        <v>903</v>
      </c>
      <c r="AX511" s="552">
        <v>859</v>
      </c>
      <c r="AY511" s="552">
        <v>868</v>
      </c>
      <c r="AZ511" s="552">
        <v>830</v>
      </c>
      <c r="BA511" s="552">
        <v>830</v>
      </c>
      <c r="BB511" s="552">
        <v>850</v>
      </c>
      <c r="BC511" s="552">
        <v>826</v>
      </c>
      <c r="BD511" s="552">
        <v>853</v>
      </c>
      <c r="BE511" s="552">
        <v>809</v>
      </c>
      <c r="BF511" s="552">
        <v>756</v>
      </c>
      <c r="BG511" s="552">
        <v>746</v>
      </c>
      <c r="BH511" s="552">
        <v>825</v>
      </c>
      <c r="BI511" s="552">
        <v>777</v>
      </c>
      <c r="BJ511" s="552">
        <v>849</v>
      </c>
      <c r="BK511" s="552">
        <v>862</v>
      </c>
      <c r="BL511" s="552">
        <v>954</v>
      </c>
      <c r="BM511" s="552">
        <v>904</v>
      </c>
      <c r="BN511" s="552">
        <v>948</v>
      </c>
      <c r="BO511" s="552">
        <v>1003</v>
      </c>
      <c r="BP511" s="552">
        <v>945</v>
      </c>
      <c r="BQ511" s="552">
        <v>984</v>
      </c>
      <c r="BR511" s="552">
        <v>991</v>
      </c>
      <c r="BS511" s="552">
        <v>1043</v>
      </c>
      <c r="BT511" s="552">
        <v>992</v>
      </c>
      <c r="BU511" s="552">
        <v>975</v>
      </c>
      <c r="BV511" s="552">
        <v>943</v>
      </c>
      <c r="BW511" s="552">
        <v>960</v>
      </c>
      <c r="BX511" s="552">
        <v>888</v>
      </c>
      <c r="BY511" s="552">
        <v>1006</v>
      </c>
      <c r="BZ511" s="552">
        <v>870</v>
      </c>
      <c r="CA511" s="552">
        <v>796</v>
      </c>
      <c r="CB511" s="552">
        <v>802</v>
      </c>
      <c r="CC511" s="552">
        <v>793</v>
      </c>
      <c r="CD511" s="552">
        <v>815</v>
      </c>
      <c r="CE511" s="552">
        <v>772</v>
      </c>
      <c r="CF511" s="552">
        <v>725</v>
      </c>
      <c r="CG511" s="552">
        <v>778</v>
      </c>
      <c r="CH511" s="552">
        <v>746</v>
      </c>
      <c r="CI511" s="552">
        <v>847</v>
      </c>
      <c r="CJ511" s="552">
        <v>799</v>
      </c>
      <c r="CK511" s="552">
        <v>579</v>
      </c>
      <c r="CL511" s="552">
        <v>577</v>
      </c>
      <c r="CM511" s="552">
        <v>556</v>
      </c>
      <c r="CN511" s="552">
        <v>505</v>
      </c>
      <c r="CO511" s="552">
        <v>452</v>
      </c>
      <c r="CP511" s="552">
        <v>360</v>
      </c>
      <c r="CQ511" s="552">
        <v>384</v>
      </c>
      <c r="CR511" s="552">
        <v>318</v>
      </c>
      <c r="CS511" s="552">
        <v>294</v>
      </c>
      <c r="CT511" s="552">
        <v>260</v>
      </c>
      <c r="CU511" s="552">
        <v>226</v>
      </c>
      <c r="CV511" s="552">
        <v>183</v>
      </c>
      <c r="CW511" s="552">
        <v>177</v>
      </c>
      <c r="CX511" s="552">
        <v>127</v>
      </c>
      <c r="CY511" s="552">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5">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52">
        <v>1002</v>
      </c>
      <c r="N512" s="552">
        <v>958</v>
      </c>
      <c r="O512" s="552">
        <v>993</v>
      </c>
      <c r="P512" s="552">
        <v>1033</v>
      </c>
      <c r="Q512" s="552">
        <v>1002</v>
      </c>
      <c r="R512" s="552">
        <v>1014</v>
      </c>
      <c r="S512" s="552">
        <v>1196</v>
      </c>
      <c r="T512" s="552">
        <v>1083</v>
      </c>
      <c r="U512" s="552">
        <v>1043</v>
      </c>
      <c r="V512" s="552">
        <v>1089</v>
      </c>
      <c r="W512" s="552">
        <v>1039</v>
      </c>
      <c r="X512" s="552">
        <v>1059</v>
      </c>
      <c r="Y512" s="552">
        <v>1048</v>
      </c>
      <c r="Z512" s="552">
        <v>1123</v>
      </c>
      <c r="AA512" s="552">
        <v>1128</v>
      </c>
      <c r="AB512" s="552">
        <v>945</v>
      </c>
      <c r="AC512" s="552">
        <v>940</v>
      </c>
      <c r="AD512" s="552">
        <v>952</v>
      </c>
      <c r="AE512" s="552">
        <v>969</v>
      </c>
      <c r="AF512" s="552">
        <v>782</v>
      </c>
      <c r="AG512" s="552">
        <v>699</v>
      </c>
      <c r="AH512" s="552">
        <v>774</v>
      </c>
      <c r="AI512" s="552">
        <v>881</v>
      </c>
      <c r="AJ512" s="552">
        <v>985</v>
      </c>
      <c r="AK512" s="552">
        <v>959</v>
      </c>
      <c r="AL512" s="552">
        <v>1027</v>
      </c>
      <c r="AM512" s="552">
        <v>1005</v>
      </c>
      <c r="AN512" s="552">
        <v>1020</v>
      </c>
      <c r="AO512" s="552">
        <v>1076</v>
      </c>
      <c r="AP512" s="552">
        <v>1245</v>
      </c>
      <c r="AQ512" s="552">
        <v>1220</v>
      </c>
      <c r="AR512" s="552">
        <v>1265</v>
      </c>
      <c r="AS512" s="552">
        <v>1169</v>
      </c>
      <c r="AT512" s="552">
        <v>1279</v>
      </c>
      <c r="AU512" s="552">
        <v>1332</v>
      </c>
      <c r="AV512" s="552">
        <v>1215</v>
      </c>
      <c r="AW512" s="552">
        <v>1185</v>
      </c>
      <c r="AX512" s="552">
        <v>1259</v>
      </c>
      <c r="AY512" s="552">
        <v>1143</v>
      </c>
      <c r="AZ512" s="552">
        <v>1017</v>
      </c>
      <c r="BA512" s="552">
        <v>1038</v>
      </c>
      <c r="BB512" s="552">
        <v>1044</v>
      </c>
      <c r="BC512" s="552">
        <v>1120</v>
      </c>
      <c r="BD512" s="552">
        <v>1055</v>
      </c>
      <c r="BE512" s="552">
        <v>942</v>
      </c>
      <c r="BF512" s="552">
        <v>907</v>
      </c>
      <c r="BG512" s="552">
        <v>917</v>
      </c>
      <c r="BH512" s="552">
        <v>953</v>
      </c>
      <c r="BI512" s="552">
        <v>944</v>
      </c>
      <c r="BJ512" s="552">
        <v>996</v>
      </c>
      <c r="BK512" s="552">
        <v>980</v>
      </c>
      <c r="BL512" s="552">
        <v>1095</v>
      </c>
      <c r="BM512" s="552">
        <v>1067</v>
      </c>
      <c r="BN512" s="552">
        <v>1100</v>
      </c>
      <c r="BO512" s="552">
        <v>948</v>
      </c>
      <c r="BP512" s="552">
        <v>1070</v>
      </c>
      <c r="BQ512" s="552">
        <v>1067</v>
      </c>
      <c r="BR512" s="552">
        <v>1053</v>
      </c>
      <c r="BS512" s="552">
        <v>1041</v>
      </c>
      <c r="BT512" s="552">
        <v>1021</v>
      </c>
      <c r="BU512" s="552">
        <v>935</v>
      </c>
      <c r="BV512" s="552">
        <v>982</v>
      </c>
      <c r="BW512" s="552">
        <v>893</v>
      </c>
      <c r="BX512" s="552">
        <v>964</v>
      </c>
      <c r="BY512" s="552">
        <v>829</v>
      </c>
      <c r="BZ512" s="552">
        <v>800</v>
      </c>
      <c r="CA512" s="552">
        <v>680</v>
      </c>
      <c r="CB512" s="552">
        <v>675</v>
      </c>
      <c r="CC512" s="552">
        <v>724</v>
      </c>
      <c r="CD512" s="552">
        <v>751</v>
      </c>
      <c r="CE512" s="552">
        <v>678</v>
      </c>
      <c r="CF512" s="552">
        <v>607</v>
      </c>
      <c r="CG512" s="552">
        <v>654</v>
      </c>
      <c r="CH512" s="552">
        <v>620</v>
      </c>
      <c r="CI512" s="552">
        <v>701</v>
      </c>
      <c r="CJ512" s="552">
        <v>753</v>
      </c>
      <c r="CK512" s="552">
        <v>517</v>
      </c>
      <c r="CL512" s="552">
        <v>519</v>
      </c>
      <c r="CM512" s="552">
        <v>492</v>
      </c>
      <c r="CN512" s="552">
        <v>470</v>
      </c>
      <c r="CO512" s="552">
        <v>374</v>
      </c>
      <c r="CP512" s="552">
        <v>319</v>
      </c>
      <c r="CQ512" s="552">
        <v>324</v>
      </c>
      <c r="CR512" s="552">
        <v>314</v>
      </c>
      <c r="CS512" s="552">
        <v>256</v>
      </c>
      <c r="CT512" s="552">
        <v>240</v>
      </c>
      <c r="CU512" s="552">
        <v>230</v>
      </c>
      <c r="CV512" s="552">
        <v>172</v>
      </c>
      <c r="CW512" s="552">
        <v>142</v>
      </c>
      <c r="CX512" s="552">
        <v>117</v>
      </c>
      <c r="CY512" s="552">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5">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52">
        <v>547</v>
      </c>
      <c r="N513" s="552">
        <v>541</v>
      </c>
      <c r="O513" s="552">
        <v>560</v>
      </c>
      <c r="P513" s="552">
        <v>587</v>
      </c>
      <c r="Q513" s="552">
        <v>646</v>
      </c>
      <c r="R513" s="552">
        <v>630</v>
      </c>
      <c r="S513" s="552">
        <v>657</v>
      </c>
      <c r="T513" s="552">
        <v>695</v>
      </c>
      <c r="U513" s="552">
        <v>700</v>
      </c>
      <c r="V513" s="552">
        <v>693</v>
      </c>
      <c r="W513" s="552">
        <v>704</v>
      </c>
      <c r="X513" s="552">
        <v>745</v>
      </c>
      <c r="Y513" s="552">
        <v>723</v>
      </c>
      <c r="Z513" s="552">
        <v>691</v>
      </c>
      <c r="AA513" s="552">
        <v>785</v>
      </c>
      <c r="AB513" s="552">
        <v>690</v>
      </c>
      <c r="AC513" s="552">
        <v>779</v>
      </c>
      <c r="AD513" s="552">
        <v>726</v>
      </c>
      <c r="AE513" s="552">
        <v>659</v>
      </c>
      <c r="AF513" s="552">
        <v>545</v>
      </c>
      <c r="AG513" s="552">
        <v>505</v>
      </c>
      <c r="AH513" s="552">
        <v>573</v>
      </c>
      <c r="AI513" s="552">
        <v>608</v>
      </c>
      <c r="AJ513" s="552">
        <v>603</v>
      </c>
      <c r="AK513" s="552">
        <v>650</v>
      </c>
      <c r="AL513" s="552">
        <v>681</v>
      </c>
      <c r="AM513" s="552">
        <v>604</v>
      </c>
      <c r="AN513" s="552">
        <v>539</v>
      </c>
      <c r="AO513" s="552">
        <v>615</v>
      </c>
      <c r="AP513" s="552">
        <v>649</v>
      </c>
      <c r="AQ513" s="552">
        <v>715</v>
      </c>
      <c r="AR513" s="552">
        <v>687</v>
      </c>
      <c r="AS513" s="552">
        <v>631</v>
      </c>
      <c r="AT513" s="552">
        <v>601</v>
      </c>
      <c r="AU513" s="552">
        <v>686</v>
      </c>
      <c r="AV513" s="552">
        <v>659</v>
      </c>
      <c r="AW513" s="552">
        <v>623</v>
      </c>
      <c r="AX513" s="552">
        <v>623</v>
      </c>
      <c r="AY513" s="552">
        <v>614</v>
      </c>
      <c r="AZ513" s="552">
        <v>608</v>
      </c>
      <c r="BA513" s="552">
        <v>609</v>
      </c>
      <c r="BB513" s="552">
        <v>629</v>
      </c>
      <c r="BC513" s="552">
        <v>647</v>
      </c>
      <c r="BD513" s="552">
        <v>626</v>
      </c>
      <c r="BE513" s="552">
        <v>583</v>
      </c>
      <c r="BF513" s="552">
        <v>542</v>
      </c>
      <c r="BG513" s="552">
        <v>580</v>
      </c>
      <c r="BH513" s="552">
        <v>603</v>
      </c>
      <c r="BI513" s="552">
        <v>639</v>
      </c>
      <c r="BJ513" s="552">
        <v>703</v>
      </c>
      <c r="BK513" s="552">
        <v>754</v>
      </c>
      <c r="BL513" s="552">
        <v>757</v>
      </c>
      <c r="BM513" s="552">
        <v>818</v>
      </c>
      <c r="BN513" s="552">
        <v>808</v>
      </c>
      <c r="BO513" s="552">
        <v>855</v>
      </c>
      <c r="BP513" s="552">
        <v>905</v>
      </c>
      <c r="BQ513" s="552">
        <v>926</v>
      </c>
      <c r="BR513" s="552">
        <v>915</v>
      </c>
      <c r="BS513" s="552">
        <v>887</v>
      </c>
      <c r="BT513" s="552">
        <v>1009</v>
      </c>
      <c r="BU513" s="552">
        <v>967</v>
      </c>
      <c r="BV513" s="552">
        <v>914</v>
      </c>
      <c r="BW513" s="552">
        <v>904</v>
      </c>
      <c r="BX513" s="552">
        <v>952</v>
      </c>
      <c r="BY513" s="552">
        <v>893</v>
      </c>
      <c r="BZ513" s="552">
        <v>866</v>
      </c>
      <c r="CA513" s="552">
        <v>855</v>
      </c>
      <c r="CB513" s="552">
        <v>857</v>
      </c>
      <c r="CC513" s="552">
        <v>882</v>
      </c>
      <c r="CD513" s="552">
        <v>875</v>
      </c>
      <c r="CE513" s="552">
        <v>807</v>
      </c>
      <c r="CF513" s="552">
        <v>838</v>
      </c>
      <c r="CG513" s="552">
        <v>832</v>
      </c>
      <c r="CH513" s="552">
        <v>800</v>
      </c>
      <c r="CI513" s="552">
        <v>838</v>
      </c>
      <c r="CJ513" s="552">
        <v>882</v>
      </c>
      <c r="CK513" s="552">
        <v>614</v>
      </c>
      <c r="CL513" s="552">
        <v>659</v>
      </c>
      <c r="CM513" s="552">
        <v>627</v>
      </c>
      <c r="CN513" s="552">
        <v>545</v>
      </c>
      <c r="CO513" s="552">
        <v>490</v>
      </c>
      <c r="CP513" s="552">
        <v>469</v>
      </c>
      <c r="CQ513" s="552">
        <v>418</v>
      </c>
      <c r="CR513" s="552">
        <v>376</v>
      </c>
      <c r="CS513" s="552">
        <v>328</v>
      </c>
      <c r="CT513" s="552">
        <v>268</v>
      </c>
      <c r="CU513" s="552">
        <v>254</v>
      </c>
      <c r="CV513" s="552">
        <v>224</v>
      </c>
      <c r="CW513" s="552">
        <v>142</v>
      </c>
      <c r="CX513" s="552">
        <v>181</v>
      </c>
      <c r="CY513" s="552">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5">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52">
        <v>542</v>
      </c>
      <c r="N514" s="552">
        <v>558</v>
      </c>
      <c r="O514" s="552">
        <v>557</v>
      </c>
      <c r="P514" s="552">
        <v>623</v>
      </c>
      <c r="Q514" s="552">
        <v>680</v>
      </c>
      <c r="R514" s="552">
        <v>640</v>
      </c>
      <c r="S514" s="552">
        <v>636</v>
      </c>
      <c r="T514" s="552">
        <v>702</v>
      </c>
      <c r="U514" s="552">
        <v>710</v>
      </c>
      <c r="V514" s="552">
        <v>708</v>
      </c>
      <c r="W514" s="552">
        <v>684</v>
      </c>
      <c r="X514" s="552">
        <v>699</v>
      </c>
      <c r="Y514" s="552">
        <v>687</v>
      </c>
      <c r="Z514" s="552">
        <v>724</v>
      </c>
      <c r="AA514" s="552">
        <v>813</v>
      </c>
      <c r="AB514" s="552">
        <v>726</v>
      </c>
      <c r="AC514" s="552">
        <v>720</v>
      </c>
      <c r="AD514" s="552">
        <v>759</v>
      </c>
      <c r="AE514" s="552">
        <v>677</v>
      </c>
      <c r="AF514" s="552">
        <v>546</v>
      </c>
      <c r="AG514" s="552">
        <v>497</v>
      </c>
      <c r="AH514" s="552">
        <v>540</v>
      </c>
      <c r="AI514" s="552">
        <v>576</v>
      </c>
      <c r="AJ514" s="552">
        <v>708</v>
      </c>
      <c r="AK514" s="552">
        <v>659</v>
      </c>
      <c r="AL514" s="552">
        <v>640</v>
      </c>
      <c r="AM514" s="552">
        <v>700</v>
      </c>
      <c r="AN514" s="552">
        <v>643</v>
      </c>
      <c r="AO514" s="552">
        <v>676</v>
      </c>
      <c r="AP514" s="552">
        <v>655</v>
      </c>
      <c r="AQ514" s="552">
        <v>689</v>
      </c>
      <c r="AR514" s="552">
        <v>681</v>
      </c>
      <c r="AS514" s="552">
        <v>678</v>
      </c>
      <c r="AT514" s="552">
        <v>691</v>
      </c>
      <c r="AU514" s="552">
        <v>706</v>
      </c>
      <c r="AV514" s="552">
        <v>621</v>
      </c>
      <c r="AW514" s="552">
        <v>641</v>
      </c>
      <c r="AX514" s="552">
        <v>683</v>
      </c>
      <c r="AY514" s="552">
        <v>629</v>
      </c>
      <c r="AZ514" s="552">
        <v>628</v>
      </c>
      <c r="BA514" s="552">
        <v>668</v>
      </c>
      <c r="BB514" s="552">
        <v>643</v>
      </c>
      <c r="BC514" s="552">
        <v>674</v>
      </c>
      <c r="BD514" s="552">
        <v>652</v>
      </c>
      <c r="BE514" s="552">
        <v>622</v>
      </c>
      <c r="BF514" s="552">
        <v>638</v>
      </c>
      <c r="BG514" s="552">
        <v>646</v>
      </c>
      <c r="BH514" s="552">
        <v>721</v>
      </c>
      <c r="BI514" s="552">
        <v>733</v>
      </c>
      <c r="BJ514" s="552">
        <v>732</v>
      </c>
      <c r="BK514" s="552">
        <v>904</v>
      </c>
      <c r="BL514" s="552">
        <v>916</v>
      </c>
      <c r="BM514" s="552">
        <v>874</v>
      </c>
      <c r="BN514" s="552">
        <v>967</v>
      </c>
      <c r="BO514" s="552">
        <v>918</v>
      </c>
      <c r="BP514" s="552">
        <v>1049</v>
      </c>
      <c r="BQ514" s="552">
        <v>1027</v>
      </c>
      <c r="BR514" s="552">
        <v>1085</v>
      </c>
      <c r="BS514" s="552">
        <v>1055</v>
      </c>
      <c r="BT514" s="552">
        <v>1079</v>
      </c>
      <c r="BU514" s="552">
        <v>1083</v>
      </c>
      <c r="BV514" s="552">
        <v>1072</v>
      </c>
      <c r="BW514" s="552">
        <v>1062</v>
      </c>
      <c r="BX514" s="552">
        <v>1068</v>
      </c>
      <c r="BY514" s="552">
        <v>970</v>
      </c>
      <c r="BZ514" s="552">
        <v>1004</v>
      </c>
      <c r="CA514" s="552">
        <v>1048</v>
      </c>
      <c r="CB514" s="552">
        <v>920</v>
      </c>
      <c r="CC514" s="552">
        <v>981</v>
      </c>
      <c r="CD514" s="552">
        <v>986</v>
      </c>
      <c r="CE514" s="552">
        <v>946</v>
      </c>
      <c r="CF514" s="552">
        <v>909</v>
      </c>
      <c r="CG514" s="552">
        <v>957</v>
      </c>
      <c r="CH514" s="552">
        <v>966</v>
      </c>
      <c r="CI514" s="552">
        <v>1053</v>
      </c>
      <c r="CJ514" s="552">
        <v>1016</v>
      </c>
      <c r="CK514" s="552">
        <v>762</v>
      </c>
      <c r="CL514" s="552">
        <v>697</v>
      </c>
      <c r="CM514" s="552">
        <v>815</v>
      </c>
      <c r="CN514" s="552">
        <v>676</v>
      </c>
      <c r="CO514" s="552">
        <v>565</v>
      </c>
      <c r="CP514" s="552">
        <v>480</v>
      </c>
      <c r="CQ514" s="552">
        <v>484</v>
      </c>
      <c r="CR514" s="552">
        <v>421</v>
      </c>
      <c r="CS514" s="552">
        <v>402</v>
      </c>
      <c r="CT514" s="552">
        <v>348</v>
      </c>
      <c r="CU514" s="552">
        <v>295</v>
      </c>
      <c r="CV514" s="552">
        <v>283</v>
      </c>
      <c r="CW514" s="552">
        <v>234</v>
      </c>
      <c r="CX514" s="552">
        <v>151</v>
      </c>
      <c r="CY514" s="552">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5">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52">
        <v>1182</v>
      </c>
      <c r="N515" s="552">
        <v>1192</v>
      </c>
      <c r="O515" s="552">
        <v>1246</v>
      </c>
      <c r="P515" s="552">
        <v>1330</v>
      </c>
      <c r="Q515" s="552">
        <v>1390</v>
      </c>
      <c r="R515" s="552">
        <v>1335</v>
      </c>
      <c r="S515" s="552">
        <v>1349</v>
      </c>
      <c r="T515" s="552">
        <v>1424</v>
      </c>
      <c r="U515" s="552">
        <v>1454</v>
      </c>
      <c r="V515" s="552">
        <v>1448</v>
      </c>
      <c r="W515" s="552">
        <v>1470</v>
      </c>
      <c r="X515" s="552">
        <v>1500</v>
      </c>
      <c r="Y515" s="552">
        <v>1414</v>
      </c>
      <c r="Z515" s="552">
        <v>1599</v>
      </c>
      <c r="AA515" s="552">
        <v>1471</v>
      </c>
      <c r="AB515" s="552">
        <v>1487</v>
      </c>
      <c r="AC515" s="552">
        <v>1400</v>
      </c>
      <c r="AD515" s="552">
        <v>1425</v>
      </c>
      <c r="AE515" s="552">
        <v>1383</v>
      </c>
      <c r="AF515" s="552">
        <v>1430</v>
      </c>
      <c r="AG515" s="552">
        <v>1361</v>
      </c>
      <c r="AH515" s="552">
        <v>1470</v>
      </c>
      <c r="AI515" s="552">
        <v>1333</v>
      </c>
      <c r="AJ515" s="552">
        <v>1508</v>
      </c>
      <c r="AK515" s="552">
        <v>1349</v>
      </c>
      <c r="AL515" s="552">
        <v>1510</v>
      </c>
      <c r="AM515" s="552">
        <v>1397</v>
      </c>
      <c r="AN515" s="552">
        <v>1501</v>
      </c>
      <c r="AO515" s="552">
        <v>1440</v>
      </c>
      <c r="AP515" s="552">
        <v>1561</v>
      </c>
      <c r="AQ515" s="552">
        <v>1531</v>
      </c>
      <c r="AR515" s="552">
        <v>1507</v>
      </c>
      <c r="AS515" s="552">
        <v>1666</v>
      </c>
      <c r="AT515" s="552">
        <v>1646</v>
      </c>
      <c r="AU515" s="552">
        <v>1508</v>
      </c>
      <c r="AV515" s="552">
        <v>1576</v>
      </c>
      <c r="AW515" s="552">
        <v>1511</v>
      </c>
      <c r="AX515" s="552">
        <v>1573</v>
      </c>
      <c r="AY515" s="552">
        <v>1526</v>
      </c>
      <c r="AZ515" s="552">
        <v>1487</v>
      </c>
      <c r="BA515" s="552">
        <v>1448</v>
      </c>
      <c r="BB515" s="552">
        <v>1387</v>
      </c>
      <c r="BC515" s="552">
        <v>1473</v>
      </c>
      <c r="BD515" s="552">
        <v>1436</v>
      </c>
      <c r="BE515" s="552">
        <v>1292</v>
      </c>
      <c r="BF515" s="552">
        <v>1234</v>
      </c>
      <c r="BG515" s="552">
        <v>1228</v>
      </c>
      <c r="BH515" s="552">
        <v>1344</v>
      </c>
      <c r="BI515" s="552">
        <v>1265</v>
      </c>
      <c r="BJ515" s="552">
        <v>1525</v>
      </c>
      <c r="BK515" s="552">
        <v>1616</v>
      </c>
      <c r="BL515" s="552">
        <v>1695</v>
      </c>
      <c r="BM515" s="552">
        <v>1558</v>
      </c>
      <c r="BN515" s="552">
        <v>1611</v>
      </c>
      <c r="BO515" s="552">
        <v>1667</v>
      </c>
      <c r="BP515" s="552">
        <v>1659</v>
      </c>
      <c r="BQ515" s="552">
        <v>1692</v>
      </c>
      <c r="BR515" s="552">
        <v>1734</v>
      </c>
      <c r="BS515" s="552">
        <v>1649</v>
      </c>
      <c r="BT515" s="552">
        <v>1594</v>
      </c>
      <c r="BU515" s="552">
        <v>1607</v>
      </c>
      <c r="BV515" s="552">
        <v>1496</v>
      </c>
      <c r="BW515" s="552">
        <v>1364</v>
      </c>
      <c r="BX515" s="552">
        <v>1434</v>
      </c>
      <c r="BY515" s="552">
        <v>1372</v>
      </c>
      <c r="BZ515" s="552">
        <v>1354</v>
      </c>
      <c r="CA515" s="552">
        <v>1261</v>
      </c>
      <c r="CB515" s="552">
        <v>1184</v>
      </c>
      <c r="CC515" s="552">
        <v>1223</v>
      </c>
      <c r="CD515" s="552">
        <v>1163</v>
      </c>
      <c r="CE515" s="552">
        <v>1238</v>
      </c>
      <c r="CF515" s="552">
        <v>1171</v>
      </c>
      <c r="CG515" s="552">
        <v>1232</v>
      </c>
      <c r="CH515" s="552">
        <v>1244</v>
      </c>
      <c r="CI515" s="552">
        <v>1280</v>
      </c>
      <c r="CJ515" s="552">
        <v>1272</v>
      </c>
      <c r="CK515" s="552">
        <v>1071</v>
      </c>
      <c r="CL515" s="552">
        <v>988</v>
      </c>
      <c r="CM515" s="552">
        <v>843</v>
      </c>
      <c r="CN515" s="552">
        <v>708</v>
      </c>
      <c r="CO515" s="552">
        <v>680</v>
      </c>
      <c r="CP515" s="552">
        <v>591</v>
      </c>
      <c r="CQ515" s="552">
        <v>536</v>
      </c>
      <c r="CR515" s="552">
        <v>480</v>
      </c>
      <c r="CS515" s="552">
        <v>454</v>
      </c>
      <c r="CT515" s="552">
        <v>366</v>
      </c>
      <c r="CU515" s="552">
        <v>342</v>
      </c>
      <c r="CV515" s="552">
        <v>288</v>
      </c>
      <c r="CW515" s="552">
        <v>231</v>
      </c>
      <c r="CX515" s="552">
        <v>183</v>
      </c>
      <c r="CY515" s="552">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5">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52">
        <v>1134</v>
      </c>
      <c r="N516" s="552">
        <v>1063</v>
      </c>
      <c r="O516" s="552">
        <v>1133</v>
      </c>
      <c r="P516" s="552">
        <v>1224</v>
      </c>
      <c r="Q516" s="552">
        <v>1266</v>
      </c>
      <c r="R516" s="552">
        <v>1252</v>
      </c>
      <c r="S516" s="552">
        <v>1374</v>
      </c>
      <c r="T516" s="552">
        <v>1363</v>
      </c>
      <c r="U516" s="552">
        <v>1342</v>
      </c>
      <c r="V516" s="552">
        <v>1419</v>
      </c>
      <c r="W516" s="552">
        <v>1459</v>
      </c>
      <c r="X516" s="552">
        <v>1510</v>
      </c>
      <c r="Y516" s="552">
        <v>1407</v>
      </c>
      <c r="Z516" s="552">
        <v>1464</v>
      </c>
      <c r="AA516" s="552">
        <v>1527</v>
      </c>
      <c r="AB516" s="552">
        <v>1392</v>
      </c>
      <c r="AC516" s="552">
        <v>1385</v>
      </c>
      <c r="AD516" s="552">
        <v>1426</v>
      </c>
      <c r="AE516" s="552">
        <v>1459</v>
      </c>
      <c r="AF516" s="552">
        <v>1896</v>
      </c>
      <c r="AG516" s="552">
        <v>2522</v>
      </c>
      <c r="AH516" s="552">
        <v>2615</v>
      </c>
      <c r="AI516" s="552">
        <v>2280</v>
      </c>
      <c r="AJ516" s="552">
        <v>1910</v>
      </c>
      <c r="AK516" s="552">
        <v>1501</v>
      </c>
      <c r="AL516" s="552">
        <v>1507</v>
      </c>
      <c r="AM516" s="552">
        <v>1486</v>
      </c>
      <c r="AN516" s="552">
        <v>1351</v>
      </c>
      <c r="AO516" s="552">
        <v>1422</v>
      </c>
      <c r="AP516" s="552">
        <v>1448</v>
      </c>
      <c r="AQ516" s="552">
        <v>1520</v>
      </c>
      <c r="AR516" s="552">
        <v>1551</v>
      </c>
      <c r="AS516" s="552">
        <v>1644</v>
      </c>
      <c r="AT516" s="552">
        <v>1442</v>
      </c>
      <c r="AU516" s="552">
        <v>1501</v>
      </c>
      <c r="AV516" s="552">
        <v>1514</v>
      </c>
      <c r="AW516" s="552">
        <v>1498</v>
      </c>
      <c r="AX516" s="552">
        <v>1597</v>
      </c>
      <c r="AY516" s="552">
        <v>1396</v>
      </c>
      <c r="AZ516" s="552">
        <v>1455</v>
      </c>
      <c r="BA516" s="552">
        <v>1397</v>
      </c>
      <c r="BB516" s="552">
        <v>1417</v>
      </c>
      <c r="BC516" s="552">
        <v>1584</v>
      </c>
      <c r="BD516" s="552">
        <v>1343</v>
      </c>
      <c r="BE516" s="552">
        <v>1273</v>
      </c>
      <c r="BF516" s="552">
        <v>1289</v>
      </c>
      <c r="BG516" s="552">
        <v>1339</v>
      </c>
      <c r="BH516" s="552">
        <v>1379</v>
      </c>
      <c r="BI516" s="552">
        <v>1335</v>
      </c>
      <c r="BJ516" s="552">
        <v>1336</v>
      </c>
      <c r="BK516" s="552">
        <v>1462</v>
      </c>
      <c r="BL516" s="552">
        <v>1510</v>
      </c>
      <c r="BM516" s="552">
        <v>1509</v>
      </c>
      <c r="BN516" s="552">
        <v>1691</v>
      </c>
      <c r="BO516" s="552">
        <v>1552</v>
      </c>
      <c r="BP516" s="552">
        <v>1528</v>
      </c>
      <c r="BQ516" s="552">
        <v>1522</v>
      </c>
      <c r="BR516" s="552">
        <v>1665</v>
      </c>
      <c r="BS516" s="552">
        <v>1640</v>
      </c>
      <c r="BT516" s="552">
        <v>1484</v>
      </c>
      <c r="BU516" s="552">
        <v>1519</v>
      </c>
      <c r="BV516" s="552">
        <v>1456</v>
      </c>
      <c r="BW516" s="552">
        <v>1447</v>
      </c>
      <c r="BX516" s="552">
        <v>1394</v>
      </c>
      <c r="BY516" s="552">
        <v>1349</v>
      </c>
      <c r="BZ516" s="552">
        <v>1273</v>
      </c>
      <c r="CA516" s="552">
        <v>1240</v>
      </c>
      <c r="CB516" s="552">
        <v>1189</v>
      </c>
      <c r="CC516" s="552">
        <v>1181</v>
      </c>
      <c r="CD516" s="552">
        <v>1218</v>
      </c>
      <c r="CE516" s="552">
        <v>1171</v>
      </c>
      <c r="CF516" s="552">
        <v>1093</v>
      </c>
      <c r="CG516" s="552">
        <v>1212</v>
      </c>
      <c r="CH516" s="552">
        <v>1187</v>
      </c>
      <c r="CI516" s="552">
        <v>1233</v>
      </c>
      <c r="CJ516" s="552">
        <v>1340</v>
      </c>
      <c r="CK516" s="552">
        <v>889</v>
      </c>
      <c r="CL516" s="552">
        <v>905</v>
      </c>
      <c r="CM516" s="552">
        <v>899</v>
      </c>
      <c r="CN516" s="552">
        <v>852</v>
      </c>
      <c r="CO516" s="552">
        <v>748</v>
      </c>
      <c r="CP516" s="552">
        <v>612</v>
      </c>
      <c r="CQ516" s="552">
        <v>591</v>
      </c>
      <c r="CR516" s="552">
        <v>524</v>
      </c>
      <c r="CS516" s="552">
        <v>525</v>
      </c>
      <c r="CT516" s="552">
        <v>455</v>
      </c>
      <c r="CU516" s="552">
        <v>393</v>
      </c>
      <c r="CV516" s="552">
        <v>348</v>
      </c>
      <c r="CW516" s="552">
        <v>276</v>
      </c>
      <c r="CX516" s="552">
        <v>244</v>
      </c>
      <c r="CY516" s="552">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5">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52">
        <v>514</v>
      </c>
      <c r="N517" s="552">
        <v>466</v>
      </c>
      <c r="O517" s="552">
        <v>537</v>
      </c>
      <c r="P517" s="552">
        <v>540</v>
      </c>
      <c r="Q517" s="552">
        <v>516</v>
      </c>
      <c r="R517" s="552">
        <v>556</v>
      </c>
      <c r="S517" s="552">
        <v>581</v>
      </c>
      <c r="T517" s="552">
        <v>514</v>
      </c>
      <c r="U517" s="552">
        <v>551</v>
      </c>
      <c r="V517" s="552">
        <v>551</v>
      </c>
      <c r="W517" s="552">
        <v>588</v>
      </c>
      <c r="X517" s="552">
        <v>600</v>
      </c>
      <c r="Y517" s="552">
        <v>586</v>
      </c>
      <c r="Z517" s="552">
        <v>625</v>
      </c>
      <c r="AA517" s="552">
        <v>581</v>
      </c>
      <c r="AB517" s="552">
        <v>557</v>
      </c>
      <c r="AC517" s="552">
        <v>592</v>
      </c>
      <c r="AD517" s="552">
        <v>585</v>
      </c>
      <c r="AE517" s="552">
        <v>488</v>
      </c>
      <c r="AF517" s="552">
        <v>425</v>
      </c>
      <c r="AG517" s="552">
        <v>404</v>
      </c>
      <c r="AH517" s="552">
        <v>418</v>
      </c>
      <c r="AI517" s="552">
        <v>438</v>
      </c>
      <c r="AJ517" s="552">
        <v>462</v>
      </c>
      <c r="AK517" s="552">
        <v>507</v>
      </c>
      <c r="AL517" s="552">
        <v>598</v>
      </c>
      <c r="AM517" s="552">
        <v>533</v>
      </c>
      <c r="AN517" s="552">
        <v>576</v>
      </c>
      <c r="AO517" s="552">
        <v>555</v>
      </c>
      <c r="AP517" s="552">
        <v>540</v>
      </c>
      <c r="AQ517" s="552">
        <v>596</v>
      </c>
      <c r="AR517" s="552">
        <v>615</v>
      </c>
      <c r="AS517" s="552">
        <v>622</v>
      </c>
      <c r="AT517" s="552">
        <v>617</v>
      </c>
      <c r="AU517" s="552">
        <v>553</v>
      </c>
      <c r="AV517" s="552">
        <v>586</v>
      </c>
      <c r="AW517" s="552">
        <v>593</v>
      </c>
      <c r="AX517" s="552">
        <v>574</v>
      </c>
      <c r="AY517" s="552">
        <v>532</v>
      </c>
      <c r="AZ517" s="552">
        <v>548</v>
      </c>
      <c r="BA517" s="552">
        <v>555</v>
      </c>
      <c r="BB517" s="552">
        <v>493</v>
      </c>
      <c r="BC517" s="552">
        <v>523</v>
      </c>
      <c r="BD517" s="552">
        <v>539</v>
      </c>
      <c r="BE517" s="552">
        <v>428</v>
      </c>
      <c r="BF517" s="552">
        <v>504</v>
      </c>
      <c r="BG517" s="552">
        <v>432</v>
      </c>
      <c r="BH517" s="552">
        <v>497</v>
      </c>
      <c r="BI517" s="552">
        <v>493</v>
      </c>
      <c r="BJ517" s="552">
        <v>561</v>
      </c>
      <c r="BK517" s="552">
        <v>569</v>
      </c>
      <c r="BL517" s="552">
        <v>636</v>
      </c>
      <c r="BM517" s="552">
        <v>634</v>
      </c>
      <c r="BN517" s="552">
        <v>601</v>
      </c>
      <c r="BO517" s="552">
        <v>597</v>
      </c>
      <c r="BP517" s="552">
        <v>623</v>
      </c>
      <c r="BQ517" s="552">
        <v>631</v>
      </c>
      <c r="BR517" s="552">
        <v>707</v>
      </c>
      <c r="BS517" s="552">
        <v>646</v>
      </c>
      <c r="BT517" s="552">
        <v>672</v>
      </c>
      <c r="BU517" s="552">
        <v>661</v>
      </c>
      <c r="BV517" s="552">
        <v>655</v>
      </c>
      <c r="BW517" s="552">
        <v>574</v>
      </c>
      <c r="BX517" s="552">
        <v>580</v>
      </c>
      <c r="BY517" s="552">
        <v>594</v>
      </c>
      <c r="BZ517" s="552">
        <v>511</v>
      </c>
      <c r="CA517" s="552">
        <v>490</v>
      </c>
      <c r="CB517" s="552">
        <v>470</v>
      </c>
      <c r="CC517" s="552">
        <v>535</v>
      </c>
      <c r="CD517" s="552">
        <v>469</v>
      </c>
      <c r="CE517" s="552">
        <v>488</v>
      </c>
      <c r="CF517" s="552">
        <v>479</v>
      </c>
      <c r="CG517" s="552">
        <v>457</v>
      </c>
      <c r="CH517" s="552">
        <v>484</v>
      </c>
      <c r="CI517" s="552">
        <v>455</v>
      </c>
      <c r="CJ517" s="552">
        <v>541</v>
      </c>
      <c r="CK517" s="552">
        <v>404</v>
      </c>
      <c r="CL517" s="552">
        <v>398</v>
      </c>
      <c r="CM517" s="552">
        <v>348</v>
      </c>
      <c r="CN517" s="552">
        <v>298</v>
      </c>
      <c r="CO517" s="552">
        <v>266</v>
      </c>
      <c r="CP517" s="552">
        <v>246</v>
      </c>
      <c r="CQ517" s="552">
        <v>224</v>
      </c>
      <c r="CR517" s="552">
        <v>223</v>
      </c>
      <c r="CS517" s="552">
        <v>187</v>
      </c>
      <c r="CT517" s="552">
        <v>157</v>
      </c>
      <c r="CU517" s="552">
        <v>143</v>
      </c>
      <c r="CV517" s="552">
        <v>129</v>
      </c>
      <c r="CW517" s="552">
        <v>118</v>
      </c>
      <c r="CX517" s="552">
        <v>110</v>
      </c>
      <c r="CY517" s="552">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5">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52">
        <v>642</v>
      </c>
      <c r="N518" s="552">
        <v>670</v>
      </c>
      <c r="O518" s="552">
        <v>666</v>
      </c>
      <c r="P518" s="552">
        <v>745</v>
      </c>
      <c r="Q518" s="552">
        <v>708</v>
      </c>
      <c r="R518" s="552">
        <v>814</v>
      </c>
      <c r="S518" s="552">
        <v>772</v>
      </c>
      <c r="T518" s="552">
        <v>756</v>
      </c>
      <c r="U518" s="552">
        <v>790</v>
      </c>
      <c r="V518" s="552">
        <v>869</v>
      </c>
      <c r="W518" s="552">
        <v>878</v>
      </c>
      <c r="X518" s="552">
        <v>861</v>
      </c>
      <c r="Y518" s="552">
        <v>888</v>
      </c>
      <c r="Z518" s="552">
        <v>889</v>
      </c>
      <c r="AA518" s="552">
        <v>863</v>
      </c>
      <c r="AB518" s="552">
        <v>841</v>
      </c>
      <c r="AC518" s="552">
        <v>775</v>
      </c>
      <c r="AD518" s="552">
        <v>759</v>
      </c>
      <c r="AE518" s="552">
        <v>728</v>
      </c>
      <c r="AF518" s="552">
        <v>587</v>
      </c>
      <c r="AG518" s="552">
        <v>503</v>
      </c>
      <c r="AH518" s="552">
        <v>620</v>
      </c>
      <c r="AI518" s="552">
        <v>676</v>
      </c>
      <c r="AJ518" s="552">
        <v>666</v>
      </c>
      <c r="AK518" s="552">
        <v>621</v>
      </c>
      <c r="AL518" s="552">
        <v>702</v>
      </c>
      <c r="AM518" s="552">
        <v>663</v>
      </c>
      <c r="AN518" s="552">
        <v>711</v>
      </c>
      <c r="AO518" s="552">
        <v>738</v>
      </c>
      <c r="AP518" s="552">
        <v>687</v>
      </c>
      <c r="AQ518" s="552">
        <v>701</v>
      </c>
      <c r="AR518" s="552">
        <v>728</v>
      </c>
      <c r="AS518" s="552">
        <v>706</v>
      </c>
      <c r="AT518" s="552">
        <v>774</v>
      </c>
      <c r="AU518" s="552">
        <v>806</v>
      </c>
      <c r="AV518" s="552">
        <v>800</v>
      </c>
      <c r="AW518" s="552">
        <v>846</v>
      </c>
      <c r="AX518" s="552">
        <v>741</v>
      </c>
      <c r="AY518" s="552">
        <v>762</v>
      </c>
      <c r="AZ518" s="552">
        <v>802</v>
      </c>
      <c r="BA518" s="552">
        <v>818</v>
      </c>
      <c r="BB518" s="552">
        <v>893</v>
      </c>
      <c r="BC518" s="552">
        <v>884</v>
      </c>
      <c r="BD518" s="552">
        <v>832</v>
      </c>
      <c r="BE518" s="552">
        <v>669</v>
      </c>
      <c r="BF518" s="552">
        <v>732</v>
      </c>
      <c r="BG518" s="552">
        <v>722</v>
      </c>
      <c r="BH518" s="552">
        <v>807</v>
      </c>
      <c r="BI518" s="552">
        <v>781</v>
      </c>
      <c r="BJ518" s="552">
        <v>815</v>
      </c>
      <c r="BK518" s="552">
        <v>842</v>
      </c>
      <c r="BL518" s="552">
        <v>880</v>
      </c>
      <c r="BM518" s="552">
        <v>853</v>
      </c>
      <c r="BN518" s="552">
        <v>916</v>
      </c>
      <c r="BO518" s="552">
        <v>871</v>
      </c>
      <c r="BP518" s="552">
        <v>920</v>
      </c>
      <c r="BQ518" s="552">
        <v>867</v>
      </c>
      <c r="BR518" s="552">
        <v>906</v>
      </c>
      <c r="BS518" s="552">
        <v>932</v>
      </c>
      <c r="BT518" s="552">
        <v>907</v>
      </c>
      <c r="BU518" s="552">
        <v>934</v>
      </c>
      <c r="BV518" s="552">
        <v>904</v>
      </c>
      <c r="BW518" s="552">
        <v>828</v>
      </c>
      <c r="BX518" s="552">
        <v>857</v>
      </c>
      <c r="BY518" s="552">
        <v>763</v>
      </c>
      <c r="BZ518" s="552">
        <v>786</v>
      </c>
      <c r="CA518" s="552">
        <v>761</v>
      </c>
      <c r="CB518" s="552">
        <v>745</v>
      </c>
      <c r="CC518" s="552">
        <v>753</v>
      </c>
      <c r="CD518" s="552">
        <v>754</v>
      </c>
      <c r="CE518" s="552">
        <v>696</v>
      </c>
      <c r="CF518" s="552">
        <v>706</v>
      </c>
      <c r="CG518" s="552">
        <v>707</v>
      </c>
      <c r="CH518" s="552">
        <v>714</v>
      </c>
      <c r="CI518" s="552">
        <v>737</v>
      </c>
      <c r="CJ518" s="552">
        <v>775</v>
      </c>
      <c r="CK518" s="552">
        <v>562</v>
      </c>
      <c r="CL518" s="552">
        <v>555</v>
      </c>
      <c r="CM518" s="552">
        <v>563</v>
      </c>
      <c r="CN518" s="552">
        <v>468</v>
      </c>
      <c r="CO518" s="552">
        <v>410</v>
      </c>
      <c r="CP518" s="552">
        <v>391</v>
      </c>
      <c r="CQ518" s="552">
        <v>349</v>
      </c>
      <c r="CR518" s="552">
        <v>336</v>
      </c>
      <c r="CS518" s="552">
        <v>307</v>
      </c>
      <c r="CT518" s="552">
        <v>239</v>
      </c>
      <c r="CU518" s="552">
        <v>231</v>
      </c>
      <c r="CV518" s="552">
        <v>180</v>
      </c>
      <c r="CW518" s="552">
        <v>170</v>
      </c>
      <c r="CX518" s="552">
        <v>135</v>
      </c>
      <c r="CY518" s="552">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5">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52">
        <v>673</v>
      </c>
      <c r="N519" s="552">
        <v>647</v>
      </c>
      <c r="O519" s="552">
        <v>740</v>
      </c>
      <c r="P519" s="552">
        <v>723</v>
      </c>
      <c r="Q519" s="552">
        <v>730</v>
      </c>
      <c r="R519" s="552">
        <v>761</v>
      </c>
      <c r="S519" s="552">
        <v>793</v>
      </c>
      <c r="T519" s="552">
        <v>761</v>
      </c>
      <c r="U519" s="552">
        <v>814</v>
      </c>
      <c r="V519" s="552">
        <v>862</v>
      </c>
      <c r="W519" s="552">
        <v>831</v>
      </c>
      <c r="X519" s="552">
        <v>858</v>
      </c>
      <c r="Y519" s="552">
        <v>859</v>
      </c>
      <c r="Z519" s="552">
        <v>879</v>
      </c>
      <c r="AA519" s="552">
        <v>845</v>
      </c>
      <c r="AB519" s="552">
        <v>853</v>
      </c>
      <c r="AC519" s="552">
        <v>831</v>
      </c>
      <c r="AD519" s="552">
        <v>839</v>
      </c>
      <c r="AE519" s="552">
        <v>753</v>
      </c>
      <c r="AF519" s="552">
        <v>630</v>
      </c>
      <c r="AG519" s="552">
        <v>619</v>
      </c>
      <c r="AH519" s="552">
        <v>629</v>
      </c>
      <c r="AI519" s="552">
        <v>670</v>
      </c>
      <c r="AJ519" s="552">
        <v>758</v>
      </c>
      <c r="AK519" s="552">
        <v>790</v>
      </c>
      <c r="AL519" s="552">
        <v>832</v>
      </c>
      <c r="AM519" s="552">
        <v>753</v>
      </c>
      <c r="AN519" s="552">
        <v>823</v>
      </c>
      <c r="AO519" s="552">
        <v>819</v>
      </c>
      <c r="AP519" s="552">
        <v>821</v>
      </c>
      <c r="AQ519" s="552">
        <v>786</v>
      </c>
      <c r="AR519" s="552">
        <v>853</v>
      </c>
      <c r="AS519" s="552">
        <v>859</v>
      </c>
      <c r="AT519" s="552">
        <v>835</v>
      </c>
      <c r="AU519" s="552">
        <v>874</v>
      </c>
      <c r="AV519" s="552">
        <v>850</v>
      </c>
      <c r="AW519" s="552">
        <v>902</v>
      </c>
      <c r="AX519" s="552">
        <v>921</v>
      </c>
      <c r="AY519" s="552">
        <v>825</v>
      </c>
      <c r="AZ519" s="552">
        <v>847</v>
      </c>
      <c r="BA519" s="552">
        <v>842</v>
      </c>
      <c r="BB519" s="552">
        <v>901</v>
      </c>
      <c r="BC519" s="552">
        <v>918</v>
      </c>
      <c r="BD519" s="552">
        <v>874</v>
      </c>
      <c r="BE519" s="552">
        <v>746</v>
      </c>
      <c r="BF519" s="552">
        <v>759</v>
      </c>
      <c r="BG519" s="552">
        <v>795</v>
      </c>
      <c r="BH519" s="552">
        <v>790</v>
      </c>
      <c r="BI519" s="552">
        <v>799</v>
      </c>
      <c r="BJ519" s="552">
        <v>915</v>
      </c>
      <c r="BK519" s="552">
        <v>955</v>
      </c>
      <c r="BL519" s="552">
        <v>1013</v>
      </c>
      <c r="BM519" s="552">
        <v>995</v>
      </c>
      <c r="BN519" s="552">
        <v>1003</v>
      </c>
      <c r="BO519" s="552">
        <v>969</v>
      </c>
      <c r="BP519" s="552">
        <v>960</v>
      </c>
      <c r="BQ519" s="552">
        <v>1007</v>
      </c>
      <c r="BR519" s="552">
        <v>986</v>
      </c>
      <c r="BS519" s="552">
        <v>968</v>
      </c>
      <c r="BT519" s="552">
        <v>965</v>
      </c>
      <c r="BU519" s="552">
        <v>916</v>
      </c>
      <c r="BV519" s="552">
        <v>884</v>
      </c>
      <c r="BW519" s="552">
        <v>833</v>
      </c>
      <c r="BX519" s="552">
        <v>743</v>
      </c>
      <c r="BY519" s="552">
        <v>790</v>
      </c>
      <c r="BZ519" s="552">
        <v>795</v>
      </c>
      <c r="CA519" s="552">
        <v>774</v>
      </c>
      <c r="CB519" s="552">
        <v>688</v>
      </c>
      <c r="CC519" s="552">
        <v>698</v>
      </c>
      <c r="CD519" s="552">
        <v>716</v>
      </c>
      <c r="CE519" s="552">
        <v>688</v>
      </c>
      <c r="CF519" s="552">
        <v>667</v>
      </c>
      <c r="CG519" s="552">
        <v>680</v>
      </c>
      <c r="CH519" s="552">
        <v>708</v>
      </c>
      <c r="CI519" s="552">
        <v>706</v>
      </c>
      <c r="CJ519" s="552">
        <v>754</v>
      </c>
      <c r="CK519" s="552">
        <v>572</v>
      </c>
      <c r="CL519" s="552">
        <v>512</v>
      </c>
      <c r="CM519" s="552">
        <v>519</v>
      </c>
      <c r="CN519" s="552">
        <v>494</v>
      </c>
      <c r="CO519" s="552">
        <v>429</v>
      </c>
      <c r="CP519" s="552">
        <v>357</v>
      </c>
      <c r="CQ519" s="552">
        <v>308</v>
      </c>
      <c r="CR519" s="552">
        <v>275</v>
      </c>
      <c r="CS519" s="552">
        <v>281</v>
      </c>
      <c r="CT519" s="552">
        <v>235</v>
      </c>
      <c r="CU519" s="552">
        <v>217</v>
      </c>
      <c r="CV519" s="552">
        <v>176</v>
      </c>
      <c r="CW519" s="552">
        <v>132</v>
      </c>
      <c r="CX519" s="552">
        <v>132</v>
      </c>
      <c r="CY519" s="552">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5">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5">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5">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5">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5">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5">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5">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5">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5">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5">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5">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5">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5">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25">
      <c r="A535" s="572" t="s">
        <v>600</v>
      </c>
      <c r="B535" s="573"/>
      <c r="C535" s="574"/>
      <c r="D535" s="575"/>
      <c r="E535" s="575"/>
      <c r="F535" s="575"/>
      <c r="G535" s="576"/>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5">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25">
      <c r="C537" s="11"/>
      <c r="D537" s="577" t="s">
        <v>601</v>
      </c>
      <c r="E537" s="578" t="s">
        <v>602</v>
      </c>
      <c r="F537" s="577"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4" x14ac:dyDescent="0.3">
      <c r="C538" s="11"/>
      <c r="D538" s="579" t="s">
        <v>604</v>
      </c>
      <c r="E538" s="580" t="s">
        <v>605</v>
      </c>
      <c r="F538" s="579"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4" x14ac:dyDescent="0.3">
      <c r="C539" s="11"/>
      <c r="D539" s="579" t="s">
        <v>607</v>
      </c>
      <c r="E539" s="580" t="s">
        <v>608</v>
      </c>
      <c r="F539" s="579"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4" x14ac:dyDescent="0.3">
      <c r="C540" s="1" t="s">
        <v>610</v>
      </c>
      <c r="D540" s="581">
        <v>60238038</v>
      </c>
      <c r="E540" s="582"/>
      <c r="F540" s="583"/>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4" x14ac:dyDescent="0.3">
      <c r="C541" s="584" t="s">
        <v>611</v>
      </c>
      <c r="D541" s="585"/>
      <c r="E541" s="586">
        <v>60856434</v>
      </c>
      <c r="F541" s="581">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4" x14ac:dyDescent="0.3">
      <c r="C542" s="584" t="s">
        <v>612</v>
      </c>
      <c r="D542" s="585"/>
      <c r="E542" s="587">
        <f>(E541-D540)/D540</f>
        <v>1.0265872205200309E-2</v>
      </c>
      <c r="F542" s="588">
        <f>(F541-D540)/D540</f>
        <v>2.0553358660187437E-2</v>
      </c>
      <c r="G542" s="589">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4" x14ac:dyDescent="0.3">
      <c r="C543" s="584" t="s">
        <v>613</v>
      </c>
      <c r="D543" s="585"/>
      <c r="E543" s="590"/>
      <c r="F543" s="581">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4" x14ac:dyDescent="0.3">
      <c r="C544" s="584" t="s">
        <v>614</v>
      </c>
      <c r="D544" s="585"/>
      <c r="E544" s="590"/>
      <c r="F544" s="581">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5">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5">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5">
      <c r="A547" s="568"/>
      <c r="B547" s="569"/>
      <c r="C547" s="21" t="s">
        <v>615</v>
      </c>
      <c r="D547" s="139" t="s">
        <v>616</v>
      </c>
      <c r="E547" s="139" t="s">
        <v>617</v>
      </c>
      <c r="F547" s="139" t="s">
        <v>618</v>
      </c>
      <c r="G547" s="139" t="s">
        <v>619</v>
      </c>
      <c r="H547" s="139" t="s">
        <v>620</v>
      </c>
      <c r="I547" s="139" t="s">
        <v>621</v>
      </c>
      <c r="J547" s="498" t="s">
        <v>622</v>
      </c>
      <c r="K547" s="501" t="s">
        <v>623</v>
      </c>
      <c r="L547" s="32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5">
      <c r="A548" s="570" t="s">
        <v>625</v>
      </c>
      <c r="C548" s="21" t="s">
        <v>626</v>
      </c>
      <c r="D548" s="926" t="s">
        <v>627</v>
      </c>
      <c r="E548" s="927"/>
      <c r="F548" s="927"/>
      <c r="G548" s="927"/>
      <c r="H548" s="927"/>
      <c r="I548" s="92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5">
      <c r="A549" s="570"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5">
      <c r="A550" s="570" t="s">
        <v>625</v>
      </c>
      <c r="B550" s="11">
        <v>1</v>
      </c>
      <c r="C550" s="138" t="s">
        <v>629</v>
      </c>
      <c r="D550" s="142"/>
      <c r="E550" s="142">
        <v>1.0090702843828887</v>
      </c>
      <c r="F550" s="142">
        <v>1.0170393771683619</v>
      </c>
      <c r="G550" s="142">
        <v>1.0238793000184203</v>
      </c>
      <c r="H550" s="142">
        <v>1.0295635385778663</v>
      </c>
      <c r="I550" s="142">
        <v>1.0351195322438309</v>
      </c>
      <c r="J550" s="499">
        <f>(I550-100%)/5</f>
        <v>7.0239064487661821E-3</v>
      </c>
      <c r="K550" s="502">
        <f t="shared" ref="K550:K563" si="144">(I550/100%)^(1/5)-1</f>
        <v>6.9272652964273984E-3</v>
      </c>
      <c r="L550" s="497">
        <v>6.9272652964273984E-3</v>
      </c>
      <c r="M550" s="493"/>
      <c r="N550" s="493"/>
      <c r="O550" s="494"/>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5">
      <c r="A551" s="570" t="s">
        <v>625</v>
      </c>
      <c r="B551" s="11">
        <v>2</v>
      </c>
      <c r="C551" s="138" t="s">
        <v>630</v>
      </c>
      <c r="D551" s="142"/>
      <c r="E551" s="142">
        <v>0.96173452499784384</v>
      </c>
      <c r="F551" s="142">
        <v>0.949547172001034</v>
      </c>
      <c r="G551" s="142">
        <v>0.93849673400054612</v>
      </c>
      <c r="H551" s="142">
        <v>0.92766778564091124</v>
      </c>
      <c r="I551" s="142">
        <v>0.91680012001884892</v>
      </c>
      <c r="J551" s="499">
        <f t="shared" ref="J551:J563" si="145">(I551-100%)/5</f>
        <v>-1.6639975996230218E-2</v>
      </c>
      <c r="K551" s="502">
        <f t="shared" si="144"/>
        <v>-1.7223117235316776E-2</v>
      </c>
      <c r="L551" s="497">
        <v>-1.7223117235316776E-2</v>
      </c>
      <c r="M551" s="493"/>
      <c r="N551" s="493"/>
      <c r="O551" s="494"/>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5">
      <c r="A552" s="570" t="s">
        <v>625</v>
      </c>
      <c r="B552" s="11">
        <v>3</v>
      </c>
      <c r="C552" s="138" t="s">
        <v>631</v>
      </c>
      <c r="D552" s="142"/>
      <c r="E552" s="142">
        <v>1.0707061745580608</v>
      </c>
      <c r="F552" s="142">
        <v>1.0961797739954167</v>
      </c>
      <c r="G552" s="142">
        <v>1.1120352164720533</v>
      </c>
      <c r="H552" s="142">
        <v>1.1172916519636134</v>
      </c>
      <c r="I552" s="142">
        <v>1.1228072524832799</v>
      </c>
      <c r="J552" s="499">
        <f t="shared" si="145"/>
        <v>2.4561450496655989E-2</v>
      </c>
      <c r="K552" s="502">
        <f t="shared" si="144"/>
        <v>2.3436830336478032E-2</v>
      </c>
      <c r="L552" s="497">
        <v>2.3436830336478032E-2</v>
      </c>
      <c r="M552" s="493"/>
      <c r="N552" s="493"/>
      <c r="O552" s="494"/>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5">
      <c r="A553" s="570" t="s">
        <v>625</v>
      </c>
      <c r="B553" s="11">
        <v>4</v>
      </c>
      <c r="C553" s="138" t="s">
        <v>632</v>
      </c>
      <c r="D553" s="142"/>
      <c r="E553" s="142">
        <v>0.99704312080608826</v>
      </c>
      <c r="F553" s="142">
        <v>0.99705853203848904</v>
      </c>
      <c r="G553" s="142">
        <v>0.99472603914083957</v>
      </c>
      <c r="H553" s="142">
        <v>0.9891090180954597</v>
      </c>
      <c r="I553" s="142">
        <v>0.98354979851924307</v>
      </c>
      <c r="J553" s="499">
        <f t="shared" si="145"/>
        <v>-3.2900402961513866E-3</v>
      </c>
      <c r="K553" s="502">
        <f t="shared" si="144"/>
        <v>-3.3119051937137156E-3</v>
      </c>
      <c r="L553" s="497">
        <v>-3.3119051937137156E-3</v>
      </c>
      <c r="M553" s="493"/>
      <c r="N553" s="493"/>
      <c r="O553" s="494"/>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5">
      <c r="A554" s="570" t="s">
        <v>625</v>
      </c>
      <c r="B554" s="11">
        <v>5</v>
      </c>
      <c r="C554" s="138" t="s">
        <v>633</v>
      </c>
      <c r="D554" s="142"/>
      <c r="E554" s="142">
        <v>0.99263087643060499</v>
      </c>
      <c r="F554" s="142">
        <v>0.99530151668079492</v>
      </c>
      <c r="G554" s="142">
        <v>0.99708461172748208</v>
      </c>
      <c r="H554" s="142">
        <v>0.99857946574262668</v>
      </c>
      <c r="I554" s="142">
        <v>1.0006058081967233</v>
      </c>
      <c r="J554" s="499">
        <f t="shared" si="145"/>
        <v>1.2116163934465796E-4</v>
      </c>
      <c r="K554" s="502">
        <f t="shared" si="144"/>
        <v>1.2113228972654433E-4</v>
      </c>
      <c r="L554" s="497">
        <v>1.2113228972654433E-4</v>
      </c>
      <c r="M554" s="493"/>
      <c r="N554" s="493"/>
      <c r="O554" s="494"/>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5">
      <c r="A555" s="570" t="s">
        <v>625</v>
      </c>
      <c r="B555" s="11">
        <v>6</v>
      </c>
      <c r="C555" s="491" t="s">
        <v>634</v>
      </c>
      <c r="D555" s="492"/>
      <c r="E555" s="492">
        <v>1.0123419501207302</v>
      </c>
      <c r="F555" s="492">
        <v>1.0224746276334522</v>
      </c>
      <c r="G555" s="492">
        <v>1.0318096590054313</v>
      </c>
      <c r="H555" s="492">
        <v>1.040568100689119</v>
      </c>
      <c r="I555" s="492">
        <v>1.0491476885800255</v>
      </c>
      <c r="J555" s="507">
        <f t="shared" si="145"/>
        <v>9.8295377160050983E-3</v>
      </c>
      <c r="K555" s="508">
        <f t="shared" si="144"/>
        <v>9.641807463928842E-3</v>
      </c>
      <c r="L555" s="571">
        <v>9.6418074639288403E-3</v>
      </c>
      <c r="M555" s="493"/>
      <c r="N555" s="493"/>
      <c r="O555" s="494"/>
      <c r="P555" s="13"/>
      <c r="Q555" s="495"/>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5">
      <c r="A556" s="570" t="s">
        <v>625</v>
      </c>
      <c r="B556" s="11">
        <v>7</v>
      </c>
      <c r="C556" s="138" t="s">
        <v>635</v>
      </c>
      <c r="D556" s="142"/>
      <c r="E556" s="142">
        <v>1.0234861902526262</v>
      </c>
      <c r="F556" s="142">
        <v>1.0362595252458171</v>
      </c>
      <c r="G556" s="142">
        <v>1.0484007089616401</v>
      </c>
      <c r="H556" s="142">
        <v>1.0594741481215733</v>
      </c>
      <c r="I556" s="142">
        <v>1.0705464348984648</v>
      </c>
      <c r="J556" s="499">
        <f t="shared" si="145"/>
        <v>1.4109286979692959E-2</v>
      </c>
      <c r="K556" s="502">
        <f t="shared" si="144"/>
        <v>1.372720562144969E-2</v>
      </c>
      <c r="L556" s="497">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5">
      <c r="A557" s="570" t="s">
        <v>625</v>
      </c>
      <c r="B557" s="11">
        <v>8</v>
      </c>
      <c r="C557" s="138" t="s">
        <v>636</v>
      </c>
      <c r="D557" s="142"/>
      <c r="E557" s="142">
        <v>1.0327181385810218</v>
      </c>
      <c r="F557" s="142">
        <v>1.0462000918268668</v>
      </c>
      <c r="G557" s="142">
        <v>1.0579618766687933</v>
      </c>
      <c r="H557" s="142">
        <v>1.0679645783102321</v>
      </c>
      <c r="I557" s="142">
        <v>1.0772361012999514</v>
      </c>
      <c r="J557" s="499">
        <f t="shared" si="145"/>
        <v>1.544722025999028E-2</v>
      </c>
      <c r="K557" s="502">
        <f t="shared" si="144"/>
        <v>1.4990973227517745E-2</v>
      </c>
      <c r="L557" s="497">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5">
      <c r="A558" s="570" t="s">
        <v>625</v>
      </c>
      <c r="B558" s="11">
        <v>9</v>
      </c>
      <c r="C558" s="138" t="s">
        <v>637</v>
      </c>
      <c r="D558" s="142"/>
      <c r="E558" s="142">
        <v>1.0231841082591016</v>
      </c>
      <c r="F558" s="142">
        <v>1.0358890289056439</v>
      </c>
      <c r="G558" s="142">
        <v>1.0481652070229122</v>
      </c>
      <c r="H558" s="142">
        <v>1.0592891805745575</v>
      </c>
      <c r="I558" s="142">
        <v>1.069681907109314</v>
      </c>
      <c r="J558" s="499">
        <f t="shared" si="145"/>
        <v>1.3936381421862798E-2</v>
      </c>
      <c r="K558" s="502">
        <f t="shared" si="144"/>
        <v>1.3563424108683053E-2</v>
      </c>
      <c r="L558" s="497">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5">
      <c r="A559" s="570" t="s">
        <v>625</v>
      </c>
      <c r="B559" s="11">
        <v>10</v>
      </c>
      <c r="C559" s="138" t="s">
        <v>638</v>
      </c>
      <c r="D559" s="142"/>
      <c r="E559" s="142">
        <v>1.0341666734322146</v>
      </c>
      <c r="F559" s="142">
        <v>1.0480179725760268</v>
      </c>
      <c r="G559" s="142">
        <v>1.0601012155156095</v>
      </c>
      <c r="H559" s="142">
        <v>1.0702848288878077</v>
      </c>
      <c r="I559" s="142">
        <v>1.0797421461131422</v>
      </c>
      <c r="J559" s="499">
        <f t="shared" si="145"/>
        <v>1.5948429222628447E-2</v>
      </c>
      <c r="K559" s="502">
        <f t="shared" si="144"/>
        <v>1.5462782371323147E-2</v>
      </c>
      <c r="L559" s="497">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5">
      <c r="A560" s="570" t="s">
        <v>625</v>
      </c>
      <c r="B560" s="11">
        <v>11</v>
      </c>
      <c r="C560" s="138" t="s">
        <v>639</v>
      </c>
      <c r="D560" s="142"/>
      <c r="E560" s="142">
        <v>1.0233409873632719</v>
      </c>
      <c r="F560" s="142">
        <v>1.0360814373748364</v>
      </c>
      <c r="G560" s="142">
        <v>1.0482875093579402</v>
      </c>
      <c r="H560" s="142">
        <v>1.0593852390742311</v>
      </c>
      <c r="I560" s="142">
        <v>1.0701308790705675</v>
      </c>
      <c r="J560" s="499">
        <f t="shared" si="145"/>
        <v>1.4026175814113495E-2</v>
      </c>
      <c r="K560" s="502">
        <f t="shared" si="144"/>
        <v>1.364849335671825E-2</v>
      </c>
      <c r="L560" s="497">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5">
      <c r="A561" s="570" t="s">
        <v>625</v>
      </c>
      <c r="B561" s="11">
        <v>12</v>
      </c>
      <c r="C561" s="138" t="s">
        <v>640</v>
      </c>
      <c r="D561" s="142"/>
      <c r="E561" s="142">
        <v>1.0334066911438702</v>
      </c>
      <c r="F561" s="142">
        <v>1.0470642108004322</v>
      </c>
      <c r="G561" s="142">
        <v>1.0589787988674986</v>
      </c>
      <c r="H561" s="142">
        <v>1.0690674958412283</v>
      </c>
      <c r="I561" s="142">
        <v>1.0784273350333435</v>
      </c>
      <c r="J561" s="499">
        <f t="shared" si="145"/>
        <v>1.5685467006668709E-2</v>
      </c>
      <c r="K561" s="502">
        <f t="shared" si="144"/>
        <v>1.5215354312122953E-2</v>
      </c>
      <c r="L561" s="497">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5">
      <c r="A562" s="570" t="s">
        <v>625</v>
      </c>
      <c r="B562" s="11">
        <v>13</v>
      </c>
      <c r="C562" s="138" t="s">
        <v>641</v>
      </c>
      <c r="D562" s="142"/>
      <c r="E562" s="142">
        <v>1.0535754755454367</v>
      </c>
      <c r="F562" s="142">
        <v>1.079128927735721</v>
      </c>
      <c r="G562" s="142">
        <v>1.10377830980113</v>
      </c>
      <c r="H562" s="142">
        <v>1.1267313398994689</v>
      </c>
      <c r="I562" s="142">
        <v>1.1493400902365778</v>
      </c>
      <c r="J562" s="499">
        <f t="shared" si="145"/>
        <v>2.9868018047315557E-2</v>
      </c>
      <c r="K562" s="502">
        <f t="shared" si="144"/>
        <v>2.8228674820024224E-2</v>
      </c>
      <c r="L562" s="497">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5">
      <c r="A563" s="58"/>
      <c r="B563" s="385">
        <v>14</v>
      </c>
      <c r="C563" s="138" t="s">
        <v>642</v>
      </c>
      <c r="D563" s="142"/>
      <c r="E563" s="142">
        <v>1.0081055095898279</v>
      </c>
      <c r="F563" s="142">
        <v>1.0157451629461605</v>
      </c>
      <c r="G563" s="142">
        <v>1.0222827798035592</v>
      </c>
      <c r="H563" s="142">
        <v>1.0276922014787842</v>
      </c>
      <c r="I563" s="142">
        <v>1.032997413899986</v>
      </c>
      <c r="J563" s="499">
        <f t="shared" si="145"/>
        <v>6.5994827799972008E-3</v>
      </c>
      <c r="K563" s="502">
        <f t="shared" si="144"/>
        <v>6.5140621434043311E-3</v>
      </c>
      <c r="L563" s="497">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5">
      <c r="B564" s="11">
        <v>15</v>
      </c>
      <c r="C564" s="138"/>
      <c r="D564" s="142"/>
      <c r="E564" s="142"/>
      <c r="F564" s="142"/>
      <c r="G564" s="142"/>
      <c r="H564" s="142"/>
      <c r="I564" s="142"/>
      <c r="J564" s="500" t="s">
        <v>643</v>
      </c>
      <c r="K564" s="6"/>
      <c r="L564" s="32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5">
      <c r="E565" s="15"/>
      <c r="L565" s="32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5">
      <c r="E566" s="15"/>
      <c r="L566" s="323" t="s">
        <v>646</v>
      </c>
      <c r="M566" s="13"/>
      <c r="N566" s="13"/>
      <c r="O566" s="13"/>
      <c r="P566" s="13"/>
      <c r="Q566" s="13"/>
      <c r="R566" s="496"/>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5">
      <c r="C567" s="509" t="s">
        <v>647</v>
      </c>
      <c r="E567" s="15"/>
      <c r="L567" s="323" t="s">
        <v>648</v>
      </c>
      <c r="M567" s="13"/>
      <c r="N567" s="13"/>
      <c r="O567" s="13"/>
      <c r="P567" s="13"/>
      <c r="Q567" s="13"/>
      <c r="R567" s="496"/>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5">
      <c r="E568" s="15"/>
      <c r="L568" s="32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5">
      <c r="E569" s="15"/>
      <c r="L569" s="32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5">
      <c r="C570" s="11"/>
      <c r="L570" s="32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25">
      <c r="C571" s="11"/>
      <c r="L571" s="323" t="s">
        <v>651</v>
      </c>
      <c r="M571" s="13"/>
      <c r="N571" s="13"/>
      <c r="O571" s="592"/>
      <c r="P571" s="593" t="s">
        <v>652</v>
      </c>
      <c r="Q571" s="594"/>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55" customHeight="1" x14ac:dyDescent="0.25">
      <c r="C572" s="11"/>
      <c r="M572" s="13"/>
      <c r="N572" s="13"/>
      <c r="O572" s="597" t="s">
        <v>622</v>
      </c>
      <c r="P572" s="597" t="s">
        <v>623</v>
      </c>
      <c r="Q572" s="598"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5">
      <c r="A573" s="568"/>
      <c r="B573" s="569"/>
      <c r="C573" s="138" t="s">
        <v>629</v>
      </c>
      <c r="D573" s="591"/>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99">
        <f>(N573-100%)/10</f>
        <v>6.0996339197137541E-3</v>
      </c>
      <c r="P573" s="502">
        <f>(N573/100%)^(1/10)-1</f>
        <v>5.9384037531065026E-3</v>
      </c>
      <c r="Q573" s="595">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5">
      <c r="A574" s="570" t="s">
        <v>654</v>
      </c>
      <c r="C574" s="138" t="s">
        <v>630</v>
      </c>
      <c r="D574" s="591"/>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99">
        <f t="shared" ref="O574:O586" si="146">(N574-100%)/10</f>
        <v>-6.0280923298853817E-3</v>
      </c>
      <c r="P574" s="502">
        <f t="shared" ref="P574:P586" si="147">(N574/100%)^(1/10)-1</f>
        <v>-6.1981420710855994E-3</v>
      </c>
      <c r="Q574" s="595">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5">
      <c r="A575" s="570" t="s">
        <v>654</v>
      </c>
      <c r="C575" s="138" t="s">
        <v>631</v>
      </c>
      <c r="D575" s="591"/>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99">
        <f t="shared" si="146"/>
        <v>1.5087615236704566E-2</v>
      </c>
      <c r="P575" s="502">
        <f t="shared" si="147"/>
        <v>1.4151550808456648E-2</v>
      </c>
      <c r="Q575" s="595">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5">
      <c r="A576" s="570" t="s">
        <v>654</v>
      </c>
      <c r="C576" s="138" t="s">
        <v>632</v>
      </c>
      <c r="D576" s="591"/>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99">
        <f t="shared" si="146"/>
        <v>8.1374209845206378E-4</v>
      </c>
      <c r="P576" s="502">
        <f t="shared" si="147"/>
        <v>8.1077757246905691E-4</v>
      </c>
      <c r="Q576" s="595">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5">
      <c r="A577" s="570" t="s">
        <v>654</v>
      </c>
      <c r="C577" s="138" t="s">
        <v>633</v>
      </c>
      <c r="D577" s="591"/>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99">
        <f t="shared" si="146"/>
        <v>2.5619811438394092E-3</v>
      </c>
      <c r="P577" s="502">
        <f t="shared" si="147"/>
        <v>2.5329148145079028E-3</v>
      </c>
      <c r="Q577" s="595">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5">
      <c r="A578" s="570" t="s">
        <v>654</v>
      </c>
      <c r="C578" s="491" t="s">
        <v>634</v>
      </c>
      <c r="D578" s="492"/>
      <c r="E578" s="492">
        <v>1.0123419501207302</v>
      </c>
      <c r="F578" s="492">
        <v>1.0224746276334522</v>
      </c>
      <c r="G578" s="492">
        <v>1.0318096590054313</v>
      </c>
      <c r="H578" s="492">
        <v>1.040568100689119</v>
      </c>
      <c r="I578" s="492">
        <v>1.0491476885800255</v>
      </c>
      <c r="J578" s="492">
        <v>1.0546473961073131</v>
      </c>
      <c r="K578" s="492">
        <v>1.0600156863772707</v>
      </c>
      <c r="L578" s="492">
        <v>1.0652587749595908</v>
      </c>
      <c r="M578" s="492">
        <v>1.0703773048442411</v>
      </c>
      <c r="N578" s="492">
        <v>1.0753751834317971</v>
      </c>
      <c r="O578" s="507">
        <f t="shared" si="146"/>
        <v>7.5375183431797051E-3</v>
      </c>
      <c r="P578" s="508">
        <f t="shared" si="147"/>
        <v>7.2934292896156272E-3</v>
      </c>
      <c r="Q578" s="508">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5">
      <c r="A579" s="570" t="s">
        <v>654</v>
      </c>
      <c r="C579" s="138" t="s">
        <v>635</v>
      </c>
      <c r="D579" s="591"/>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99">
        <f t="shared" si="146"/>
        <v>9.7308873986410305E-3</v>
      </c>
      <c r="P579" s="502">
        <f t="shared" si="147"/>
        <v>9.3293197294876951E-3</v>
      </c>
      <c r="Q579" s="595">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5">
      <c r="A580" s="570" t="s">
        <v>654</v>
      </c>
      <c r="C580" s="138" t="s">
        <v>636</v>
      </c>
      <c r="D580" s="591"/>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99">
        <f t="shared" si="146"/>
        <v>1.0416577441320607E-2</v>
      </c>
      <c r="P580" s="502">
        <f t="shared" si="147"/>
        <v>9.95826625164975E-3</v>
      </c>
      <c r="Q580" s="595">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5">
      <c r="A581" s="570" t="s">
        <v>654</v>
      </c>
      <c r="C581" s="138" t="s">
        <v>637</v>
      </c>
      <c r="D581" s="591"/>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99">
        <f t="shared" si="146"/>
        <v>9.64227339891921E-3</v>
      </c>
      <c r="P581" s="502">
        <f t="shared" si="147"/>
        <v>9.2477809488915597E-3</v>
      </c>
      <c r="Q581" s="595">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5">
      <c r="A582" s="570" t="s">
        <v>654</v>
      </c>
      <c r="C582" s="138" t="s">
        <v>638</v>
      </c>
      <c r="D582" s="591"/>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99">
        <f t="shared" si="146"/>
        <v>1.0673446748664817E-2</v>
      </c>
      <c r="P582" s="502">
        <f t="shared" si="147"/>
        <v>1.0192973847719333E-2</v>
      </c>
      <c r="Q582" s="595">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5">
      <c r="A583" s="570" t="s">
        <v>654</v>
      </c>
      <c r="C583" s="138" t="s">
        <v>639</v>
      </c>
      <c r="D583" s="591"/>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99">
        <f t="shared" si="146"/>
        <v>9.6882929737077683E-3</v>
      </c>
      <c r="P583" s="502">
        <f t="shared" si="147"/>
        <v>9.2901335764377091E-3</v>
      </c>
      <c r="Q583" s="595">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5">
      <c r="A584" s="570" t="s">
        <v>654</v>
      </c>
      <c r="C584" s="138" t="s">
        <v>640</v>
      </c>
      <c r="D584" s="591"/>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99">
        <f t="shared" si="146"/>
        <v>1.0538678763041154E-2</v>
      </c>
      <c r="P584" s="502">
        <f t="shared" si="147"/>
        <v>1.0069894342066732E-2</v>
      </c>
      <c r="Q584" s="595">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5">
      <c r="A585" s="570" t="s">
        <v>654</v>
      </c>
      <c r="C585" s="138" t="s">
        <v>641</v>
      </c>
      <c r="D585" s="591"/>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99">
        <f t="shared" si="146"/>
        <v>1.7807228078299507E-2</v>
      </c>
      <c r="P585" s="502">
        <f t="shared" si="147"/>
        <v>1.6522963134986579E-2</v>
      </c>
      <c r="Q585" s="595">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5">
      <c r="A586" s="58"/>
      <c r="B586" s="385"/>
      <c r="C586" s="138" t="s">
        <v>642</v>
      </c>
      <c r="D586" s="591"/>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99">
        <f t="shared" si="146"/>
        <v>5.8821170316610384E-3</v>
      </c>
      <c r="P586" s="502">
        <f t="shared" si="147"/>
        <v>5.7319838926312983E-3</v>
      </c>
      <c r="Q586" s="595">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5">
      <c r="C587" s="11"/>
      <c r="E587" s="15"/>
      <c r="M587" s="13"/>
      <c r="N587" s="13"/>
      <c r="O587" s="500" t="s">
        <v>643</v>
      </c>
      <c r="P587" s="500" t="s">
        <v>643</v>
      </c>
      <c r="Q587" s="596"/>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5">
      <c r="C588" s="11"/>
      <c r="E588" s="15"/>
      <c r="M588" s="13"/>
      <c r="N588" s="13"/>
      <c r="O588" s="500" t="s">
        <v>655</v>
      </c>
      <c r="P588" s="500" t="s">
        <v>655</v>
      </c>
      <c r="Q588" s="596"/>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5">
      <c r="C589" s="11"/>
      <c r="E589" s="15"/>
      <c r="M589" s="13"/>
      <c r="N589" s="13"/>
      <c r="O589" s="13"/>
      <c r="P589" s="13"/>
      <c r="Q589" s="596"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5">
      <c r="E590" s="15"/>
      <c r="M590" s="13"/>
      <c r="N590" s="13"/>
      <c r="O590" s="13"/>
      <c r="P590" s="13"/>
      <c r="Q590" s="596"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5">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5">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5">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5">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5">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5">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5">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5">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5">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5">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5">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5">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5">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5">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5">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5">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5">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5">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5">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5">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5">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5">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5">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5">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5">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5">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5">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5">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5">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5">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5">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5">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5">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5">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5">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5">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5">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5">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5">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5">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5">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5">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5">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5">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5">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5">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5">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5">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5">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5">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5">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5">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5">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5">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5">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5">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5">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5">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5">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5">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5">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5">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5">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5">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5">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5">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5">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5">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5">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5">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5">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5">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5">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5">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5">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5">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5">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5">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5">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5">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5">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5">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5">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5">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5">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5">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5">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5">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5">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5">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5">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5">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5">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5">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5">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5">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5">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5">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5">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5">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5">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5">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5">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5">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5">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5">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5">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5">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5">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5">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5">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5">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5">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5">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5">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5">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5">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5">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5">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5">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5">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5">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5">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5">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5">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5">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5">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5">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5">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5">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5">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5">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5">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5">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5">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5">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5">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5">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5">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5">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5">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5">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5">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5">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5">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5">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5">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5">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5">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5">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5">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5">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5">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5">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5">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5">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5">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5">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5">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5">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5">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5">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5">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5">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5">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5">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5">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5">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5">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5">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5">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5">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5">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5">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5">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5">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5">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5">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5">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5">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5">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5">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5">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5">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5">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5">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5">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5">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5">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5">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5">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5">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5">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5">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5">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5">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5">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5">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5">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5">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5">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5">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5">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5">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5">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5">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5">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5">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5">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5">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5">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5">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5">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5">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5">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5">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5">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5">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5">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5">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5">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5">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5">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5">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5">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5">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5">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5">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5">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5">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5">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5">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5">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5">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5">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5">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5">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5">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5">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5">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5">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5">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5">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5">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5">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5">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5">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5">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5">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5">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5">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5">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5">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5">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5">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5">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5">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5">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5">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5">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5">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5">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5">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5">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5">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5">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5">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5">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5">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5">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5">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5">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5">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5">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5">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5">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5">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5">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5">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5">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5">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5">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5">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5">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5">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5">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5">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5">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5">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5">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5">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5">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5">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5">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5">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5">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5">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5">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5">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5">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5">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5">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5">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5">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5">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5">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5">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5">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5">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AH143"/>
  <sheetViews>
    <sheetView showGridLines="0" zoomScale="80" zoomScaleNormal="80" workbookViewId="0">
      <selection activeCell="B1" sqref="B1"/>
    </sheetView>
  </sheetViews>
  <sheetFormatPr defaultRowHeight="14.4" x14ac:dyDescent="0.3"/>
  <cols>
    <col min="1" max="1" width="2.33203125" customWidth="1"/>
    <col min="2" max="2" width="5.77734375" customWidth="1"/>
    <col min="3" max="3" width="75.21875" customWidth="1"/>
    <col min="4" max="4" width="28.21875" customWidth="1"/>
    <col min="5" max="5" width="18.21875" customWidth="1"/>
    <col min="6" max="6" width="17.33203125" customWidth="1"/>
    <col min="7" max="7" width="15.77734375" customWidth="1"/>
    <col min="8" max="8" width="19.5546875" customWidth="1"/>
    <col min="9" max="9" width="15.21875" customWidth="1"/>
    <col min="10" max="10" width="16.33203125" customWidth="1"/>
    <col min="11" max="11" width="13.33203125" customWidth="1"/>
    <col min="12" max="12" width="14.21875" customWidth="1"/>
    <col min="13" max="18" width="13.33203125" customWidth="1"/>
    <col min="19" max="19" width="3.33203125" customWidth="1"/>
  </cols>
  <sheetData>
    <row r="1" spans="2:24" ht="30" customHeight="1" x14ac:dyDescent="0.3">
      <c r="B1" s="911" t="s">
        <v>949</v>
      </c>
    </row>
    <row r="2" spans="2:24" ht="30" customHeight="1" x14ac:dyDescent="0.3">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3">
      <c r="B4" s="156" t="s">
        <v>657</v>
      </c>
      <c r="C4" s="313"/>
      <c r="D4" s="313"/>
      <c r="E4" s="313"/>
      <c r="F4" s="313"/>
      <c r="G4" s="313"/>
      <c r="H4" s="313"/>
      <c r="I4" s="313"/>
      <c r="J4" s="313"/>
      <c r="K4" s="313"/>
      <c r="L4" s="313"/>
      <c r="M4" s="313"/>
      <c r="N4" s="313"/>
      <c r="O4" s="313"/>
      <c r="P4" s="313"/>
      <c r="Q4" s="313"/>
      <c r="R4" s="313"/>
      <c r="S4" s="157"/>
    </row>
    <row r="5" spans="2:24" x14ac:dyDescent="0.3">
      <c r="B5" s="160"/>
      <c r="C5" t="s">
        <v>658</v>
      </c>
      <c r="S5" s="159"/>
    </row>
    <row r="6" spans="2:24" x14ac:dyDescent="0.3">
      <c r="B6" s="160"/>
      <c r="C6" t="s">
        <v>659</v>
      </c>
      <c r="S6" s="159"/>
    </row>
    <row r="7" spans="2:24" x14ac:dyDescent="0.3">
      <c r="B7" s="160"/>
      <c r="C7" t="s">
        <v>660</v>
      </c>
      <c r="S7" s="159"/>
    </row>
    <row r="8" spans="2:24" x14ac:dyDescent="0.3">
      <c r="B8" s="161"/>
      <c r="C8" s="162"/>
      <c r="D8" s="162"/>
      <c r="E8" s="162"/>
      <c r="F8" s="162"/>
      <c r="G8" s="162"/>
      <c r="H8" s="162"/>
      <c r="I8" s="162"/>
      <c r="J8" s="162"/>
      <c r="K8" s="162"/>
      <c r="L8" s="162"/>
      <c r="M8" s="162"/>
      <c r="N8" s="162"/>
      <c r="O8" s="162"/>
      <c r="P8" s="162"/>
      <c r="Q8" s="162"/>
      <c r="R8" s="162"/>
      <c r="S8" s="159"/>
    </row>
    <row r="9" spans="2:24" x14ac:dyDescent="0.3">
      <c r="S9" s="196"/>
    </row>
    <row r="10" spans="2:24" x14ac:dyDescent="0.3">
      <c r="B10" s="156" t="s">
        <v>661</v>
      </c>
      <c r="C10" s="313"/>
      <c r="D10" s="313"/>
      <c r="E10" s="313"/>
      <c r="F10" s="313"/>
      <c r="G10" s="313"/>
      <c r="H10" s="313"/>
      <c r="I10" s="313"/>
      <c r="J10" s="313"/>
      <c r="K10" s="313"/>
      <c r="L10" s="313"/>
      <c r="M10" s="313"/>
      <c r="N10" s="313"/>
      <c r="O10" s="313"/>
      <c r="P10" s="313"/>
      <c r="Q10" s="313"/>
      <c r="R10" s="313"/>
      <c r="S10" s="159"/>
    </row>
    <row r="11" spans="2:24" x14ac:dyDescent="0.3">
      <c r="B11" s="158"/>
      <c r="C11" t="s">
        <v>662</v>
      </c>
      <c r="E11" s="150" t="s">
        <v>56</v>
      </c>
      <c r="S11" s="159"/>
    </row>
    <row r="12" spans="2:24" x14ac:dyDescent="0.3">
      <c r="B12" s="158"/>
      <c r="C12" t="s">
        <v>76</v>
      </c>
      <c r="E12" s="150" t="s">
        <v>97</v>
      </c>
      <c r="G12" s="128">
        <f>'Population selection'!F14</f>
        <v>45219492</v>
      </c>
      <c r="H12" t="str">
        <f>C25&amp;" population based on selection on left using mid-2022 ONS data"</f>
        <v>Adult population population based on selection on left using mid-2022 ONS data</v>
      </c>
      <c r="S12" s="159"/>
    </row>
    <row r="13" spans="2:24" x14ac:dyDescent="0.3">
      <c r="B13" s="158"/>
      <c r="E13" s="599"/>
      <c r="G13" s="606">
        <f>2.05533586601874%</f>
        <v>2.0553358660187402E-2</v>
      </c>
      <c r="H13" t="s">
        <v>663</v>
      </c>
      <c r="S13" s="159"/>
    </row>
    <row r="14" spans="2:24" x14ac:dyDescent="0.3">
      <c r="B14" s="158"/>
      <c r="C14" s="148"/>
      <c r="G14" s="128">
        <f>(100%+G13)*G12</f>
        <v>46148904.437507473</v>
      </c>
      <c r="H14" t="s">
        <v>664</v>
      </c>
      <c r="S14" s="159"/>
    </row>
    <row r="15" spans="2:24" x14ac:dyDescent="0.3">
      <c r="B15" s="160"/>
      <c r="C15" t="s">
        <v>665</v>
      </c>
      <c r="E15" s="607" t="s">
        <v>54</v>
      </c>
      <c r="F15" s="170" t="str">
        <f>IF(E15="yes","","If no, enter current locality population below")</f>
        <v/>
      </c>
      <c r="S15" s="159"/>
    </row>
    <row r="16" spans="2:24" x14ac:dyDescent="0.3">
      <c r="B16" s="160"/>
      <c r="F16" s="170" t="str">
        <f>IF(AND(NOT(ISBLANK(E17)),E15="yes"),"error - change cell above to 'no'","")</f>
        <v/>
      </c>
      <c r="S16" s="159"/>
    </row>
    <row r="17" spans="2:24" x14ac:dyDescent="0.3">
      <c r="B17" s="160"/>
      <c r="C17" t="str">
        <f>"Manually entered current locality population "&amp;IF(E15="no","","(n/a)")</f>
        <v>Manually entered current locality population (n/a)</v>
      </c>
      <c r="E17" s="608"/>
      <c r="F17" s="685" t="str">
        <f>IF(E15="yes","Leave blue cell on left blank if NICE estimate is used","")</f>
        <v>Leave blue cell on left blank if NICE estimate is used</v>
      </c>
      <c r="S17" s="159"/>
    </row>
    <row r="18" spans="2:24" x14ac:dyDescent="0.3">
      <c r="B18" s="160"/>
      <c r="F18" s="170" t="str">
        <f>IF(AND(ISBLANK(E17),E15="no"),"error - enter current locality population above","")</f>
        <v/>
      </c>
      <c r="S18" s="159"/>
    </row>
    <row r="19" spans="2:24" x14ac:dyDescent="0.3">
      <c r="B19" s="160"/>
      <c r="C19" t="s">
        <v>666</v>
      </c>
      <c r="D19" s="152"/>
      <c r="E19" s="606">
        <v>9.6418074639288403E-3</v>
      </c>
      <c r="F19" t="str">
        <f>IF(E19=0.00964180746392884,"Enter local value or delete the NICE assumption if required","Local value")</f>
        <v>Enter local value or delete the NICE assumption if required</v>
      </c>
      <c r="S19" s="159"/>
    </row>
    <row r="20" spans="2:24" x14ac:dyDescent="0.3">
      <c r="B20" s="160"/>
      <c r="C20" t="s">
        <v>667</v>
      </c>
      <c r="D20" s="152"/>
      <c r="E20" s="606">
        <v>0</v>
      </c>
      <c r="F20" t="str">
        <f>IF(E20=0,"Enter local value or delete the NICE assumption if required","Local value")</f>
        <v>Enter local value or delete the NICE assumption if required</v>
      </c>
      <c r="S20" s="159"/>
    </row>
    <row r="21" spans="2:24" x14ac:dyDescent="0.3">
      <c r="B21" s="161"/>
      <c r="C21" s="162"/>
      <c r="D21" s="162"/>
      <c r="E21" s="162"/>
      <c r="F21" s="162"/>
      <c r="G21" s="162"/>
      <c r="H21" s="162"/>
      <c r="I21" s="162"/>
      <c r="J21" s="162"/>
      <c r="K21" s="162"/>
      <c r="L21" s="162"/>
      <c r="M21" s="162"/>
      <c r="N21" s="162"/>
      <c r="O21" s="162"/>
      <c r="P21" s="162"/>
      <c r="Q21" s="162"/>
      <c r="R21" s="162"/>
      <c r="S21" s="163"/>
    </row>
    <row r="23" spans="2:24" x14ac:dyDescent="0.3">
      <c r="B23" s="156" t="s">
        <v>668</v>
      </c>
      <c r="C23" s="313"/>
      <c r="D23" s="313"/>
      <c r="E23" s="313"/>
      <c r="F23" s="313"/>
      <c r="G23" s="313"/>
      <c r="H23" s="313"/>
      <c r="I23" s="313"/>
      <c r="J23" s="313"/>
      <c r="K23" s="313"/>
      <c r="L23" s="313"/>
      <c r="M23" s="313"/>
      <c r="N23" s="313"/>
      <c r="O23" s="313"/>
      <c r="P23" s="313"/>
      <c r="Q23" s="313"/>
      <c r="R23" s="313"/>
      <c r="S23" s="313"/>
      <c r="T23" s="313"/>
      <c r="U23" s="313"/>
      <c r="V23" s="313"/>
      <c r="W23" s="313"/>
      <c r="X23" s="157"/>
    </row>
    <row r="24" spans="2:24" ht="85.05" customHeight="1" x14ac:dyDescent="0.3">
      <c r="B24" s="158"/>
      <c r="F24" s="237" t="s">
        <v>669</v>
      </c>
      <c r="G24" s="165" t="s">
        <v>670</v>
      </c>
      <c r="H24" s="225" t="s">
        <v>671</v>
      </c>
      <c r="I24" s="388"/>
      <c r="J24" s="388"/>
      <c r="K24" s="388"/>
      <c r="L24" s="388"/>
      <c r="M24" s="388"/>
      <c r="N24" s="388"/>
      <c r="O24" s="388"/>
      <c r="P24" s="388"/>
      <c r="Q24" s="388"/>
      <c r="R24" s="388"/>
      <c r="S24" s="388"/>
      <c r="T24" s="388"/>
      <c r="U24" s="388"/>
      <c r="V24" s="388"/>
      <c r="W24" s="388"/>
      <c r="X24" s="226"/>
    </row>
    <row r="25" spans="2:24" x14ac:dyDescent="0.3">
      <c r="B25" s="158"/>
      <c r="C25" s="236" t="s">
        <v>672</v>
      </c>
      <c r="D25" s="239"/>
      <c r="E25" s="168"/>
      <c r="F25" s="128">
        <f>IF(ISBLANK(E17),G14,'Population selection'!F16)</f>
        <v>46148904.437507473</v>
      </c>
      <c r="G25" s="238"/>
      <c r="H25" s="235" t="s">
        <v>673</v>
      </c>
      <c r="I25" s="196"/>
      <c r="J25" s="196"/>
      <c r="K25" s="196"/>
      <c r="L25" s="196"/>
      <c r="M25" s="196"/>
      <c r="N25" s="196"/>
      <c r="O25" s="196"/>
      <c r="P25" s="196"/>
      <c r="Q25" s="196"/>
      <c r="R25" s="196"/>
      <c r="S25" s="196"/>
      <c r="T25" s="196"/>
      <c r="U25" s="196"/>
      <c r="V25" s="196"/>
      <c r="W25" s="196"/>
      <c r="X25" s="168"/>
    </row>
    <row r="26" spans="2:24" x14ac:dyDescent="0.3">
      <c r="B26" s="158"/>
      <c r="C26" s="600" t="s">
        <v>674</v>
      </c>
      <c r="D26" s="240"/>
      <c r="E26" s="168"/>
      <c r="F26" s="206"/>
      <c r="G26" s="128">
        <f>K42</f>
        <v>48417016.421111427</v>
      </c>
      <c r="H26" s="235" t="s">
        <v>673</v>
      </c>
      <c r="I26" s="162"/>
      <c r="J26" s="162"/>
      <c r="K26" s="162"/>
      <c r="L26" s="162"/>
      <c r="M26" s="162"/>
      <c r="N26" s="162"/>
      <c r="O26" s="162"/>
      <c r="P26" s="162"/>
      <c r="Q26" s="162"/>
      <c r="R26" s="162"/>
      <c r="S26" s="162"/>
      <c r="T26" s="162"/>
      <c r="U26" s="162"/>
      <c r="V26" s="162"/>
      <c r="W26" s="162"/>
      <c r="X26" s="163"/>
    </row>
    <row r="27" spans="2:24" x14ac:dyDescent="0.3">
      <c r="B27" s="160"/>
      <c r="C27" s="733" t="s">
        <v>948</v>
      </c>
      <c r="D27" s="157"/>
      <c r="E27" s="731">
        <v>5.062E-5</v>
      </c>
      <c r="F27" s="609">
        <f>F25*E27</f>
        <v>2336.0575426266282</v>
      </c>
      <c r="G27" s="609">
        <f>G26*E27</f>
        <v>2450.8693712366603</v>
      </c>
      <c r="H27" s="747" t="s">
        <v>950</v>
      </c>
      <c r="I27" s="196"/>
      <c r="J27" s="196"/>
      <c r="K27" s="196"/>
      <c r="L27" s="196"/>
      <c r="M27" s="196"/>
      <c r="N27" s="196"/>
      <c r="O27" s="196"/>
      <c r="P27" s="196"/>
      <c r="Q27" s="196"/>
      <c r="R27" s="196"/>
      <c r="S27" s="196"/>
      <c r="T27" s="196"/>
      <c r="U27" s="196"/>
      <c r="V27" s="196"/>
      <c r="W27" s="196"/>
      <c r="X27" s="168"/>
    </row>
    <row r="28" spans="2:24" x14ac:dyDescent="0.3">
      <c r="B28" s="160"/>
      <c r="C28" s="235" t="s">
        <v>1129</v>
      </c>
      <c r="D28" s="168"/>
      <c r="E28" s="732">
        <v>0.27</v>
      </c>
      <c r="F28" s="609">
        <f>E28*F27</f>
        <v>630.73553650918961</v>
      </c>
      <c r="G28" s="609">
        <f>E28*G27</f>
        <v>661.73473023389829</v>
      </c>
      <c r="H28" s="340" t="s">
        <v>1145</v>
      </c>
      <c r="I28" s="752"/>
      <c r="J28" s="752"/>
      <c r="K28" s="752"/>
      <c r="L28" s="752"/>
      <c r="M28" s="752"/>
      <c r="N28" s="752"/>
      <c r="O28" s="752"/>
      <c r="P28" s="752"/>
      <c r="Q28" s="752"/>
      <c r="R28" s="752"/>
      <c r="S28" s="752"/>
      <c r="T28" s="752"/>
      <c r="U28" s="752"/>
      <c r="V28" s="752"/>
      <c r="W28" s="752"/>
      <c r="X28" s="753"/>
    </row>
    <row r="29" spans="2:24" x14ac:dyDescent="0.3">
      <c r="B29" s="160"/>
      <c r="C29" s="172" t="s">
        <v>951</v>
      </c>
      <c r="D29" s="157"/>
      <c r="E29" s="745">
        <f>85%*75%</f>
        <v>0.63749999999999996</v>
      </c>
      <c r="F29" s="609">
        <f>E29*F28</f>
        <v>402.09390452460838</v>
      </c>
      <c r="G29" s="609">
        <f>E29*G28</f>
        <v>421.85589052411012</v>
      </c>
      <c r="H29" s="929" t="s">
        <v>952</v>
      </c>
      <c r="I29" s="930"/>
      <c r="J29" s="930"/>
      <c r="K29" s="930"/>
      <c r="L29" s="930"/>
      <c r="M29" s="930"/>
      <c r="N29" s="930"/>
      <c r="O29" s="930"/>
      <c r="P29" s="930"/>
      <c r="Q29" s="930"/>
      <c r="R29" s="930"/>
      <c r="S29" s="930"/>
      <c r="T29" s="930"/>
      <c r="U29" s="930"/>
      <c r="V29" s="930"/>
      <c r="W29" s="930"/>
      <c r="X29" s="931"/>
    </row>
    <row r="30" spans="2:24" x14ac:dyDescent="0.3">
      <c r="B30" s="160"/>
      <c r="C30" s="224" t="s">
        <v>999</v>
      </c>
      <c r="D30" s="196"/>
      <c r="E30" s="746"/>
      <c r="F30" s="898">
        <f>F29</f>
        <v>402.09390452460838</v>
      </c>
      <c r="G30" s="899">
        <f>G29</f>
        <v>421.85589052411012</v>
      </c>
      <c r="H30" s="198"/>
      <c r="I30" s="196"/>
      <c r="J30" s="196"/>
      <c r="K30" s="196"/>
      <c r="L30" s="196"/>
      <c r="M30" s="196"/>
      <c r="N30" s="196"/>
      <c r="O30" s="196"/>
      <c r="P30" s="196"/>
      <c r="Q30" s="196"/>
      <c r="R30" s="196"/>
      <c r="S30" s="196"/>
      <c r="T30" s="196"/>
      <c r="U30" s="196"/>
      <c r="V30" s="196"/>
      <c r="W30" s="196"/>
      <c r="X30" s="168"/>
    </row>
    <row r="31" spans="2:24" x14ac:dyDescent="0.3">
      <c r="B31" s="160"/>
      <c r="C31" s="224" t="s">
        <v>1000</v>
      </c>
      <c r="D31" s="168"/>
      <c r="E31" s="901">
        <f>150/402</f>
        <v>0.37313432835820898</v>
      </c>
      <c r="F31" s="899">
        <f>E31*F30</f>
        <v>150.03503900171955</v>
      </c>
      <c r="G31" s="898">
        <f>E31*G30</f>
        <v>157.40891437466797</v>
      </c>
      <c r="H31" s="894" t="s">
        <v>1142</v>
      </c>
      <c r="I31" s="196"/>
      <c r="J31" s="196"/>
      <c r="K31" s="196"/>
      <c r="L31" s="196"/>
      <c r="M31" s="196"/>
      <c r="N31" s="196"/>
      <c r="O31" s="196"/>
      <c r="P31" s="196"/>
      <c r="Q31" s="196"/>
      <c r="R31" s="196"/>
      <c r="S31" s="196"/>
      <c r="T31" s="196"/>
      <c r="U31" s="196"/>
      <c r="V31" s="196"/>
      <c r="W31" s="196"/>
      <c r="X31" s="168"/>
    </row>
    <row r="32" spans="2:24" x14ac:dyDescent="0.3">
      <c r="B32" s="160"/>
      <c r="C32" s="344"/>
      <c r="E32" s="345"/>
      <c r="F32" s="346"/>
      <c r="G32" s="346"/>
      <c r="H32" s="190"/>
      <c r="X32" s="159"/>
    </row>
    <row r="33" spans="2:24" x14ac:dyDescent="0.3">
      <c r="B33" s="160"/>
      <c r="C33" t="s">
        <v>675</v>
      </c>
      <c r="F33" s="607" t="s">
        <v>54</v>
      </c>
      <c r="G33" s="346"/>
      <c r="H33" s="190"/>
      <c r="X33" s="159"/>
    </row>
    <row r="34" spans="2:24" x14ac:dyDescent="0.3">
      <c r="B34" s="160"/>
      <c r="C34" s="344"/>
      <c r="E34" s="345"/>
      <c r="F34" s="346"/>
      <c r="G34" s="346"/>
      <c r="H34" s="190"/>
      <c r="X34" s="159"/>
    </row>
    <row r="35" spans="2:24" x14ac:dyDescent="0.3">
      <c r="B35" s="160"/>
      <c r="C35" t="str">
        <f>"Manually entered current eligible population "&amp;IF(F33="no","","(n/a)")</f>
        <v>Manually entered current eligible population (n/a)</v>
      </c>
      <c r="F35" s="610"/>
      <c r="G35" s="681" t="str">
        <f>IF(F33="yes","Leave blue cell on left blank if NICE estimate is used","local value")</f>
        <v>Leave blue cell on left blank if NICE estimate is used</v>
      </c>
      <c r="X35" s="159"/>
    </row>
    <row r="36" spans="2:24" x14ac:dyDescent="0.3">
      <c r="B36" s="160"/>
      <c r="F36" s="767"/>
      <c r="G36" s="685"/>
      <c r="X36" s="159"/>
    </row>
    <row r="37" spans="2:24" x14ac:dyDescent="0.3">
      <c r="B37" s="160"/>
      <c r="C37" t="str">
        <f>"Manually entered current eligible population receiving allo-HSCT transplant "&amp;IF(F33="no","","(n/a)")</f>
        <v>Manually entered current eligible population receiving allo-HSCT transplant (n/a)</v>
      </c>
      <c r="F37" s="610"/>
      <c r="G37" s="681" t="str">
        <f>IF(F33="yes","Leave blue cell on left blank if NICE estimate is used","local value")</f>
        <v>Leave blue cell on left blank if NICE estimate is used</v>
      </c>
      <c r="X37" s="159"/>
    </row>
    <row r="38" spans="2:24" x14ac:dyDescent="0.3">
      <c r="B38" s="160"/>
      <c r="G38" s="548" t="str">
        <f>IF(AND(F33="yes",F35&gt;0),"error, set the drop down above to be 'no'","")</f>
        <v/>
      </c>
      <c r="X38" s="159"/>
    </row>
    <row r="39" spans="2:24" ht="43.2" x14ac:dyDescent="0.3">
      <c r="B39" s="160"/>
      <c r="C39" s="162"/>
      <c r="F39" s="233" t="s">
        <v>669</v>
      </c>
      <c r="G39" s="165" t="s">
        <v>676</v>
      </c>
      <c r="H39" s="165" t="s">
        <v>677</v>
      </c>
      <c r="I39" s="234" t="s">
        <v>678</v>
      </c>
      <c r="J39" s="165" t="s">
        <v>679</v>
      </c>
      <c r="K39" s="165" t="s">
        <v>680</v>
      </c>
      <c r="L39" s="549"/>
      <c r="M39" s="549"/>
      <c r="N39" s="549"/>
      <c r="O39" s="549"/>
      <c r="P39" s="549"/>
      <c r="Q39" s="549"/>
      <c r="X39" s="159"/>
    </row>
    <row r="40" spans="2:24" x14ac:dyDescent="0.3">
      <c r="B40" s="160"/>
      <c r="C40" s="235" t="s">
        <v>681</v>
      </c>
      <c r="D40" s="196"/>
      <c r="E40" s="168"/>
      <c r="F40" s="206"/>
      <c r="G40" s="336">
        <f>IF(E19&lt;&gt;"",E19+100%,100%)</f>
        <v>1.0096418074639288</v>
      </c>
      <c r="H40" s="336">
        <f>IF($E$19&lt;&gt;"",G40*(100%+$E$19),100%)</f>
        <v>1.0193765793790293</v>
      </c>
      <c r="I40" s="336">
        <f>IF($E$19&lt;&gt;"",H40*(100%+$E$19),100%)</f>
        <v>1.0292052120906403</v>
      </c>
      <c r="J40" s="336">
        <f>IF($E$19&lt;&gt;"",I40*(100%+$E$19),100%)</f>
        <v>1.0391286105864903</v>
      </c>
      <c r="K40" s="336">
        <f>IF($E$19&lt;&gt;"",J40*(100%+$E$19),100%)</f>
        <v>1.0491476885800251</v>
      </c>
      <c r="L40" t="s">
        <v>682</v>
      </c>
      <c r="M40" s="540"/>
      <c r="N40" s="540"/>
      <c r="O40" s="540"/>
      <c r="P40" s="540"/>
      <c r="Q40" s="540"/>
      <c r="X40" s="159"/>
    </row>
    <row r="41" spans="2:24" x14ac:dyDescent="0.3">
      <c r="B41" s="160"/>
      <c r="C41" s="235" t="s">
        <v>683</v>
      </c>
      <c r="D41" s="196"/>
      <c r="E41" s="168"/>
      <c r="F41" s="206"/>
      <c r="G41" s="336">
        <f>IF(E20&lt;&gt;"",E20+100%,100%)</f>
        <v>1</v>
      </c>
      <c r="H41" s="336">
        <f>IF($E$20&lt;&gt;"",G41*(100%+$E$20),100%)</f>
        <v>1</v>
      </c>
      <c r="I41" s="336">
        <f>IF($E$20&lt;&gt;"",H41*(100%+$E$20),100%)</f>
        <v>1</v>
      </c>
      <c r="J41" s="336">
        <f>IF($E$20&lt;&gt;"",I41*(100%+$E$20),100%)</f>
        <v>1</v>
      </c>
      <c r="K41" s="336">
        <f>IF($E$20&lt;&gt;"",J41*(100%+$E$20),100%)</f>
        <v>1</v>
      </c>
      <c r="L41" t="s">
        <v>682</v>
      </c>
      <c r="M41" s="540"/>
      <c r="N41" s="540"/>
      <c r="O41" s="540"/>
      <c r="P41" s="540"/>
      <c r="Q41" s="540"/>
      <c r="X41" s="159"/>
    </row>
    <row r="42" spans="2:24" x14ac:dyDescent="0.3">
      <c r="B42" s="160"/>
      <c r="C42" s="386" t="str">
        <f>IF('Inputs and eligible population'!E17=0,"Baseline population (inflated by growth(s))","Manually entered locality population (inflated by growth(s))")</f>
        <v>Baseline population (inflated by growth(s))</v>
      </c>
      <c r="D42" s="196"/>
      <c r="E42" s="168"/>
      <c r="F42" s="128">
        <f>IF(ISBLANK(E17),G14,'Population selection'!F16)</f>
        <v>46148904.437507473</v>
      </c>
      <c r="G42" s="128">
        <f>F42*G40</f>
        <v>46593863.28876517</v>
      </c>
      <c r="H42" s="128">
        <f>F42*H40</f>
        <v>47043112.347596072</v>
      </c>
      <c r="I42" s="128">
        <f>F42*I40</f>
        <v>47496692.979355574</v>
      </c>
      <c r="J42" s="128">
        <f>F42*J40</f>
        <v>47954646.948235855</v>
      </c>
      <c r="K42" s="128">
        <f>F42*K40</f>
        <v>48417016.421111427</v>
      </c>
      <c r="M42" s="283"/>
      <c r="N42" s="283"/>
      <c r="O42" s="283"/>
      <c r="P42" s="283"/>
      <c r="Q42" s="283"/>
      <c r="X42" s="159"/>
    </row>
    <row r="43" spans="2:24" x14ac:dyDescent="0.3">
      <c r="B43" s="160"/>
      <c r="C43" s="224" t="str">
        <f>IF(ISBLANK(F35),"Eligible population, NICE estimate","Eligible population, local estimate")</f>
        <v>Eligible population, NICE estimate</v>
      </c>
      <c r="D43" s="196"/>
      <c r="E43" s="168"/>
      <c r="F43" s="181">
        <f>IF(ISBLANK(F35),F30,F35)</f>
        <v>402.09390452460838</v>
      </c>
      <c r="G43" s="181">
        <f>$F$43*G40*G41</f>
        <v>405.97081653445406</v>
      </c>
      <c r="H43" s="181">
        <f>$F$43*H40*H41</f>
        <v>409.88510898345328</v>
      </c>
      <c r="I43" s="181">
        <f>$F$43*I40*I41</f>
        <v>413.83714228660324</v>
      </c>
      <c r="J43" s="181">
        <f>$F$43*J40*J41</f>
        <v>417.82728033395318</v>
      </c>
      <c r="K43" s="181">
        <f>$F$43*K40*K41</f>
        <v>421.85589052411018</v>
      </c>
      <c r="L43" s="170" t="str">
        <f>IF(F33="no","local estimate used","")</f>
        <v/>
      </c>
      <c r="M43" s="346"/>
      <c r="N43" s="346"/>
      <c r="O43" s="346"/>
      <c r="P43" s="346"/>
      <c r="Q43" s="346"/>
      <c r="X43" s="159"/>
    </row>
    <row r="44" spans="2:24" x14ac:dyDescent="0.3">
      <c r="B44" s="160"/>
      <c r="C44" s="224" t="s">
        <v>1001</v>
      </c>
      <c r="D44" s="196"/>
      <c r="E44" s="168"/>
      <c r="F44" s="181">
        <f>IF(ISBLANK(F37),F31,F37)</f>
        <v>150.03503900171955</v>
      </c>
      <c r="G44" s="181">
        <f>$F$44*G40*G41</f>
        <v>151.48164796061718</v>
      </c>
      <c r="H44" s="181">
        <f t="shared" ref="H44:K44" si="0">$F$44*H40*H41</f>
        <v>152.94220484457213</v>
      </c>
      <c r="I44" s="181">
        <f t="shared" si="0"/>
        <v>154.41684413679226</v>
      </c>
      <c r="J44" s="181">
        <f t="shared" si="0"/>
        <v>155.90570161714672</v>
      </c>
      <c r="K44" s="181">
        <f t="shared" si="0"/>
        <v>157.40891437466797</v>
      </c>
      <c r="L44" s="170"/>
      <c r="M44" s="346"/>
      <c r="N44" s="346"/>
      <c r="O44" s="346"/>
      <c r="P44" s="346"/>
      <c r="Q44" s="346"/>
      <c r="X44" s="159"/>
    </row>
    <row r="45" spans="2:24" x14ac:dyDescent="0.3">
      <c r="B45" s="161"/>
      <c r="C45" s="162"/>
      <c r="D45" s="162"/>
      <c r="E45" s="162"/>
      <c r="F45" s="162"/>
      <c r="G45" s="162"/>
      <c r="H45" s="162"/>
      <c r="I45" s="162"/>
      <c r="J45" s="162"/>
      <c r="K45" s="162"/>
      <c r="L45" s="162"/>
      <c r="M45" s="162"/>
      <c r="N45" s="162"/>
      <c r="O45" s="162"/>
      <c r="P45" s="162"/>
      <c r="Q45" s="162"/>
      <c r="R45" s="162"/>
      <c r="S45" s="162"/>
      <c r="T45" s="162"/>
      <c r="U45" s="162"/>
      <c r="V45" s="162"/>
      <c r="W45" s="162"/>
      <c r="X45" s="163"/>
    </row>
    <row r="48" spans="2:24" x14ac:dyDescent="0.3">
      <c r="B48" s="156" t="s">
        <v>684</v>
      </c>
      <c r="C48" s="313"/>
      <c r="D48" s="313"/>
      <c r="E48" s="313"/>
      <c r="F48" s="313"/>
      <c r="G48" s="313"/>
      <c r="H48" s="313"/>
      <c r="I48" s="313"/>
      <c r="J48" s="313"/>
      <c r="K48" s="313"/>
      <c r="L48" s="313"/>
      <c r="M48" s="313"/>
      <c r="N48" s="313"/>
      <c r="O48" s="313"/>
      <c r="P48" s="313"/>
      <c r="Q48" s="313"/>
      <c r="R48" s="313"/>
      <c r="S48" s="157"/>
    </row>
    <row r="49" spans="2:20" x14ac:dyDescent="0.3">
      <c r="B49" s="160"/>
      <c r="D49" s="735" t="s">
        <v>685</v>
      </c>
      <c r="E49" s="209" t="s">
        <v>686</v>
      </c>
      <c r="F49" s="736" t="s">
        <v>687</v>
      </c>
      <c r="G49" s="209" t="s">
        <v>688</v>
      </c>
      <c r="H49" s="209" t="s">
        <v>689</v>
      </c>
      <c r="I49" s="543"/>
      <c r="J49" s="543"/>
      <c r="K49" s="543"/>
      <c r="L49" s="543"/>
      <c r="M49" s="543"/>
      <c r="N49" s="543"/>
      <c r="S49" s="159"/>
    </row>
    <row r="50" spans="2:20" ht="15.6" x14ac:dyDescent="0.3">
      <c r="B50" s="160"/>
      <c r="C50" s="734" t="s">
        <v>954</v>
      </c>
      <c r="D50" s="611">
        <v>28</v>
      </c>
      <c r="E50" s="797"/>
      <c r="F50" s="739"/>
      <c r="G50" s="739"/>
      <c r="H50" s="331">
        <f>SUM(E50:G50)</f>
        <v>0</v>
      </c>
      <c r="I50" t="s">
        <v>1130</v>
      </c>
      <c r="S50" s="159"/>
    </row>
    <row r="51" spans="2:20" ht="15.6" x14ac:dyDescent="0.3">
      <c r="B51" s="160"/>
      <c r="C51" s="734" t="s">
        <v>955</v>
      </c>
      <c r="D51" s="611">
        <v>28</v>
      </c>
      <c r="E51" s="797"/>
      <c r="F51" s="739"/>
      <c r="G51" s="739"/>
      <c r="H51" s="331">
        <f t="shared" ref="H51:H54" si="1">SUM(E51:G51)</f>
        <v>0</v>
      </c>
      <c r="I51" t="s">
        <v>1130</v>
      </c>
      <c r="S51" s="159"/>
    </row>
    <row r="52" spans="2:20" ht="15.6" x14ac:dyDescent="0.3">
      <c r="B52" s="160"/>
      <c r="C52" s="734" t="s">
        <v>953</v>
      </c>
      <c r="D52" s="611">
        <v>28</v>
      </c>
      <c r="E52" s="797"/>
      <c r="F52" s="617"/>
      <c r="G52" s="617"/>
      <c r="H52" s="331">
        <f t="shared" si="1"/>
        <v>0</v>
      </c>
      <c r="I52" t="s">
        <v>1130</v>
      </c>
      <c r="S52" s="159"/>
    </row>
    <row r="53" spans="2:20" ht="15.6" x14ac:dyDescent="0.3">
      <c r="B53" s="160"/>
      <c r="C53" s="734" t="s">
        <v>957</v>
      </c>
      <c r="D53" s="611">
        <v>28</v>
      </c>
      <c r="E53" s="797"/>
      <c r="F53" s="739"/>
      <c r="G53" s="739"/>
      <c r="H53" s="331">
        <f t="shared" si="1"/>
        <v>0</v>
      </c>
      <c r="I53" t="s">
        <v>1130</v>
      </c>
      <c r="S53" s="159"/>
    </row>
    <row r="54" spans="2:20" ht="15.6" x14ac:dyDescent="0.3">
      <c r="B54" s="160"/>
      <c r="C54" s="734" t="s">
        <v>956</v>
      </c>
      <c r="D54" s="611">
        <v>28</v>
      </c>
      <c r="E54" s="797"/>
      <c r="F54" s="739"/>
      <c r="G54" s="739"/>
      <c r="H54" s="331">
        <f t="shared" si="1"/>
        <v>0</v>
      </c>
      <c r="I54" t="s">
        <v>1130</v>
      </c>
      <c r="S54" s="159"/>
    </row>
    <row r="55" spans="2:20" ht="15.6" x14ac:dyDescent="0.3">
      <c r="B55" s="160"/>
      <c r="C55" s="734" t="s">
        <v>1037</v>
      </c>
      <c r="D55" s="748">
        <v>28</v>
      </c>
      <c r="E55" s="798"/>
      <c r="F55" s="617"/>
      <c r="G55" s="617"/>
      <c r="H55" s="331">
        <f>SUM(E55:G55)</f>
        <v>0</v>
      </c>
      <c r="I55" t="s">
        <v>1130</v>
      </c>
      <c r="J55" s="541"/>
      <c r="K55" s="541"/>
      <c r="L55" s="541"/>
      <c r="M55" s="541"/>
      <c r="N55" s="541"/>
      <c r="T55" s="160"/>
    </row>
    <row r="56" spans="2:20" ht="15.6" x14ac:dyDescent="0.3">
      <c r="B56" s="160"/>
      <c r="C56" s="734" t="s">
        <v>1041</v>
      </c>
      <c r="D56" s="796">
        <v>28</v>
      </c>
      <c r="E56" s="617">
        <v>8.65</v>
      </c>
      <c r="F56" s="340" t="s">
        <v>1027</v>
      </c>
      <c r="G56" s="784"/>
      <c r="H56" s="785"/>
      <c r="K56" s="541"/>
      <c r="L56" s="541"/>
      <c r="M56" s="541"/>
      <c r="N56" s="541"/>
      <c r="T56" s="160"/>
    </row>
    <row r="57" spans="2:20" ht="15.6" x14ac:dyDescent="0.3">
      <c r="B57" s="160"/>
      <c r="C57" s="786"/>
      <c r="D57" s="787"/>
      <c r="E57" s="788"/>
      <c r="F57" s="784"/>
      <c r="G57" s="340"/>
      <c r="H57" s="784"/>
      <c r="I57" s="785"/>
      <c r="L57" s="541"/>
      <c r="M57" s="541"/>
      <c r="N57" s="541"/>
      <c r="O57" s="541"/>
      <c r="T57" s="160"/>
    </row>
    <row r="58" spans="2:20" ht="92.85" customHeight="1" x14ac:dyDescent="0.3">
      <c r="B58" s="160"/>
      <c r="D58" s="152"/>
      <c r="E58" s="152"/>
      <c r="F58" s="152"/>
      <c r="G58" s="152"/>
      <c r="S58" s="159"/>
    </row>
    <row r="59" spans="2:20" ht="32.1" customHeight="1" x14ac:dyDescent="0.3">
      <c r="B59" s="160"/>
      <c r="C59" s="206" t="s">
        <v>690</v>
      </c>
      <c r="D59" s="211" t="s">
        <v>691</v>
      </c>
      <c r="E59" s="207"/>
      <c r="F59" s="207"/>
      <c r="G59" s="207"/>
      <c r="H59" s="208"/>
      <c r="I59" s="209" t="s">
        <v>692</v>
      </c>
      <c r="J59" s="165" t="s">
        <v>693</v>
      </c>
      <c r="K59" s="209" t="s">
        <v>694</v>
      </c>
      <c r="S59" s="159"/>
    </row>
    <row r="60" spans="2:20" x14ac:dyDescent="0.3">
      <c r="B60" s="160"/>
      <c r="C60" s="874" t="s">
        <v>996</v>
      </c>
      <c r="D60" s="235" t="s">
        <v>965</v>
      </c>
      <c r="E60" s="199"/>
      <c r="F60" s="199"/>
      <c r="G60" s="199"/>
      <c r="H60" s="168"/>
      <c r="I60" s="615"/>
      <c r="J60" s="616">
        <v>0.2</v>
      </c>
      <c r="K60" s="338" t="s">
        <v>964</v>
      </c>
      <c r="S60" s="159"/>
    </row>
    <row r="61" spans="2:20" x14ac:dyDescent="0.3">
      <c r="B61" s="160"/>
      <c r="C61" s="874" t="s">
        <v>996</v>
      </c>
      <c r="D61" t="s">
        <v>966</v>
      </c>
      <c r="E61" s="152"/>
      <c r="F61" s="152"/>
      <c r="G61" s="152"/>
      <c r="I61" s="615"/>
      <c r="J61" s="616">
        <v>0.2</v>
      </c>
      <c r="K61" s="338" t="s">
        <v>964</v>
      </c>
      <c r="S61" s="159"/>
    </row>
    <row r="62" spans="2:20" x14ac:dyDescent="0.3">
      <c r="B62" s="160"/>
      <c r="C62" s="737" t="s">
        <v>958</v>
      </c>
      <c r="D62" s="235" t="s">
        <v>970</v>
      </c>
      <c r="E62" s="199"/>
      <c r="F62" s="199"/>
      <c r="G62" s="199"/>
      <c r="H62" s="168"/>
      <c r="I62" s="615"/>
      <c r="J62" s="616">
        <v>0.2</v>
      </c>
      <c r="K62" s="338" t="s">
        <v>964</v>
      </c>
      <c r="L62" s="878"/>
      <c r="M62" s="542"/>
      <c r="N62" s="542"/>
      <c r="O62" s="542"/>
      <c r="P62" s="542"/>
      <c r="Q62" s="542"/>
      <c r="S62" s="159"/>
    </row>
    <row r="63" spans="2:20" x14ac:dyDescent="0.3">
      <c r="B63" s="160"/>
      <c r="C63" s="332" t="s">
        <v>959</v>
      </c>
      <c r="D63" s="246" t="s">
        <v>968</v>
      </c>
      <c r="E63" s="152"/>
      <c r="F63" s="152"/>
      <c r="G63" s="152"/>
      <c r="I63" s="615">
        <v>13.76</v>
      </c>
      <c r="J63" s="616">
        <v>0.2</v>
      </c>
      <c r="K63" s="338" t="s">
        <v>967</v>
      </c>
      <c r="L63" s="542"/>
      <c r="M63" s="542"/>
      <c r="N63" s="542"/>
      <c r="O63" s="542"/>
      <c r="P63" s="542"/>
      <c r="Q63" s="542"/>
      <c r="S63" s="159"/>
    </row>
    <row r="64" spans="2:20" x14ac:dyDescent="0.3">
      <c r="B64" s="160"/>
      <c r="C64" s="332" t="s">
        <v>959</v>
      </c>
      <c r="D64" s="249" t="s">
        <v>969</v>
      </c>
      <c r="E64" s="199"/>
      <c r="F64" s="199"/>
      <c r="G64" s="199"/>
      <c r="H64" s="168"/>
      <c r="I64" s="615">
        <v>8.5</v>
      </c>
      <c r="J64" s="616">
        <v>0.2</v>
      </c>
      <c r="K64" s="338" t="s">
        <v>967</v>
      </c>
      <c r="L64" s="542"/>
      <c r="M64" s="542"/>
      <c r="N64" s="542"/>
      <c r="O64" s="542"/>
      <c r="P64" s="542"/>
      <c r="Q64" s="542"/>
      <c r="S64" s="159"/>
    </row>
    <row r="65" spans="2:19" x14ac:dyDescent="0.3">
      <c r="B65" s="160"/>
      <c r="C65" s="332" t="s">
        <v>960</v>
      </c>
      <c r="D65" s="246" t="s">
        <v>971</v>
      </c>
      <c r="E65" s="199"/>
      <c r="F65" s="199"/>
      <c r="G65" s="199"/>
      <c r="H65" s="196"/>
      <c r="I65" s="615">
        <v>715</v>
      </c>
      <c r="J65" s="616">
        <v>0.2</v>
      </c>
      <c r="K65" s="338" t="s">
        <v>972</v>
      </c>
      <c r="L65" s="542"/>
      <c r="M65" s="542"/>
      <c r="N65" s="542"/>
      <c r="O65" s="542"/>
      <c r="P65" s="766"/>
      <c r="Q65" s="542"/>
      <c r="S65" s="159"/>
    </row>
    <row r="66" spans="2:19" x14ac:dyDescent="0.3">
      <c r="B66" s="160"/>
      <c r="C66" s="332" t="s">
        <v>961</v>
      </c>
      <c r="D66" s="750" t="s">
        <v>973</v>
      </c>
      <c r="E66" s="751"/>
      <c r="F66" s="751"/>
      <c r="G66" s="751"/>
      <c r="H66" s="313"/>
      <c r="I66" s="615">
        <v>145.13</v>
      </c>
      <c r="J66" s="616">
        <v>0.2</v>
      </c>
      <c r="K66" s="338" t="s">
        <v>967</v>
      </c>
      <c r="L66" s="542"/>
      <c r="M66" s="542"/>
      <c r="N66" s="542"/>
      <c r="O66" s="542"/>
      <c r="P66" s="542"/>
      <c r="Q66" s="542"/>
      <c r="S66" s="159"/>
    </row>
    <row r="67" spans="2:19" x14ac:dyDescent="0.3">
      <c r="B67" s="160"/>
      <c r="C67" s="749" t="s">
        <v>1002</v>
      </c>
      <c r="D67" s="198" t="s">
        <v>1003</v>
      </c>
      <c r="E67" s="199"/>
      <c r="F67" s="199"/>
      <c r="G67" s="199"/>
      <c r="H67" s="168"/>
      <c r="I67" s="615">
        <v>552.4</v>
      </c>
      <c r="J67" s="616">
        <v>0.2</v>
      </c>
      <c r="K67" s="338" t="s">
        <v>967</v>
      </c>
      <c r="S67" s="159"/>
    </row>
    <row r="68" spans="2:19" x14ac:dyDescent="0.3">
      <c r="B68" s="160"/>
      <c r="D68" s="152"/>
      <c r="E68" s="152"/>
      <c r="F68" s="152"/>
      <c r="G68" s="152"/>
      <c r="S68" s="159"/>
    </row>
    <row r="69" spans="2:19" x14ac:dyDescent="0.3">
      <c r="B69" s="160"/>
      <c r="S69" s="159"/>
    </row>
    <row r="70" spans="2:19" x14ac:dyDescent="0.3">
      <c r="B70" s="160"/>
      <c r="C70" s="148" t="s">
        <v>1031</v>
      </c>
      <c r="S70" s="159"/>
    </row>
    <row r="71" spans="2:19" x14ac:dyDescent="0.3">
      <c r="B71" s="160"/>
      <c r="D71" s="350" t="s">
        <v>695</v>
      </c>
      <c r="E71" s="210" t="s">
        <v>696</v>
      </c>
      <c r="F71" s="210" t="s">
        <v>697</v>
      </c>
      <c r="G71" s="210" t="s">
        <v>698</v>
      </c>
      <c r="H71" s="210" t="s">
        <v>699</v>
      </c>
      <c r="I71" s="209" t="s">
        <v>700</v>
      </c>
      <c r="J71" s="209" t="s">
        <v>701</v>
      </c>
      <c r="L71" s="209" t="s">
        <v>696</v>
      </c>
      <c r="M71" s="550" t="s">
        <v>697</v>
      </c>
      <c r="N71" s="210" t="s">
        <v>698</v>
      </c>
      <c r="O71" s="210" t="s">
        <v>699</v>
      </c>
      <c r="P71" s="209" t="s">
        <v>700</v>
      </c>
      <c r="Q71" s="209" t="s">
        <v>701</v>
      </c>
      <c r="S71" s="159"/>
    </row>
    <row r="72" spans="2:19" ht="30" customHeight="1" x14ac:dyDescent="0.3">
      <c r="B72" s="160"/>
      <c r="D72" s="875" t="s">
        <v>962</v>
      </c>
      <c r="E72" s="895">
        <v>0</v>
      </c>
      <c r="F72" s="896">
        <v>0.15</v>
      </c>
      <c r="G72" s="896">
        <v>0.25</v>
      </c>
      <c r="H72" s="896">
        <v>0.3</v>
      </c>
      <c r="I72" s="896">
        <v>0.3</v>
      </c>
      <c r="J72" s="896">
        <v>0.3</v>
      </c>
      <c r="L72" s="902">
        <f t="shared" ref="L72" si="2">F43*E72</f>
        <v>0</v>
      </c>
      <c r="M72" s="903">
        <f>G43*F72</f>
        <v>60.895622480168107</v>
      </c>
      <c r="N72" s="903">
        <f>H43*G72</f>
        <v>102.47127724586332</v>
      </c>
      <c r="O72" s="903">
        <f>I43*H72</f>
        <v>124.15114268598097</v>
      </c>
      <c r="P72" s="903">
        <f>J43*I72</f>
        <v>125.34818410018595</v>
      </c>
      <c r="Q72" s="903">
        <f>K43*J72</f>
        <v>126.55676715723305</v>
      </c>
      <c r="S72" s="159"/>
    </row>
    <row r="73" spans="2:19" ht="30" customHeight="1" x14ac:dyDescent="0.3">
      <c r="B73" s="160"/>
      <c r="D73" s="738" t="s">
        <v>963</v>
      </c>
      <c r="E73" s="895">
        <v>1</v>
      </c>
      <c r="F73" s="896">
        <v>0.85</v>
      </c>
      <c r="G73" s="896">
        <v>0.75</v>
      </c>
      <c r="H73" s="896">
        <v>0.7</v>
      </c>
      <c r="I73" s="896">
        <v>0.7</v>
      </c>
      <c r="J73" s="896">
        <v>0.7</v>
      </c>
      <c r="L73" s="903">
        <f t="shared" ref="L73:Q73" si="3">F43*E73</f>
        <v>402.09390452460838</v>
      </c>
      <c r="M73" s="903">
        <f>G43*F73</f>
        <v>345.07519405428593</v>
      </c>
      <c r="N73" s="903">
        <f t="shared" si="3"/>
        <v>307.41383173758993</v>
      </c>
      <c r="O73" s="903">
        <f t="shared" si="3"/>
        <v>289.68599960062227</v>
      </c>
      <c r="P73" s="903">
        <f t="shared" si="3"/>
        <v>292.47909623376722</v>
      </c>
      <c r="Q73" s="903">
        <f t="shared" si="3"/>
        <v>295.2991233668771</v>
      </c>
      <c r="S73" s="159"/>
    </row>
    <row r="74" spans="2:19" ht="22.8" customHeight="1" x14ac:dyDescent="0.3">
      <c r="B74" s="160"/>
      <c r="E74" s="754">
        <f t="shared" ref="E74:J74" si="4">SUM(E72:E73)</f>
        <v>1</v>
      </c>
      <c r="F74" s="754">
        <f t="shared" si="4"/>
        <v>1</v>
      </c>
      <c r="G74" s="754">
        <f t="shared" si="4"/>
        <v>1</v>
      </c>
      <c r="H74" s="754">
        <f t="shared" si="4"/>
        <v>1</v>
      </c>
      <c r="I74" s="754">
        <f t="shared" si="4"/>
        <v>1</v>
      </c>
      <c r="J74" s="754">
        <f t="shared" si="4"/>
        <v>1</v>
      </c>
      <c r="L74" s="337">
        <f t="shared" ref="L74:Q74" si="5">SUM(L72:L73)</f>
        <v>402.09390452460838</v>
      </c>
      <c r="M74" s="337">
        <f t="shared" si="5"/>
        <v>405.97081653445406</v>
      </c>
      <c r="N74" s="337">
        <f t="shared" si="5"/>
        <v>409.88510898345328</v>
      </c>
      <c r="O74" s="337">
        <f t="shared" si="5"/>
        <v>413.83714228660324</v>
      </c>
      <c r="P74" s="337">
        <f t="shared" si="5"/>
        <v>417.82728033395318</v>
      </c>
      <c r="Q74" s="337">
        <f t="shared" si="5"/>
        <v>421.85589052411012</v>
      </c>
      <c r="S74" s="159"/>
    </row>
    <row r="75" spans="2:19" ht="22.8" customHeight="1" x14ac:dyDescent="0.3">
      <c r="B75" s="160"/>
      <c r="E75" s="341"/>
      <c r="F75" s="341"/>
      <c r="G75" s="341"/>
      <c r="H75" s="341"/>
      <c r="I75" s="341"/>
      <c r="J75" s="341"/>
      <c r="L75" s="467"/>
      <c r="M75" s="467"/>
      <c r="N75" s="467"/>
      <c r="O75" s="467"/>
      <c r="P75" s="467"/>
      <c r="Q75" s="467"/>
      <c r="S75" s="159"/>
    </row>
    <row r="76" spans="2:19" ht="38.85" customHeight="1" x14ac:dyDescent="0.3">
      <c r="B76" s="160"/>
      <c r="C76" s="148" t="s">
        <v>1004</v>
      </c>
      <c r="E76" s="527"/>
      <c r="F76" s="527"/>
      <c r="G76" s="527"/>
      <c r="H76" s="527"/>
      <c r="I76" s="527"/>
      <c r="J76" s="527"/>
      <c r="S76" s="159"/>
    </row>
    <row r="77" spans="2:19" x14ac:dyDescent="0.3">
      <c r="B77" s="160"/>
      <c r="D77" s="350" t="s">
        <v>695</v>
      </c>
      <c r="E77" s="210" t="s">
        <v>696</v>
      </c>
      <c r="F77" s="210" t="s">
        <v>697</v>
      </c>
      <c r="G77" s="210" t="s">
        <v>698</v>
      </c>
      <c r="H77" s="210" t="s">
        <v>699</v>
      </c>
      <c r="I77" s="209" t="s">
        <v>700</v>
      </c>
      <c r="J77" s="209" t="s">
        <v>701</v>
      </c>
      <c r="L77" s="209" t="s">
        <v>696</v>
      </c>
      <c r="M77" s="550" t="s">
        <v>697</v>
      </c>
      <c r="N77" s="210" t="s">
        <v>698</v>
      </c>
      <c r="O77" s="210" t="s">
        <v>699</v>
      </c>
      <c r="P77" s="209" t="s">
        <v>700</v>
      </c>
      <c r="Q77" s="209" t="s">
        <v>701</v>
      </c>
      <c r="S77" s="159"/>
    </row>
    <row r="78" spans="2:19" ht="27.6" customHeight="1" x14ac:dyDescent="0.3">
      <c r="B78" s="160"/>
      <c r="D78" s="875" t="s">
        <v>1005</v>
      </c>
      <c r="E78" s="895">
        <v>0</v>
      </c>
      <c r="F78" s="896">
        <v>0.25</v>
      </c>
      <c r="G78" s="896">
        <v>0.5</v>
      </c>
      <c r="H78" s="896">
        <v>0.5</v>
      </c>
      <c r="I78" s="896">
        <v>0.5</v>
      </c>
      <c r="J78" s="896">
        <v>0.5</v>
      </c>
      <c r="K78" s="803"/>
      <c r="L78" s="902">
        <f t="shared" ref="L78" si="6">E78*F44</f>
        <v>0</v>
      </c>
      <c r="M78" s="902">
        <f>F78*G44</f>
        <v>37.870411990154295</v>
      </c>
      <c r="N78" s="902">
        <f>G78*H44</f>
        <v>76.471102422286066</v>
      </c>
      <c r="O78" s="902">
        <f>H78*I44</f>
        <v>77.208422068396132</v>
      </c>
      <c r="P78" s="902">
        <f>I78*J44</f>
        <v>77.952850808573359</v>
      </c>
      <c r="Q78" s="902">
        <f>J78*K44</f>
        <v>78.704457187333986</v>
      </c>
      <c r="S78" s="159"/>
    </row>
    <row r="79" spans="2:19" ht="28.8" customHeight="1" x14ac:dyDescent="0.3">
      <c r="B79" s="160"/>
      <c r="D79" s="738" t="s">
        <v>1006</v>
      </c>
      <c r="E79" s="895">
        <v>1</v>
      </c>
      <c r="F79" s="896">
        <v>0.75</v>
      </c>
      <c r="G79" s="896">
        <v>0.5</v>
      </c>
      <c r="H79" s="896">
        <v>0.5</v>
      </c>
      <c r="I79" s="896">
        <v>0.5</v>
      </c>
      <c r="J79" s="896">
        <v>0.5</v>
      </c>
      <c r="K79" s="803"/>
      <c r="L79" s="903">
        <f t="shared" ref="L79:Q79" si="7">E79*F44</f>
        <v>150.03503900171955</v>
      </c>
      <c r="M79" s="903">
        <f t="shared" si="7"/>
        <v>113.61123597046289</v>
      </c>
      <c r="N79" s="903">
        <f t="shared" si="7"/>
        <v>76.471102422286066</v>
      </c>
      <c r="O79" s="903">
        <f t="shared" si="7"/>
        <v>77.208422068396132</v>
      </c>
      <c r="P79" s="903">
        <f t="shared" si="7"/>
        <v>77.952850808573359</v>
      </c>
      <c r="Q79" s="903">
        <f t="shared" si="7"/>
        <v>78.704457187333986</v>
      </c>
      <c r="S79" s="159"/>
    </row>
    <row r="80" spans="2:19" ht="22.8" customHeight="1" x14ac:dyDescent="0.3">
      <c r="B80" s="160"/>
      <c r="E80" s="151">
        <f t="shared" ref="E80" si="8">SUM(E78:E79)</f>
        <v>1</v>
      </c>
      <c r="F80" s="151">
        <f t="shared" ref="F80" si="9">SUM(F78:F79)</f>
        <v>1</v>
      </c>
      <c r="G80" s="151">
        <f t="shared" ref="G80" si="10">SUM(G78:G79)</f>
        <v>1</v>
      </c>
      <c r="H80" s="151">
        <f t="shared" ref="H80" si="11">SUM(H78:H79)</f>
        <v>1</v>
      </c>
      <c r="I80" s="151">
        <f t="shared" ref="I80" si="12">SUM(I78:I79)</f>
        <v>1</v>
      </c>
      <c r="J80" s="151">
        <f t="shared" ref="J80" si="13">SUM(J78:J79)</f>
        <v>1</v>
      </c>
      <c r="L80" s="337">
        <f t="shared" ref="L80" si="14">SUM(L78:L79)</f>
        <v>150.03503900171955</v>
      </c>
      <c r="M80" s="337">
        <f t="shared" ref="M80" si="15">SUM(M78:M79)</f>
        <v>151.48164796061718</v>
      </c>
      <c r="N80" s="337">
        <f t="shared" ref="N80" si="16">SUM(N78:N79)</f>
        <v>152.94220484457213</v>
      </c>
      <c r="O80" s="337">
        <f t="shared" ref="O80" si="17">SUM(O78:O79)</f>
        <v>154.41684413679226</v>
      </c>
      <c r="P80" s="337">
        <f t="shared" ref="P80" si="18">SUM(P78:P79)</f>
        <v>155.90570161714672</v>
      </c>
      <c r="Q80" s="337">
        <f t="shared" ref="Q80" si="19">SUM(Q78:Q79)</f>
        <v>157.40891437466797</v>
      </c>
      <c r="S80" s="159"/>
    </row>
    <row r="81" spans="2:34" x14ac:dyDescent="0.3">
      <c r="B81" s="160"/>
      <c r="E81" s="527"/>
      <c r="F81" s="527"/>
      <c r="G81" s="527"/>
      <c r="H81" s="527"/>
      <c r="I81" s="527"/>
      <c r="J81" s="527"/>
      <c r="S81" s="159"/>
    </row>
    <row r="82" spans="2:34" ht="38.85" customHeight="1" x14ac:dyDescent="0.3">
      <c r="B82" s="160"/>
      <c r="C82" s="148" t="s">
        <v>1156</v>
      </c>
      <c r="E82" s="527"/>
      <c r="F82" s="527"/>
      <c r="G82" s="527"/>
      <c r="H82" s="527"/>
      <c r="I82" s="527"/>
      <c r="J82" s="527"/>
      <c r="S82" s="159"/>
    </row>
    <row r="83" spans="2:34" x14ac:dyDescent="0.3">
      <c r="B83" s="160"/>
      <c r="E83" s="527"/>
      <c r="F83" s="527"/>
      <c r="G83" s="527"/>
      <c r="H83" s="527"/>
      <c r="I83" s="527"/>
      <c r="J83" s="527"/>
      <c r="L83" s="209" t="s">
        <v>696</v>
      </c>
      <c r="M83" s="550" t="s">
        <v>697</v>
      </c>
      <c r="N83" s="210" t="s">
        <v>698</v>
      </c>
      <c r="O83" s="210" t="s">
        <v>699</v>
      </c>
      <c r="P83" s="209" t="s">
        <v>700</v>
      </c>
      <c r="Q83" s="209" t="s">
        <v>701</v>
      </c>
      <c r="S83" s="159"/>
    </row>
    <row r="84" spans="2:34" ht="27.6" customHeight="1" x14ac:dyDescent="0.3">
      <c r="B84" s="160"/>
      <c r="D84" s="875" t="s">
        <v>1005</v>
      </c>
      <c r="E84" s="916" t="s">
        <v>1168</v>
      </c>
      <c r="F84" s="914"/>
      <c r="G84" s="914"/>
      <c r="H84" s="914"/>
      <c r="I84" s="914"/>
      <c r="J84" s="914"/>
      <c r="K84" s="915"/>
      <c r="L84" s="902">
        <f>L72+(L73*$E$31*E78)-(L72*$E$31*E79)</f>
        <v>0</v>
      </c>
      <c r="M84" s="902">
        <f t="shared" ref="M84:Q84" si="20">M72+(M73*$E$31*F78)-(M72*$E$31*F79)</f>
        <v>76.043787276229835</v>
      </c>
      <c r="N84" s="902">
        <f t="shared" si="20"/>
        <v>140.70682845700634</v>
      </c>
      <c r="O84" s="902">
        <f t="shared" si="20"/>
        <v>155.03451151333942</v>
      </c>
      <c r="P84" s="902">
        <f t="shared" si="20"/>
        <v>156.52932442361529</v>
      </c>
      <c r="Q84" s="902">
        <f t="shared" si="20"/>
        <v>158.03855003216665</v>
      </c>
      <c r="S84" s="159"/>
    </row>
    <row r="85" spans="2:34" ht="28.8" customHeight="1" x14ac:dyDescent="0.3">
      <c r="B85" s="160"/>
      <c r="D85" s="738" t="s">
        <v>997</v>
      </c>
      <c r="E85" s="916" t="s">
        <v>1168</v>
      </c>
      <c r="F85" s="912"/>
      <c r="G85" s="912"/>
      <c r="H85" s="912"/>
      <c r="I85" s="912"/>
      <c r="J85" s="912"/>
      <c r="K85" s="913"/>
      <c r="L85" s="902">
        <f>L73-(L73*$E$31*E78)-(L73*$E$31*E79)</f>
        <v>252.05886552288882</v>
      </c>
      <c r="M85" s="902">
        <f t="shared" ref="M85:Q85" si="21">M73-(M73*$E$31*F78)-(M73*$E$31*F79)</f>
        <v>216.31579328776132</v>
      </c>
      <c r="N85" s="902">
        <f t="shared" si="21"/>
        <v>192.70717810416085</v>
      </c>
      <c r="O85" s="902">
        <f t="shared" si="21"/>
        <v>181.5942087048677</v>
      </c>
      <c r="P85" s="902">
        <f t="shared" si="21"/>
        <v>183.34510510176449</v>
      </c>
      <c r="Q85" s="902">
        <f t="shared" si="21"/>
        <v>185.11288330460951</v>
      </c>
      <c r="S85" s="159"/>
    </row>
    <row r="86" spans="2:34" ht="28.8" customHeight="1" x14ac:dyDescent="0.3">
      <c r="B86" s="160"/>
      <c r="D86" s="738" t="s">
        <v>1006</v>
      </c>
      <c r="E86" s="916" t="s">
        <v>1157</v>
      </c>
      <c r="F86" s="914"/>
      <c r="G86" s="914"/>
      <c r="H86" s="914"/>
      <c r="I86" s="914"/>
      <c r="J86" s="914"/>
      <c r="K86" s="168"/>
      <c r="L86" s="902">
        <f>L79</f>
        <v>150.03503900171955</v>
      </c>
      <c r="M86" s="902">
        <f t="shared" ref="M86:Q86" si="22">M79</f>
        <v>113.61123597046289</v>
      </c>
      <c r="N86" s="902">
        <f t="shared" si="22"/>
        <v>76.471102422286066</v>
      </c>
      <c r="O86" s="902">
        <f t="shared" si="22"/>
        <v>77.208422068396132</v>
      </c>
      <c r="P86" s="902">
        <f t="shared" si="22"/>
        <v>77.952850808573359</v>
      </c>
      <c r="Q86" s="902">
        <f t="shared" si="22"/>
        <v>78.704457187333986</v>
      </c>
      <c r="S86" s="159"/>
    </row>
    <row r="87" spans="2:34" ht="22.8" customHeight="1" x14ac:dyDescent="0.3">
      <c r="B87" s="160"/>
      <c r="E87" s="527"/>
      <c r="F87" s="527"/>
      <c r="G87" s="527"/>
      <c r="H87" s="527"/>
      <c r="I87" s="527"/>
      <c r="J87" s="527"/>
      <c r="L87" s="337">
        <f>SUM(L84:L86)</f>
        <v>402.09390452460838</v>
      </c>
      <c r="M87" s="337">
        <f t="shared" ref="M87:Q87" si="23">SUM(M84:M86)</f>
        <v>405.970816534454</v>
      </c>
      <c r="N87" s="337">
        <f t="shared" si="23"/>
        <v>409.88510898345328</v>
      </c>
      <c r="O87" s="337">
        <f t="shared" si="23"/>
        <v>413.8371422866033</v>
      </c>
      <c r="P87" s="337">
        <f t="shared" si="23"/>
        <v>417.82728033395318</v>
      </c>
      <c r="Q87" s="337">
        <f t="shared" si="23"/>
        <v>421.85589052411012</v>
      </c>
      <c r="S87" s="159"/>
    </row>
    <row r="88" spans="2:34" x14ac:dyDescent="0.3">
      <c r="B88" s="160"/>
      <c r="E88" s="527"/>
      <c r="F88" s="527"/>
      <c r="G88" s="527"/>
      <c r="H88" s="527"/>
      <c r="I88" s="527"/>
      <c r="J88" s="527"/>
      <c r="S88" s="159"/>
    </row>
    <row r="89" spans="2:34" x14ac:dyDescent="0.3">
      <c r="B89" s="160"/>
      <c r="E89" s="527"/>
      <c r="F89" s="527"/>
      <c r="G89" s="527"/>
      <c r="H89" s="527"/>
      <c r="I89" s="527"/>
      <c r="J89" s="527"/>
      <c r="S89" s="159"/>
    </row>
    <row r="90" spans="2:34" x14ac:dyDescent="0.3">
      <c r="B90" s="161"/>
      <c r="C90" s="162" t="s">
        <v>1152</v>
      </c>
      <c r="D90" s="162"/>
      <c r="E90" s="162"/>
      <c r="F90" s="162"/>
      <c r="G90" s="162"/>
      <c r="H90" s="900" t="s">
        <v>1151</v>
      </c>
      <c r="I90" s="162"/>
      <c r="J90" s="162"/>
      <c r="K90" s="162"/>
      <c r="L90" s="162"/>
      <c r="M90" s="162"/>
      <c r="N90" s="162"/>
      <c r="O90" s="162"/>
      <c r="P90" s="162"/>
      <c r="Q90" s="162"/>
      <c r="R90" s="162"/>
      <c r="S90" s="163"/>
    </row>
    <row r="91" spans="2:34" x14ac:dyDescent="0.3">
      <c r="D91" s="196"/>
      <c r="K91" s="196"/>
    </row>
    <row r="92" spans="2:34" x14ac:dyDescent="0.3">
      <c r="B92" s="156" t="s">
        <v>702</v>
      </c>
      <c r="C92" s="313"/>
      <c r="E92" s="313"/>
      <c r="F92" s="313"/>
      <c r="G92" s="313"/>
      <c r="H92" s="313"/>
      <c r="I92" s="313"/>
      <c r="J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157"/>
    </row>
    <row r="93" spans="2:34" x14ac:dyDescent="0.3">
      <c r="B93" s="160" t="s">
        <v>703</v>
      </c>
      <c r="AH93" s="159"/>
    </row>
    <row r="94" spans="2:34" x14ac:dyDescent="0.3">
      <c r="B94" s="160" t="s">
        <v>704</v>
      </c>
      <c r="AH94" s="159"/>
    </row>
    <row r="95" spans="2:34" x14ac:dyDescent="0.3">
      <c r="B95" s="160"/>
      <c r="C95" s="339"/>
      <c r="D95" s="212"/>
      <c r="E95" s="212"/>
      <c r="F95" s="212"/>
      <c r="J95" s="148" t="s">
        <v>936</v>
      </c>
      <c r="S95" s="159"/>
      <c r="AH95" s="159"/>
    </row>
    <row r="96" spans="2:34" ht="106.8" customHeight="1" x14ac:dyDescent="0.3">
      <c r="B96" s="160"/>
      <c r="C96" s="395" t="s">
        <v>705</v>
      </c>
      <c r="D96" s="395" t="s">
        <v>706</v>
      </c>
      <c r="E96" s="395" t="s">
        <v>707</v>
      </c>
      <c r="F96" s="395" t="s">
        <v>1065</v>
      </c>
      <c r="G96" s="395" t="s">
        <v>1064</v>
      </c>
      <c r="H96" s="248" t="s">
        <v>1063</v>
      </c>
      <c r="I96" s="248" t="s">
        <v>1066</v>
      </c>
      <c r="J96" s="248" t="s">
        <v>1067</v>
      </c>
      <c r="K96" s="248" t="s">
        <v>1068</v>
      </c>
      <c r="L96" s="248" t="s">
        <v>1069</v>
      </c>
      <c r="M96" s="395" t="s">
        <v>708</v>
      </c>
      <c r="N96" s="395" t="s">
        <v>709</v>
      </c>
      <c r="AH96" s="159"/>
    </row>
    <row r="97" spans="2:34" ht="28.8" x14ac:dyDescent="0.3">
      <c r="B97" s="160"/>
      <c r="C97" s="397" t="s">
        <v>710</v>
      </c>
      <c r="D97" s="165" t="s">
        <v>1101</v>
      </c>
      <c r="E97" s="165" t="s">
        <v>1070</v>
      </c>
      <c r="F97" s="613"/>
      <c r="G97" s="613"/>
      <c r="H97" s="613"/>
      <c r="I97" s="613"/>
      <c r="J97" s="613"/>
      <c r="K97" s="613"/>
      <c r="L97" s="613"/>
      <c r="M97" s="206"/>
      <c r="N97" s="206"/>
      <c r="O97" t="s">
        <v>1098</v>
      </c>
      <c r="AH97" s="159"/>
    </row>
    <row r="98" spans="2:34" ht="59.25" customHeight="1" x14ac:dyDescent="0.3">
      <c r="B98" s="160"/>
      <c r="C98" s="397" t="s">
        <v>710</v>
      </c>
      <c r="D98" s="165" t="s">
        <v>712</v>
      </c>
      <c r="E98" s="165" t="s">
        <v>713</v>
      </c>
      <c r="F98" s="613"/>
      <c r="G98" s="613"/>
      <c r="H98" s="613"/>
      <c r="I98" s="613"/>
      <c r="J98" s="613"/>
      <c r="K98" s="613"/>
      <c r="L98" s="613"/>
      <c r="M98" s="623" t="s">
        <v>714</v>
      </c>
      <c r="N98" s="624">
        <f>VLOOKUP(M98,payscales!B:K,10,0)</f>
        <v>121.08</v>
      </c>
      <c r="O98" t="s">
        <v>964</v>
      </c>
      <c r="AH98" s="159"/>
    </row>
    <row r="99" spans="2:34" x14ac:dyDescent="0.3">
      <c r="B99" s="160"/>
      <c r="C99" s="397" t="s">
        <v>1071</v>
      </c>
      <c r="D99" s="165" t="s">
        <v>1072</v>
      </c>
      <c r="E99" s="165" t="s">
        <v>1070</v>
      </c>
      <c r="F99" s="618">
        <v>1</v>
      </c>
      <c r="G99" s="618">
        <v>1</v>
      </c>
      <c r="H99" s="618">
        <v>1</v>
      </c>
      <c r="I99" s="618">
        <v>1</v>
      </c>
      <c r="J99" s="618">
        <v>1</v>
      </c>
      <c r="K99" s="618">
        <v>1</v>
      </c>
      <c r="L99" s="618">
        <v>1</v>
      </c>
      <c r="M99" s="831"/>
      <c r="N99" s="206"/>
      <c r="O99" t="s">
        <v>1088</v>
      </c>
      <c r="AH99" s="159"/>
    </row>
    <row r="100" spans="2:34" ht="43.2" x14ac:dyDescent="0.3">
      <c r="B100" s="160"/>
      <c r="C100" s="397" t="s">
        <v>710</v>
      </c>
      <c r="D100" s="165" t="s">
        <v>1073</v>
      </c>
      <c r="E100" s="165" t="s">
        <v>713</v>
      </c>
      <c r="F100" s="613">
        <v>66</v>
      </c>
      <c r="G100" s="613">
        <v>33</v>
      </c>
      <c r="H100" s="613">
        <v>33</v>
      </c>
      <c r="I100" s="613">
        <v>66</v>
      </c>
      <c r="J100" s="613">
        <v>33</v>
      </c>
      <c r="K100" s="613">
        <v>33</v>
      </c>
      <c r="L100" s="613">
        <v>33</v>
      </c>
      <c r="M100" s="623" t="s">
        <v>714</v>
      </c>
      <c r="N100" s="624">
        <f>VLOOKUP(M100,payscales!B:K,10,0)</f>
        <v>121.08</v>
      </c>
      <c r="O100" t="s">
        <v>1089</v>
      </c>
      <c r="AH100" s="159"/>
    </row>
    <row r="101" spans="2:34" x14ac:dyDescent="0.3">
      <c r="B101" s="160"/>
      <c r="C101" s="397" t="s">
        <v>1074</v>
      </c>
      <c r="D101" s="165" t="s">
        <v>1075</v>
      </c>
      <c r="E101" s="165" t="s">
        <v>1077</v>
      </c>
      <c r="F101" s="613">
        <v>1</v>
      </c>
      <c r="G101" s="613">
        <v>1</v>
      </c>
      <c r="H101" s="613">
        <v>1</v>
      </c>
      <c r="I101" s="613">
        <v>1</v>
      </c>
      <c r="J101" s="613">
        <v>1</v>
      </c>
      <c r="K101" s="613">
        <v>1</v>
      </c>
      <c r="L101" s="613">
        <v>1</v>
      </c>
      <c r="M101" s="206"/>
      <c r="N101" s="206"/>
      <c r="O101" t="s">
        <v>1078</v>
      </c>
      <c r="AH101" s="159"/>
    </row>
    <row r="102" spans="2:34" ht="43.2" x14ac:dyDescent="0.3">
      <c r="B102" s="160"/>
      <c r="C102" s="397" t="s">
        <v>710</v>
      </c>
      <c r="D102" s="165" t="s">
        <v>1076</v>
      </c>
      <c r="E102" s="165" t="s">
        <v>713</v>
      </c>
      <c r="F102" s="613">
        <v>62</v>
      </c>
      <c r="G102" s="613">
        <v>17</v>
      </c>
      <c r="H102" s="613">
        <v>17</v>
      </c>
      <c r="I102" s="613">
        <v>62</v>
      </c>
      <c r="J102" s="613">
        <v>17</v>
      </c>
      <c r="K102" s="613">
        <v>17</v>
      </c>
      <c r="L102" s="613">
        <v>17</v>
      </c>
      <c r="M102" s="623" t="s">
        <v>714</v>
      </c>
      <c r="N102" s="624">
        <f>VLOOKUP(M102,payscales!B:K,10,0)</f>
        <v>121.08</v>
      </c>
      <c r="O102" t="s">
        <v>1090</v>
      </c>
      <c r="AH102" s="159"/>
    </row>
    <row r="103" spans="2:34" ht="28.8" x14ac:dyDescent="0.3">
      <c r="B103" s="160"/>
      <c r="C103" s="393" t="s">
        <v>715</v>
      </c>
      <c r="D103" s="165" t="s">
        <v>1079</v>
      </c>
      <c r="E103" s="165" t="s">
        <v>1070</v>
      </c>
      <c r="F103" s="619">
        <f>116+16</f>
        <v>132</v>
      </c>
      <c r="G103" s="619">
        <v>13</v>
      </c>
      <c r="H103" s="619">
        <v>13</v>
      </c>
      <c r="I103" s="619">
        <f>116+16</f>
        <v>132</v>
      </c>
      <c r="J103" s="619">
        <v>13</v>
      </c>
      <c r="K103" s="619">
        <v>13</v>
      </c>
      <c r="L103" s="619">
        <v>13</v>
      </c>
      <c r="M103" s="623" t="s">
        <v>716</v>
      </c>
      <c r="N103" s="624">
        <f>VLOOKUP(M103,payscales!B:K,10,0)</f>
        <v>42.15</v>
      </c>
      <c r="O103" t="s">
        <v>1091</v>
      </c>
      <c r="AH103" s="159"/>
    </row>
    <row r="104" spans="2:34" ht="43.2" x14ac:dyDescent="0.3">
      <c r="B104" s="160"/>
      <c r="C104" s="393" t="s">
        <v>715</v>
      </c>
      <c r="D104" s="165" t="s">
        <v>717</v>
      </c>
      <c r="E104" s="165" t="s">
        <v>711</v>
      </c>
      <c r="F104" s="619"/>
      <c r="G104" s="612"/>
      <c r="H104" s="612"/>
      <c r="I104" s="612"/>
      <c r="J104" s="612"/>
      <c r="K104" s="612"/>
      <c r="L104" s="614"/>
      <c r="M104" s="623" t="s">
        <v>716</v>
      </c>
      <c r="N104" s="624">
        <f>VLOOKUP(M104,payscales!B:K,10,0)</f>
        <v>42.15</v>
      </c>
      <c r="O104" t="s">
        <v>1080</v>
      </c>
      <c r="AH104" s="159"/>
    </row>
    <row r="105" spans="2:34" ht="28.8" x14ac:dyDescent="0.3">
      <c r="B105" s="160"/>
      <c r="C105" s="393" t="s">
        <v>715</v>
      </c>
      <c r="D105" s="165" t="s">
        <v>718</v>
      </c>
      <c r="E105" s="165" t="s">
        <v>711</v>
      </c>
      <c r="F105" s="619"/>
      <c r="G105" s="612"/>
      <c r="H105" s="612"/>
      <c r="I105" s="612"/>
      <c r="J105" s="612"/>
      <c r="K105" s="612"/>
      <c r="L105" s="614"/>
      <c r="M105" s="623" t="s">
        <v>716</v>
      </c>
      <c r="N105" s="624">
        <f>VLOOKUP(M105,payscales!B:K,10,0)</f>
        <v>42.15</v>
      </c>
      <c r="O105" t="s">
        <v>1080</v>
      </c>
      <c r="AH105" s="159"/>
    </row>
    <row r="106" spans="2:34" ht="43.05" customHeight="1" x14ac:dyDescent="0.3">
      <c r="B106" s="160"/>
      <c r="C106" s="394" t="s">
        <v>719</v>
      </c>
      <c r="D106" s="165" t="s">
        <v>1131</v>
      </c>
      <c r="E106" s="165" t="s">
        <v>1070</v>
      </c>
      <c r="F106" s="620">
        <v>75</v>
      </c>
      <c r="G106" s="740">
        <v>2</v>
      </c>
      <c r="H106" s="740">
        <v>2</v>
      </c>
      <c r="I106" s="740">
        <v>75</v>
      </c>
      <c r="J106" s="740">
        <v>2</v>
      </c>
      <c r="K106" s="740">
        <v>2</v>
      </c>
      <c r="L106" s="621">
        <v>2</v>
      </c>
      <c r="M106" s="623" t="s">
        <v>720</v>
      </c>
      <c r="N106" s="624">
        <f>VLOOKUP(M106,payscales!B:K,10,0)</f>
        <v>49.16</v>
      </c>
      <c r="O106" t="s">
        <v>1092</v>
      </c>
      <c r="AH106" s="159"/>
    </row>
    <row r="107" spans="2:34" ht="36.450000000000003" customHeight="1" x14ac:dyDescent="0.3">
      <c r="B107" s="160"/>
      <c r="C107" s="396" t="s">
        <v>912</v>
      </c>
      <c r="D107" s="165" t="s">
        <v>721</v>
      </c>
      <c r="E107" s="165" t="s">
        <v>1070</v>
      </c>
      <c r="F107" s="613"/>
      <c r="G107" s="613"/>
      <c r="H107" s="613"/>
      <c r="I107" s="613"/>
      <c r="J107" s="613"/>
      <c r="K107" s="613"/>
      <c r="L107" s="613"/>
      <c r="M107" s="206"/>
      <c r="N107" s="206"/>
      <c r="O107" t="s">
        <v>1093</v>
      </c>
      <c r="AH107" s="159"/>
    </row>
    <row r="108" spans="2:34" ht="43.2" x14ac:dyDescent="0.3">
      <c r="B108" s="160"/>
      <c r="C108" s="396" t="s">
        <v>912</v>
      </c>
      <c r="D108" s="165" t="s">
        <v>721</v>
      </c>
      <c r="E108" s="165" t="s">
        <v>713</v>
      </c>
      <c r="F108" s="613"/>
      <c r="G108" s="613"/>
      <c r="H108" s="613"/>
      <c r="I108" s="613"/>
      <c r="J108" s="613"/>
      <c r="K108" s="613"/>
      <c r="L108" s="613"/>
      <c r="M108" s="825" t="s">
        <v>714</v>
      </c>
      <c r="N108" s="624">
        <f>VLOOKUP(M108,payscales!B:K,10,0)</f>
        <v>121.08</v>
      </c>
      <c r="O108" t="s">
        <v>1093</v>
      </c>
      <c r="AH108" s="159"/>
    </row>
    <row r="109" spans="2:34" ht="55.05" customHeight="1" x14ac:dyDescent="0.3">
      <c r="B109" s="160"/>
      <c r="C109" s="398" t="s">
        <v>723</v>
      </c>
      <c r="D109" s="165" t="s">
        <v>1081</v>
      </c>
      <c r="E109" s="165" t="s">
        <v>1070</v>
      </c>
      <c r="F109" s="613">
        <v>1.0900000000000001</v>
      </c>
      <c r="G109" s="613">
        <v>0.18</v>
      </c>
      <c r="H109" s="613">
        <v>0</v>
      </c>
      <c r="I109" s="613">
        <v>1.0900000000000001</v>
      </c>
      <c r="J109" s="613">
        <v>0.18</v>
      </c>
      <c r="K109" s="613">
        <v>0</v>
      </c>
      <c r="L109" s="613">
        <v>0</v>
      </c>
      <c r="M109" s="206"/>
      <c r="N109" s="206"/>
      <c r="O109" t="s">
        <v>1094</v>
      </c>
      <c r="AH109" s="159"/>
    </row>
    <row r="110" spans="2:34" ht="48" customHeight="1" x14ac:dyDescent="0.3">
      <c r="B110" s="160"/>
      <c r="C110" s="398" t="s">
        <v>723</v>
      </c>
      <c r="D110" s="165" t="s">
        <v>1081</v>
      </c>
      <c r="E110" s="165" t="s">
        <v>724</v>
      </c>
      <c r="F110" s="619">
        <v>20</v>
      </c>
      <c r="G110" s="619">
        <v>20</v>
      </c>
      <c r="H110" s="619">
        <v>20</v>
      </c>
      <c r="I110" s="619">
        <v>20</v>
      </c>
      <c r="J110" s="619">
        <v>20</v>
      </c>
      <c r="K110" s="619">
        <v>20</v>
      </c>
      <c r="L110" s="619">
        <v>20</v>
      </c>
      <c r="M110" s="623" t="s">
        <v>714</v>
      </c>
      <c r="N110" s="624">
        <f>VLOOKUP(M110,payscales!B:K,10,0)</f>
        <v>121.08</v>
      </c>
      <c r="O110" t="s">
        <v>1062</v>
      </c>
      <c r="AH110" s="159"/>
    </row>
    <row r="111" spans="2:34" ht="45" customHeight="1" x14ac:dyDescent="0.3">
      <c r="B111" s="160"/>
      <c r="C111" s="398" t="s">
        <v>723</v>
      </c>
      <c r="D111" s="165" t="s">
        <v>1082</v>
      </c>
      <c r="E111" s="165" t="s">
        <v>1070</v>
      </c>
      <c r="F111" s="613">
        <v>0.46</v>
      </c>
      <c r="G111" s="613">
        <v>0.46</v>
      </c>
      <c r="H111" s="613">
        <v>0.46</v>
      </c>
      <c r="I111" s="613">
        <v>0.46</v>
      </c>
      <c r="J111" s="613">
        <v>0.46</v>
      </c>
      <c r="K111" s="613">
        <v>0.46</v>
      </c>
      <c r="L111" s="613">
        <v>0.46</v>
      </c>
      <c r="M111" s="206"/>
      <c r="N111" s="206"/>
      <c r="O111" t="s">
        <v>1095</v>
      </c>
      <c r="AH111" s="159"/>
    </row>
    <row r="112" spans="2:34" ht="44.1" customHeight="1" x14ac:dyDescent="0.3">
      <c r="B112" s="160"/>
      <c r="C112" s="398" t="s">
        <v>723</v>
      </c>
      <c r="D112" s="165" t="s">
        <v>1082</v>
      </c>
      <c r="E112" s="165" t="s">
        <v>724</v>
      </c>
      <c r="F112" s="619">
        <v>20</v>
      </c>
      <c r="G112" s="619">
        <v>20</v>
      </c>
      <c r="H112" s="619">
        <v>20</v>
      </c>
      <c r="I112" s="619">
        <v>20</v>
      </c>
      <c r="J112" s="619">
        <v>20</v>
      </c>
      <c r="K112" s="619">
        <v>20</v>
      </c>
      <c r="L112" s="619">
        <v>20</v>
      </c>
      <c r="M112" s="623" t="s">
        <v>714</v>
      </c>
      <c r="N112" s="624">
        <f>VLOOKUP(M112,payscales!B:K,10,0)</f>
        <v>121.08</v>
      </c>
      <c r="O112" t="s">
        <v>1062</v>
      </c>
      <c r="AH112" s="159"/>
    </row>
    <row r="113" spans="2:34" ht="52.35" customHeight="1" x14ac:dyDescent="0.3">
      <c r="B113" s="160"/>
      <c r="C113" s="398" t="s">
        <v>723</v>
      </c>
      <c r="D113" s="165" t="s">
        <v>1083</v>
      </c>
      <c r="E113" s="165" t="s">
        <v>1070</v>
      </c>
      <c r="F113" s="619">
        <v>11.26</v>
      </c>
      <c r="G113" s="619">
        <v>2.69</v>
      </c>
      <c r="H113" s="619">
        <v>0</v>
      </c>
      <c r="I113" s="619">
        <v>11.26</v>
      </c>
      <c r="J113" s="619">
        <v>2.69</v>
      </c>
      <c r="K113" s="619">
        <v>0</v>
      </c>
      <c r="L113" s="622">
        <v>0</v>
      </c>
      <c r="M113" s="206"/>
      <c r="N113" s="206"/>
      <c r="O113" t="s">
        <v>1096</v>
      </c>
      <c r="P113" s="685"/>
      <c r="Q113" s="685"/>
      <c r="R113" s="685"/>
      <c r="S113" s="685"/>
      <c r="AH113" s="159"/>
    </row>
    <row r="114" spans="2:34" ht="50.85" customHeight="1" x14ac:dyDescent="0.3">
      <c r="B114" s="160"/>
      <c r="C114" s="398" t="s">
        <v>723</v>
      </c>
      <c r="D114" s="165" t="s">
        <v>1083</v>
      </c>
      <c r="E114" s="165" t="s">
        <v>724</v>
      </c>
      <c r="F114" s="619">
        <v>5</v>
      </c>
      <c r="G114" s="619">
        <v>5</v>
      </c>
      <c r="H114" s="619">
        <v>5</v>
      </c>
      <c r="I114" s="619">
        <v>5</v>
      </c>
      <c r="J114" s="619">
        <v>5</v>
      </c>
      <c r="K114" s="619">
        <v>5</v>
      </c>
      <c r="L114" s="622">
        <v>5</v>
      </c>
      <c r="M114" s="623" t="s">
        <v>860</v>
      </c>
      <c r="N114" s="624">
        <f>VLOOKUP(M114,payscales!B:K,10,0)</f>
        <v>21.92</v>
      </c>
      <c r="O114" t="s">
        <v>1062</v>
      </c>
      <c r="P114" s="685"/>
      <c r="Q114" s="685"/>
      <c r="R114" s="685"/>
      <c r="S114" s="685"/>
      <c r="AH114" s="159"/>
    </row>
    <row r="115" spans="2:34" ht="44.1" customHeight="1" x14ac:dyDescent="0.3">
      <c r="B115" s="160"/>
      <c r="C115" s="398" t="s">
        <v>723</v>
      </c>
      <c r="D115" s="165" t="s">
        <v>1084</v>
      </c>
      <c r="E115" s="165" t="s">
        <v>1070</v>
      </c>
      <c r="F115" s="619">
        <v>1.05</v>
      </c>
      <c r="G115" s="619">
        <v>0.68</v>
      </c>
      <c r="H115" s="619">
        <v>0</v>
      </c>
      <c r="I115" s="619">
        <v>1.05</v>
      </c>
      <c r="J115" s="619">
        <v>0.68</v>
      </c>
      <c r="K115" s="619">
        <v>0</v>
      </c>
      <c r="L115" s="622">
        <v>0</v>
      </c>
      <c r="M115" s="206"/>
      <c r="N115" s="206"/>
      <c r="O115" t="s">
        <v>1097</v>
      </c>
      <c r="AH115" s="159"/>
    </row>
    <row r="116" spans="2:34" ht="54" customHeight="1" x14ac:dyDescent="0.3">
      <c r="B116" s="160"/>
      <c r="C116" s="398" t="s">
        <v>723</v>
      </c>
      <c r="D116" s="165" t="s">
        <v>1084</v>
      </c>
      <c r="E116" s="165" t="s">
        <v>724</v>
      </c>
      <c r="F116" s="618">
        <v>20</v>
      </c>
      <c r="G116" s="618">
        <v>20</v>
      </c>
      <c r="H116" s="618">
        <v>20</v>
      </c>
      <c r="I116" s="618">
        <v>20</v>
      </c>
      <c r="J116" s="618">
        <v>20</v>
      </c>
      <c r="K116" s="618">
        <v>20</v>
      </c>
      <c r="L116" s="828">
        <v>20</v>
      </c>
      <c r="M116" s="623" t="s">
        <v>714</v>
      </c>
      <c r="N116" s="624">
        <f>VLOOKUP(M116,payscales!B:K,10,0)</f>
        <v>121.08</v>
      </c>
      <c r="O116" t="s">
        <v>1062</v>
      </c>
      <c r="AH116" s="159"/>
    </row>
    <row r="117" spans="2:34" ht="39" customHeight="1" x14ac:dyDescent="0.3">
      <c r="B117" s="160"/>
      <c r="C117" s="827" t="s">
        <v>1085</v>
      </c>
      <c r="D117" s="165" t="s">
        <v>1085</v>
      </c>
      <c r="E117" s="165" t="s">
        <v>1070</v>
      </c>
      <c r="F117" s="613"/>
      <c r="G117" s="613">
        <v>0.44</v>
      </c>
      <c r="H117" s="613">
        <v>0</v>
      </c>
      <c r="I117" s="613"/>
      <c r="J117" s="613">
        <v>0.44</v>
      </c>
      <c r="K117" s="613">
        <v>0</v>
      </c>
      <c r="L117" s="613">
        <v>0</v>
      </c>
      <c r="M117" s="206"/>
      <c r="N117" s="206"/>
      <c r="O117" t="s">
        <v>1087</v>
      </c>
      <c r="AH117" s="159"/>
    </row>
    <row r="118" spans="2:34" ht="43.05" customHeight="1" x14ac:dyDescent="0.3">
      <c r="B118" s="160"/>
      <c r="C118" s="827" t="s">
        <v>1085</v>
      </c>
      <c r="D118" s="165" t="s">
        <v>1085</v>
      </c>
      <c r="E118" s="165" t="s">
        <v>724</v>
      </c>
      <c r="F118" s="613"/>
      <c r="G118" s="613"/>
      <c r="H118" s="613"/>
      <c r="I118" s="613"/>
      <c r="J118" s="613"/>
      <c r="K118" s="613"/>
      <c r="L118" s="613"/>
      <c r="M118" s="826"/>
      <c r="N118" s="624"/>
      <c r="O118" t="s">
        <v>964</v>
      </c>
      <c r="AH118" s="159"/>
    </row>
    <row r="119" spans="2:34" x14ac:dyDescent="0.3">
      <c r="B119" s="160"/>
      <c r="C119" s="827" t="s">
        <v>1086</v>
      </c>
      <c r="D119" s="165" t="s">
        <v>1086</v>
      </c>
      <c r="E119" s="165" t="s">
        <v>1070</v>
      </c>
      <c r="F119" s="613"/>
      <c r="G119" s="613">
        <v>0.32</v>
      </c>
      <c r="H119" s="613">
        <v>0</v>
      </c>
      <c r="I119" s="613"/>
      <c r="J119" s="613">
        <v>0.32</v>
      </c>
      <c r="K119" s="613">
        <v>0</v>
      </c>
      <c r="L119" s="613">
        <v>0</v>
      </c>
      <c r="M119" s="206"/>
      <c r="N119" s="206"/>
      <c r="O119" t="s">
        <v>1087</v>
      </c>
      <c r="AH119" s="159"/>
    </row>
    <row r="120" spans="2:34" ht="47.25" customHeight="1" x14ac:dyDescent="0.3">
      <c r="B120" s="160"/>
      <c r="C120" s="827" t="s">
        <v>1086</v>
      </c>
      <c r="D120" s="165" t="s">
        <v>1086</v>
      </c>
      <c r="E120" s="165" t="s">
        <v>724</v>
      </c>
      <c r="F120" s="613"/>
      <c r="G120" s="613"/>
      <c r="H120" s="613"/>
      <c r="I120" s="613"/>
      <c r="J120" s="613"/>
      <c r="K120" s="613"/>
      <c r="L120" s="613"/>
      <c r="M120" s="826"/>
      <c r="N120" s="624"/>
      <c r="O120" t="s">
        <v>964</v>
      </c>
      <c r="AH120" s="159"/>
    </row>
    <row r="121" spans="2:34" ht="28.8" x14ac:dyDescent="0.3">
      <c r="B121" s="160"/>
      <c r="C121" s="349" t="s">
        <v>726</v>
      </c>
      <c r="D121" s="349" t="s">
        <v>727</v>
      </c>
      <c r="E121" s="165" t="s">
        <v>722</v>
      </c>
      <c r="F121" s="829" t="s">
        <v>728</v>
      </c>
      <c r="G121" s="830"/>
      <c r="H121" s="830"/>
      <c r="I121" s="830"/>
      <c r="J121" s="830"/>
      <c r="K121" s="830"/>
      <c r="L121" s="830"/>
      <c r="M121" s="209"/>
      <c r="N121" s="206"/>
      <c r="AH121" s="159"/>
    </row>
    <row r="122" spans="2:34" x14ac:dyDescent="0.3">
      <c r="B122" s="160"/>
      <c r="C122" s="339"/>
      <c r="D122" s="212"/>
      <c r="E122" s="212"/>
      <c r="F122" s="212"/>
      <c r="AH122" s="159"/>
    </row>
    <row r="123" spans="2:34" x14ac:dyDescent="0.3">
      <c r="B123" s="160"/>
      <c r="C123" s="197" t="s">
        <v>729</v>
      </c>
      <c r="D123" s="152"/>
      <c r="AH123" s="159"/>
    </row>
    <row r="124" spans="2:34" x14ac:dyDescent="0.3">
      <c r="B124" s="160"/>
      <c r="D124" s="152"/>
      <c r="AH124" s="159"/>
    </row>
    <row r="125" spans="2:34" x14ac:dyDescent="0.3">
      <c r="B125" s="160"/>
      <c r="C125" s="212" t="s">
        <v>730</v>
      </c>
      <c r="D125" s="152"/>
      <c r="AH125" s="159"/>
    </row>
    <row r="126" spans="2:34" x14ac:dyDescent="0.3">
      <c r="B126" s="160"/>
      <c r="C126" s="212" t="s">
        <v>913</v>
      </c>
      <c r="D126" s="152"/>
      <c r="AH126" s="159"/>
    </row>
    <row r="127" spans="2:34" x14ac:dyDescent="0.3">
      <c r="B127" s="160"/>
      <c r="C127" s="212" t="s">
        <v>1144</v>
      </c>
      <c r="D127" s="152"/>
      <c r="AH127" s="159"/>
    </row>
    <row r="128" spans="2:34" x14ac:dyDescent="0.3">
      <c r="B128" s="161"/>
      <c r="C128" s="162"/>
      <c r="D128" s="164"/>
      <c r="E128" s="164"/>
      <c r="F128" s="164"/>
      <c r="G128" s="164"/>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3"/>
    </row>
    <row r="129" spans="2:19" x14ac:dyDescent="0.3">
      <c r="D129" s="152"/>
      <c r="E129" s="152"/>
      <c r="F129" s="152"/>
      <c r="G129" s="152"/>
    </row>
    <row r="130" spans="2:19" x14ac:dyDescent="0.3">
      <c r="B130" s="389" t="s">
        <v>731</v>
      </c>
      <c r="C130" s="388"/>
      <c r="D130" s="388"/>
      <c r="E130" s="388"/>
      <c r="F130" s="388"/>
      <c r="G130" s="388"/>
      <c r="H130" s="388"/>
      <c r="I130" s="388"/>
      <c r="J130" s="388"/>
      <c r="K130" s="388"/>
      <c r="L130" s="388"/>
      <c r="M130" s="388"/>
      <c r="N130" s="388"/>
      <c r="O130" s="388"/>
      <c r="P130" s="388"/>
      <c r="Q130" s="388"/>
      <c r="R130" s="388"/>
      <c r="S130" s="226"/>
    </row>
    <row r="131" spans="2:19" x14ac:dyDescent="0.3">
      <c r="B131" s="230"/>
      <c r="C131" s="223"/>
      <c r="D131" s="223"/>
      <c r="E131" s="223"/>
      <c r="F131" s="223"/>
      <c r="G131" s="223"/>
      <c r="H131" s="223"/>
      <c r="I131" s="223"/>
      <c r="J131" s="223"/>
      <c r="K131" s="223"/>
      <c r="L131" s="223"/>
      <c r="M131" s="223"/>
      <c r="N131" s="223"/>
      <c r="O131" s="223"/>
      <c r="P131" s="223"/>
      <c r="Q131" s="223"/>
      <c r="R131" s="223"/>
      <c r="S131" s="231"/>
    </row>
    <row r="132" spans="2:19" x14ac:dyDescent="0.3">
      <c r="B132" s="230"/>
      <c r="C132" s="687" t="s">
        <v>732</v>
      </c>
      <c r="D132" s="223"/>
      <c r="E132" s="223"/>
      <c r="F132" s="223"/>
      <c r="G132" s="223"/>
      <c r="H132" s="223"/>
      <c r="I132" s="223"/>
      <c r="J132" s="223"/>
      <c r="K132" s="223"/>
      <c r="L132" s="223"/>
      <c r="M132" s="223"/>
      <c r="N132" s="223"/>
      <c r="O132" s="223"/>
      <c r="P132" s="223"/>
      <c r="Q132" s="223"/>
      <c r="R132" s="223"/>
      <c r="S132" s="231"/>
    </row>
    <row r="133" spans="2:19" x14ac:dyDescent="0.3">
      <c r="B133" s="230"/>
      <c r="C133" s="682" t="s">
        <v>733</v>
      </c>
      <c r="D133" s="223"/>
      <c r="E133" s="223"/>
      <c r="F133" s="223"/>
      <c r="G133" s="223"/>
      <c r="H133" s="223"/>
      <c r="I133" s="223"/>
      <c r="J133" s="223"/>
      <c r="K133" s="223"/>
      <c r="L133" s="223"/>
      <c r="M133" s="223"/>
      <c r="N133" s="223"/>
      <c r="O133" s="223"/>
      <c r="P133" s="223"/>
      <c r="Q133" s="223"/>
      <c r="R133" s="223"/>
      <c r="S133" s="231"/>
    </row>
    <row r="134" spans="2:19" x14ac:dyDescent="0.3">
      <c r="B134" s="230"/>
      <c r="C134" s="682" t="s">
        <v>734</v>
      </c>
      <c r="D134" s="223"/>
      <c r="E134" s="223"/>
      <c r="F134" s="223"/>
      <c r="G134" s="223"/>
      <c r="H134" s="223"/>
      <c r="I134" s="223"/>
      <c r="J134" s="223"/>
      <c r="K134" s="223"/>
      <c r="L134" s="223"/>
      <c r="M134" s="223"/>
      <c r="N134" s="223"/>
      <c r="O134" s="223"/>
      <c r="P134" s="223"/>
      <c r="Q134" s="223"/>
      <c r="R134" s="223"/>
      <c r="S134" s="231"/>
    </row>
    <row r="135" spans="2:19" x14ac:dyDescent="0.3">
      <c r="B135" s="230"/>
      <c r="C135" s="454" t="s">
        <v>735</v>
      </c>
      <c r="D135" s="223"/>
      <c r="E135" s="223"/>
      <c r="F135" s="223"/>
      <c r="G135" s="223"/>
      <c r="H135" s="223"/>
      <c r="I135" s="223"/>
      <c r="J135" s="223"/>
      <c r="K135" s="223"/>
      <c r="L135" s="223"/>
      <c r="M135" s="223"/>
      <c r="N135" s="223"/>
      <c r="O135" s="223"/>
      <c r="P135" s="223"/>
      <c r="Q135" s="223"/>
      <c r="R135" s="223"/>
      <c r="S135" s="231"/>
    </row>
    <row r="136" spans="2:19" x14ac:dyDescent="0.3">
      <c r="B136" s="230"/>
      <c r="C136" s="454" t="s">
        <v>736</v>
      </c>
      <c r="D136" s="223"/>
      <c r="E136" s="223"/>
      <c r="F136" s="223"/>
      <c r="G136" s="223"/>
      <c r="H136" s="223"/>
      <c r="I136" s="223"/>
      <c r="J136" s="223"/>
      <c r="K136" s="223"/>
      <c r="L136" s="223"/>
      <c r="M136" s="223"/>
      <c r="N136" s="223"/>
      <c r="O136" s="223"/>
      <c r="P136" s="223"/>
      <c r="Q136" s="223"/>
      <c r="R136" s="223"/>
      <c r="S136" s="231"/>
    </row>
    <row r="137" spans="2:19" x14ac:dyDescent="0.3">
      <c r="B137" s="230"/>
      <c r="C137" s="454"/>
      <c r="D137" s="223"/>
      <c r="E137" s="223"/>
      <c r="F137" s="223"/>
      <c r="G137" s="223"/>
      <c r="H137" s="223"/>
      <c r="I137" s="223"/>
      <c r="J137" s="223"/>
      <c r="K137" s="223"/>
      <c r="L137" s="223"/>
      <c r="M137" s="223"/>
      <c r="N137" s="223"/>
      <c r="O137" s="223"/>
      <c r="P137" s="223"/>
      <c r="Q137" s="223"/>
      <c r="R137" s="223"/>
      <c r="S137" s="231"/>
    </row>
    <row r="138" spans="2:19" x14ac:dyDescent="0.3">
      <c r="B138" s="230"/>
      <c r="C138" s="686" t="s">
        <v>737</v>
      </c>
      <c r="D138" s="223"/>
      <c r="E138" s="223"/>
      <c r="F138" s="223"/>
      <c r="G138" s="223"/>
      <c r="H138" s="223"/>
      <c r="I138" s="223"/>
      <c r="J138" s="223"/>
      <c r="K138" s="223"/>
      <c r="L138" s="223"/>
      <c r="M138" s="223"/>
      <c r="N138" s="223"/>
      <c r="O138" s="223"/>
      <c r="P138" s="223"/>
      <c r="Q138" s="223"/>
      <c r="R138" s="223"/>
      <c r="S138" s="231"/>
    </row>
    <row r="139" spans="2:19" x14ac:dyDescent="0.3">
      <c r="B139" s="230"/>
      <c r="C139" s="682" t="s">
        <v>738</v>
      </c>
      <c r="D139" s="223"/>
      <c r="E139" s="223"/>
      <c r="F139" s="223"/>
      <c r="G139" s="223"/>
      <c r="H139" s="223"/>
      <c r="I139" s="223"/>
      <c r="J139" s="223"/>
      <c r="K139" s="223"/>
      <c r="L139" s="223"/>
      <c r="M139" s="223"/>
      <c r="N139" s="223"/>
      <c r="O139" s="223"/>
      <c r="P139" s="223"/>
      <c r="Q139" s="223"/>
      <c r="R139" s="223"/>
      <c r="S139" s="231"/>
    </row>
    <row r="140" spans="2:19" x14ac:dyDescent="0.3">
      <c r="B140" s="230"/>
      <c r="C140" s="454" t="s">
        <v>739</v>
      </c>
      <c r="D140" s="223"/>
      <c r="E140" s="223"/>
      <c r="F140" s="223"/>
      <c r="G140" s="223"/>
      <c r="H140" s="223"/>
      <c r="I140" s="223"/>
      <c r="J140" s="223"/>
      <c r="K140" s="223"/>
      <c r="L140" s="223"/>
      <c r="M140" s="223"/>
      <c r="N140" s="223"/>
      <c r="O140" s="223"/>
      <c r="P140" s="223"/>
      <c r="Q140" s="223"/>
      <c r="R140" s="223"/>
      <c r="S140" s="231"/>
    </row>
    <row r="141" spans="2:19" x14ac:dyDescent="0.3">
      <c r="B141" s="230"/>
      <c r="C141" s="454" t="s">
        <v>740</v>
      </c>
      <c r="D141" s="223"/>
      <c r="E141" s="223"/>
      <c r="F141" s="223"/>
      <c r="G141" s="223"/>
      <c r="H141" s="223"/>
      <c r="I141" s="223"/>
      <c r="J141" s="223"/>
      <c r="K141" s="223"/>
      <c r="L141" s="223"/>
      <c r="M141" s="223"/>
      <c r="N141" s="223"/>
      <c r="O141" s="223"/>
      <c r="P141" s="223"/>
      <c r="Q141" s="223"/>
      <c r="R141" s="223"/>
      <c r="S141" s="231"/>
    </row>
    <row r="142" spans="2:19" x14ac:dyDescent="0.3">
      <c r="B142" s="230"/>
      <c r="C142" s="454" t="s">
        <v>741</v>
      </c>
      <c r="D142" s="223"/>
      <c r="E142" s="223"/>
      <c r="F142" s="223"/>
      <c r="G142" s="223"/>
      <c r="H142" s="223"/>
      <c r="I142" s="223"/>
      <c r="J142" s="223"/>
      <c r="K142" s="223"/>
      <c r="L142" s="223"/>
      <c r="M142" s="223"/>
      <c r="N142" s="223"/>
      <c r="O142" s="223"/>
      <c r="P142" s="223"/>
      <c r="Q142" s="223"/>
      <c r="R142" s="223"/>
      <c r="S142" s="231"/>
    </row>
    <row r="143" spans="2:19" x14ac:dyDescent="0.3">
      <c r="B143" s="228"/>
      <c r="C143" s="232"/>
      <c r="D143" s="227"/>
      <c r="E143" s="227"/>
      <c r="F143" s="227"/>
      <c r="G143" s="227"/>
      <c r="H143" s="227"/>
      <c r="I143" s="227"/>
      <c r="J143" s="227"/>
      <c r="K143" s="227"/>
      <c r="L143" s="227"/>
      <c r="M143" s="227"/>
      <c r="N143" s="227"/>
      <c r="O143" s="227"/>
      <c r="P143" s="227"/>
      <c r="Q143" s="227"/>
      <c r="R143" s="227"/>
      <c r="S143" s="229"/>
    </row>
  </sheetData>
  <sheetProtection algorithmName="SHA-512" hashValue="lNPh7+4WJUadprrYa6QB0jCe9FqgiwehS581yH7kPWgymDB+XXIylg90xJd4bY8aGYOMbbuQhZcUds1VmX7dWQ==" saltValue="gSbTyI9ipHAYbqH42OTvhw==" spinCount="100000" sheet="1" objects="1" scenarios="1"/>
  <protectedRanges>
    <protectedRange sqref="E11:E13 E15 E17 E19:E20 E57:F57 H122 E72:J73 F33 G30:G34 E30:F32 E34:F34 G38 L72:Q73 G95:H95 F35:F37 E27:G29 L78:Q79 I60:J67 E78:J79 E55:E56 F55 E50:G54 G55:G56 H57 D50:D57 F109:L120 F97:L107 L84:Q86" name="Range1"/>
  </protectedRanges>
  <mergeCells count="1">
    <mergeCell ref="H29:X29"/>
  </mergeCells>
  <phoneticPr fontId="43" type="noConversion"/>
  <conditionalFormatting sqref="G12:G14">
    <cfRule type="cellIs" dxfId="0" priority="1" operator="equal">
      <formula>0</formula>
    </cfRule>
  </conditionalFormatting>
  <dataValidations disablePrompts="1" count="1">
    <dataValidation type="list" allowBlank="1" showInputMessage="1" showErrorMessage="1" sqref="E11" xr:uid="{A1309421-97D1-407A-BD55-015169719BCD}">
      <formula1>ORGTYPE</formula1>
    </dataValidation>
  </dataValidations>
  <hyperlinks>
    <hyperlink ref="C133" r:id="rId1" display="Office for National Statistics Population Estimates, England and Wales: mid-2022" xr:uid="{E5307553-7A6C-4E4A-A884-E27CF8AE4772}"/>
    <hyperlink ref="C134" r:id="rId2" xr:uid="{7973B0A5-0DDC-4D6E-A615-7910C6E2CF4A}"/>
    <hyperlink ref="C139" r:id="rId3" xr:uid="{EDC70E40-643A-4353-80EE-8CAA529E12F0}"/>
    <hyperlink ref="H27" r:id="rId4" xr:uid="{CD6A2FFC-1BB4-433C-BEE7-0C8384B77117}"/>
    <hyperlink ref="K63" r:id="rId5" xr:uid="{5279F6A6-E140-456A-AB94-39A63E9F884D}"/>
    <hyperlink ref="K64" r:id="rId6" xr:uid="{65CEC0E0-DFA0-4951-9C4B-0EC10D5A4794}"/>
    <hyperlink ref="K65" r:id="rId7" xr:uid="{265A54E8-E124-4A15-835C-D9AB6693CEC9}"/>
    <hyperlink ref="H31" r:id="rId8" xr:uid="{1F111202-0851-4DFA-BCE7-5F1B07317B78}"/>
    <hyperlink ref="F56" r:id="rId9" location=":~:text=The%20SORMAIN%20trial%20addressed%20whether%20a%20maintenance%20therapy,in%20high%20risk%20FLT3%20-ITD%E2%80%93positive%20AML.%20Knowledge%20Generated" xr:uid="{B5D4B552-7BCF-44E8-A68E-AD6DC303BCC1}"/>
    <hyperlink ref="K67" r:id="rId10" xr:uid="{61BB4353-5F89-4229-A084-8F85A4AC4067}"/>
    <hyperlink ref="H29:X29" r:id="rId11" display="p.33 of committee papers for TA523 (85% receiving systemic treatment x 75% of these receiving intensive chemo)" xr:uid="{C173DDB3-0A63-4FD3-8D39-8E6261837843}"/>
    <hyperlink ref="H28" r:id="rId12" display="https://pubmed.ncbi.nlm.nih.gov/11535508/" xr:uid="{228A013A-89D9-4E5B-A078-D58304E383B2}"/>
    <hyperlink ref="H90" r:id="rId13" xr:uid="{D9650632-3616-456B-9AEE-7AC00A3810A3}"/>
  </hyperlinks>
  <pageMargins left="0.7" right="0.7" top="0.75" bottom="0.75" header="0.3" footer="0.3"/>
  <pageSetup paperSize="9" scale="49" orientation="portrait" r:id="rId14"/>
  <rowBreaks count="1" manualBreakCount="1">
    <brk id="69" max="12" man="1"/>
  </rowBreaks>
  <drawing r:id="rId15"/>
  <legacyDrawing r:id="rId16"/>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Please select yes or no" xr:uid="{39366EE1-C007-48FC-9822-34A2EDD2FCE5}">
          <x14:formula1>
            <xm:f>'Population selection'!$R$6:$R$7</xm:f>
          </x14:formula1>
          <xm:sqref>E15 F33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M100 M108 M102:M106 M114 M112 M110 M116 M118 M120 M98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BI179"/>
  <sheetViews>
    <sheetView showGridLines="0" zoomScale="80" zoomScaleNormal="80" workbookViewId="0"/>
  </sheetViews>
  <sheetFormatPr defaultColWidth="9.21875" defaultRowHeight="13.2" x14ac:dyDescent="0.25"/>
  <cols>
    <col min="1" max="1" width="3.5546875" style="3" customWidth="1"/>
    <col min="2" max="2" width="96.33203125" style="3" customWidth="1"/>
    <col min="3" max="3" width="29.77734375" style="3" bestFit="1" customWidth="1"/>
    <col min="4" max="4" width="11.77734375" style="3" customWidth="1"/>
    <col min="5" max="5" width="11.33203125" style="3" customWidth="1"/>
    <col min="6" max="6" width="10.77734375" style="3" customWidth="1"/>
    <col min="7" max="7" width="10.33203125" style="3" bestFit="1" customWidth="1"/>
    <col min="8" max="8" width="14.5546875" style="3" customWidth="1"/>
    <col min="9" max="9" width="12.5546875" style="3" customWidth="1"/>
    <col min="10" max="10" width="11.33203125" style="3" customWidth="1"/>
    <col min="11" max="12" width="10.5546875" style="3" customWidth="1"/>
    <col min="13" max="13" width="12.5546875" style="3" customWidth="1"/>
    <col min="14" max="16" width="12.33203125" style="3" customWidth="1"/>
    <col min="17" max="17" width="16.33203125" style="3" customWidth="1"/>
    <col min="18" max="19" width="12.21875" style="3" customWidth="1"/>
    <col min="20" max="20" width="3.33203125" style="3" customWidth="1"/>
    <col min="21" max="21" width="9.33203125" style="3" customWidth="1"/>
    <col min="22" max="16384" width="9.21875" style="3"/>
  </cols>
  <sheetData>
    <row r="1" spans="1:23" ht="30" customHeight="1" x14ac:dyDescent="0.4">
      <c r="A1" s="192"/>
      <c r="B1" s="529" t="str">
        <f>'Inputs and eligible population'!B1</f>
        <v>Quizartinib for induction, consolidation and maintenance treatment of newly diagnosed FLT3‑ITD‑positive acute myeloid leukaemia</v>
      </c>
      <c r="C1" s="147"/>
      <c r="D1" s="131"/>
      <c r="E1" s="131"/>
      <c r="F1" s="131"/>
      <c r="G1" s="131"/>
      <c r="H1" s="131"/>
      <c r="I1" s="131"/>
      <c r="J1" s="131" t="s">
        <v>742</v>
      </c>
      <c r="K1" s="131" t="s">
        <v>742</v>
      </c>
      <c r="L1" s="131" t="s">
        <v>742</v>
      </c>
      <c r="M1" s="131" t="s">
        <v>742</v>
      </c>
      <c r="N1" s="153"/>
      <c r="O1" s="153"/>
      <c r="P1" s="153"/>
      <c r="Q1" s="192"/>
      <c r="R1" s="192"/>
      <c r="S1" s="192"/>
      <c r="T1" s="192"/>
      <c r="U1" s="153"/>
    </row>
    <row r="2" spans="1:23" ht="26.25" customHeight="1" x14ac:dyDescent="0.4">
      <c r="A2" s="192"/>
      <c r="B2" s="145" t="s">
        <v>42</v>
      </c>
      <c r="C2" s="146" t="s">
        <v>742</v>
      </c>
      <c r="D2" s="131" t="s">
        <v>742</v>
      </c>
      <c r="E2" s="131" t="s">
        <v>742</v>
      </c>
      <c r="F2" s="131" t="s">
        <v>742</v>
      </c>
      <c r="G2" s="131" t="s">
        <v>742</v>
      </c>
      <c r="H2" s="131" t="s">
        <v>742</v>
      </c>
      <c r="I2" s="131" t="s">
        <v>742</v>
      </c>
      <c r="J2" s="131" t="s">
        <v>742</v>
      </c>
      <c r="K2" s="132" t="s">
        <v>742</v>
      </c>
      <c r="L2" s="132"/>
      <c r="M2" s="132"/>
      <c r="N2" s="132"/>
      <c r="O2" s="132"/>
      <c r="P2" s="132"/>
      <c r="Q2" s="192"/>
      <c r="R2" s="192"/>
      <c r="S2" s="192"/>
      <c r="T2" s="192"/>
      <c r="U2" s="153"/>
    </row>
    <row r="3" spans="1:23" ht="14.55" customHeight="1" x14ac:dyDescent="0.4">
      <c r="A3" s="192"/>
      <c r="B3" s="129"/>
      <c r="C3" s="147"/>
      <c r="D3" s="131"/>
      <c r="E3" s="131"/>
      <c r="F3" s="131"/>
      <c r="G3" s="131" t="s">
        <v>742</v>
      </c>
      <c r="H3" s="131" t="s">
        <v>742</v>
      </c>
      <c r="I3" s="131" t="s">
        <v>742</v>
      </c>
      <c r="J3" s="131" t="s">
        <v>742</v>
      </c>
      <c r="K3" s="132" t="s">
        <v>742</v>
      </c>
      <c r="L3" s="132"/>
      <c r="M3" s="132"/>
      <c r="N3" s="132"/>
      <c r="O3" s="132"/>
      <c r="P3" s="132"/>
      <c r="Q3" s="192"/>
      <c r="R3" s="192"/>
      <c r="S3" s="192"/>
      <c r="T3" s="192"/>
      <c r="U3" s="153"/>
    </row>
    <row r="4" spans="1:23" ht="14.55" customHeight="1" x14ac:dyDescent="0.4">
      <c r="A4" s="192"/>
      <c r="B4" t="s">
        <v>743</v>
      </c>
      <c r="C4" s="147"/>
      <c r="D4" s="131"/>
      <c r="E4" s="131"/>
      <c r="F4" s="131"/>
      <c r="G4" s="131" t="s">
        <v>742</v>
      </c>
      <c r="H4" s="131" t="s">
        <v>742</v>
      </c>
      <c r="I4" s="131" t="s">
        <v>742</v>
      </c>
      <c r="J4" s="131" t="s">
        <v>742</v>
      </c>
      <c r="K4" s="132" t="s">
        <v>742</v>
      </c>
      <c r="L4" s="131"/>
      <c r="M4" s="132"/>
      <c r="N4" s="132"/>
      <c r="O4" s="132"/>
      <c r="P4" s="132"/>
      <c r="Q4" s="132"/>
      <c r="R4" s="132"/>
      <c r="S4" s="132"/>
      <c r="T4" s="132"/>
      <c r="U4" s="153"/>
    </row>
    <row r="5" spans="1:23" ht="14.55" customHeight="1" x14ac:dyDescent="0.4">
      <c r="A5" s="192"/>
      <c r="B5" t="s">
        <v>659</v>
      </c>
      <c r="C5" s="147"/>
      <c r="D5" s="131"/>
      <c r="E5" s="131"/>
      <c r="F5" s="131"/>
      <c r="G5" s="131"/>
      <c r="H5" s="131" t="s">
        <v>742</v>
      </c>
      <c r="I5" s="131" t="s">
        <v>742</v>
      </c>
      <c r="J5" s="131" t="s">
        <v>742</v>
      </c>
      <c r="K5" s="132" t="s">
        <v>742</v>
      </c>
      <c r="L5" s="131"/>
      <c r="M5" s="132"/>
      <c r="N5" s="132"/>
      <c r="O5" s="132"/>
      <c r="P5" s="132"/>
      <c r="Q5" s="132"/>
      <c r="R5" s="132"/>
      <c r="S5" s="132"/>
      <c r="T5" s="132"/>
      <c r="U5" s="153"/>
    </row>
    <row r="6" spans="1:23" ht="14.55" customHeight="1" thickBot="1" x14ac:dyDescent="0.45">
      <c r="A6" s="192"/>
      <c r="B6"/>
      <c r="C6" s="147"/>
      <c r="D6" s="131"/>
      <c r="E6" s="131"/>
      <c r="F6" s="131"/>
      <c r="G6" s="131"/>
      <c r="H6" s="131"/>
      <c r="I6" s="131"/>
      <c r="J6" s="131"/>
      <c r="K6" s="132"/>
      <c r="L6" s="131"/>
      <c r="M6" s="132"/>
      <c r="N6" s="132"/>
      <c r="O6" s="132"/>
      <c r="P6" s="132"/>
      <c r="Q6" s="132"/>
      <c r="R6" s="132"/>
      <c r="S6" s="132"/>
      <c r="T6" s="132"/>
      <c r="U6" s="153"/>
    </row>
    <row r="7" spans="1:23" s="244" customFormat="1" ht="14.4" x14ac:dyDescent="0.3">
      <c r="A7" s="246"/>
      <c r="B7" s="242" t="s">
        <v>1009</v>
      </c>
      <c r="C7" s="246"/>
      <c r="D7" s="651" t="s">
        <v>744</v>
      </c>
      <c r="E7" s="652"/>
      <c r="F7" s="652"/>
      <c r="G7" s="652"/>
      <c r="H7" s="653"/>
      <c r="I7" s="651" t="s">
        <v>745</v>
      </c>
      <c r="J7" s="652"/>
      <c r="K7" s="652"/>
      <c r="L7" s="652"/>
      <c r="M7" s="652"/>
      <c r="N7" s="652"/>
      <c r="O7" s="652"/>
      <c r="P7" s="652"/>
      <c r="Q7" s="652"/>
      <c r="R7" s="652"/>
      <c r="S7" s="653"/>
      <c r="T7" s="246"/>
      <c r="U7" s="802"/>
      <c r="W7" s="3"/>
    </row>
    <row r="8" spans="1:23" s="244" customFormat="1" ht="73.8" customHeight="1" x14ac:dyDescent="0.3">
      <c r="A8" s="246"/>
      <c r="B8" s="245" t="s">
        <v>746</v>
      </c>
      <c r="C8" s="247" t="s">
        <v>747</v>
      </c>
      <c r="D8" s="654" t="s">
        <v>748</v>
      </c>
      <c r="E8" s="248" t="s">
        <v>749</v>
      </c>
      <c r="F8" s="248" t="s">
        <v>750</v>
      </c>
      <c r="G8" s="248" t="s">
        <v>751</v>
      </c>
      <c r="H8" s="655" t="s">
        <v>752</v>
      </c>
      <c r="I8" s="665" t="s">
        <v>753</v>
      </c>
      <c r="J8" s="245" t="s">
        <v>754</v>
      </c>
      <c r="K8" s="248" t="s">
        <v>1018</v>
      </c>
      <c r="L8" s="248" t="s">
        <v>755</v>
      </c>
      <c r="M8" s="248" t="s">
        <v>1010</v>
      </c>
      <c r="N8" s="248" t="s">
        <v>756</v>
      </c>
      <c r="O8" s="662" t="s">
        <v>757</v>
      </c>
      <c r="P8" s="662" t="s">
        <v>758</v>
      </c>
      <c r="Q8" s="247" t="s">
        <v>759</v>
      </c>
      <c r="R8" s="245" t="s">
        <v>760</v>
      </c>
      <c r="S8" s="655" t="s">
        <v>1043</v>
      </c>
      <c r="T8" s="246"/>
      <c r="U8" s="802"/>
      <c r="W8" s="3"/>
    </row>
    <row r="9" spans="1:23" s="244" customFormat="1" ht="14.4" x14ac:dyDescent="0.3">
      <c r="A9" s="246"/>
      <c r="B9" s="625" t="s">
        <v>1012</v>
      </c>
      <c r="C9" s="649" t="s">
        <v>996</v>
      </c>
      <c r="D9" s="656" t="s">
        <v>1007</v>
      </c>
      <c r="E9" s="626" t="s">
        <v>1008</v>
      </c>
      <c r="F9" s="755">
        <v>17.7</v>
      </c>
      <c r="G9" s="627">
        <v>28</v>
      </c>
      <c r="H9" s="657">
        <f>G9*F9</f>
        <v>495.59999999999997</v>
      </c>
      <c r="I9" s="756">
        <v>35.4</v>
      </c>
      <c r="J9" s="628" t="s">
        <v>762</v>
      </c>
      <c r="K9" s="628" t="s">
        <v>762</v>
      </c>
      <c r="L9" s="755">
        <f>I9</f>
        <v>35.4</v>
      </c>
      <c r="M9" s="625">
        <v>14</v>
      </c>
      <c r="N9" s="632">
        <f>'Inputs and eligible population'!E50</f>
        <v>0</v>
      </c>
      <c r="O9" s="778">
        <f>N9*M9*L9</f>
        <v>0</v>
      </c>
      <c r="P9" s="632">
        <f>O9/H9</f>
        <v>0</v>
      </c>
      <c r="Q9" s="629">
        <f>'Inputs and eligible population'!I60</f>
        <v>0</v>
      </c>
      <c r="R9" s="630">
        <f>'Inputs and eligible population'!J60</f>
        <v>0.2</v>
      </c>
      <c r="S9" s="667">
        <f>P9*Q9*(100%+R9)</f>
        <v>0</v>
      </c>
      <c r="T9" s="246"/>
      <c r="U9" s="802"/>
      <c r="W9" s="3"/>
    </row>
    <row r="10" spans="1:23" s="244" customFormat="1" ht="14.4" x14ac:dyDescent="0.3">
      <c r="A10" s="246"/>
      <c r="B10" s="625" t="s">
        <v>1015</v>
      </c>
      <c r="C10" s="649" t="s">
        <v>959</v>
      </c>
      <c r="D10" s="656" t="s">
        <v>761</v>
      </c>
      <c r="E10" s="626" t="s">
        <v>1011</v>
      </c>
      <c r="F10" s="627">
        <v>100</v>
      </c>
      <c r="G10" s="627">
        <v>5</v>
      </c>
      <c r="H10" s="657">
        <f>F10*G10</f>
        <v>500</v>
      </c>
      <c r="I10" s="666">
        <v>100</v>
      </c>
      <c r="J10" s="628">
        <v>1.8</v>
      </c>
      <c r="K10" s="628" t="s">
        <v>762</v>
      </c>
      <c r="L10" s="755">
        <f>I10*J10</f>
        <v>180</v>
      </c>
      <c r="M10" s="625">
        <v>7</v>
      </c>
      <c r="N10" s="632">
        <f>'Inputs and eligible population'!E50</f>
        <v>0</v>
      </c>
      <c r="O10" s="778">
        <f>ROUNDUP(N10*M10*L10,-2)</f>
        <v>0</v>
      </c>
      <c r="P10" s="632">
        <f>O10/H10</f>
        <v>0</v>
      </c>
      <c r="Q10" s="629">
        <f>'Inputs and eligible population'!I63</f>
        <v>13.76</v>
      </c>
      <c r="R10" s="630">
        <f>'Inputs and eligible population'!J63</f>
        <v>0.2</v>
      </c>
      <c r="S10" s="667">
        <f>P10*Q10*(100%+R10)</f>
        <v>0</v>
      </c>
      <c r="T10" s="246"/>
      <c r="U10" s="802"/>
      <c r="W10" s="3"/>
    </row>
    <row r="11" spans="1:23" s="244" customFormat="1" ht="14.4" x14ac:dyDescent="0.3">
      <c r="A11" s="246"/>
      <c r="B11" s="625" t="s">
        <v>1016</v>
      </c>
      <c r="C11" s="649" t="s">
        <v>960</v>
      </c>
      <c r="D11" s="757" t="s">
        <v>761</v>
      </c>
      <c r="E11" s="758" t="s">
        <v>1008</v>
      </c>
      <c r="F11" s="759">
        <v>20</v>
      </c>
      <c r="G11" s="759">
        <v>10</v>
      </c>
      <c r="H11" s="760">
        <f>F11*G11</f>
        <v>200</v>
      </c>
      <c r="I11" s="761">
        <v>60</v>
      </c>
      <c r="J11" s="762">
        <f>J10</f>
        <v>1.8</v>
      </c>
      <c r="K11" s="762" t="s">
        <v>762</v>
      </c>
      <c r="L11" s="755">
        <f>CEILING(I11*J11,20)</f>
        <v>120</v>
      </c>
      <c r="M11" s="763">
        <v>3</v>
      </c>
      <c r="N11" s="799">
        <f>'Inputs and eligible population'!E50</f>
        <v>0</v>
      </c>
      <c r="O11" s="778">
        <f>N11*M11*L11</f>
        <v>0</v>
      </c>
      <c r="P11" s="632">
        <f>O11/H11</f>
        <v>0</v>
      </c>
      <c r="Q11" s="764">
        <f>'Inputs and eligible population'!I65</f>
        <v>715</v>
      </c>
      <c r="R11" s="765">
        <f>'Inputs and eligible population'!J65</f>
        <v>0.2</v>
      </c>
      <c r="S11" s="667">
        <f>P11*Q11*(100%+R11)</f>
        <v>0</v>
      </c>
      <c r="T11" s="246"/>
      <c r="U11" s="802"/>
      <c r="W11" s="3"/>
    </row>
    <row r="12" spans="1:23" s="244" customFormat="1" ht="15" thickBot="1" x14ac:dyDescent="0.35">
      <c r="A12" s="246"/>
      <c r="B12" s="625"/>
      <c r="C12" s="649" t="s">
        <v>763</v>
      </c>
      <c r="D12" s="658"/>
      <c r="E12" s="659"/>
      <c r="F12" s="660"/>
      <c r="G12" s="660"/>
      <c r="H12" s="661"/>
      <c r="I12" s="668"/>
      <c r="J12" s="669"/>
      <c r="K12" s="669"/>
      <c r="L12" s="771"/>
      <c r="M12" s="670"/>
      <c r="N12" s="800"/>
      <c r="O12" s="779"/>
      <c r="P12" s="680"/>
      <c r="Q12" s="672"/>
      <c r="R12" s="673"/>
      <c r="S12" s="674"/>
      <c r="T12" s="246"/>
      <c r="U12" s="802"/>
      <c r="W12" s="3"/>
    </row>
    <row r="13" spans="1:23" s="244" customFormat="1" ht="14.4" x14ac:dyDescent="0.3">
      <c r="A13" s="246"/>
      <c r="B13" s="648"/>
      <c r="C13" s="249" t="s">
        <v>764</v>
      </c>
      <c r="D13" s="650"/>
      <c r="E13" s="650"/>
      <c r="F13" s="650"/>
      <c r="G13" s="650"/>
      <c r="H13" s="650"/>
      <c r="I13" s="650"/>
      <c r="J13" s="650"/>
      <c r="K13" s="650"/>
      <c r="L13" s="772"/>
      <c r="M13" s="650"/>
      <c r="N13" s="775"/>
      <c r="O13" s="780"/>
      <c r="P13" s="775"/>
      <c r="Q13" s="650"/>
      <c r="R13" s="664"/>
      <c r="S13" s="904">
        <f>SUM(S9:S12)</f>
        <v>0</v>
      </c>
      <c r="T13" s="246"/>
      <c r="U13" s="802"/>
      <c r="W13" s="3"/>
    </row>
    <row r="14" spans="1:23" s="244" customFormat="1" ht="14.4" x14ac:dyDescent="0.3">
      <c r="A14" s="246"/>
      <c r="B14" s="246"/>
      <c r="C14" s="246"/>
      <c r="D14" s="246"/>
      <c r="E14" s="246"/>
      <c r="F14" s="246"/>
      <c r="G14" s="246"/>
      <c r="H14" s="246"/>
      <c r="I14" s="246"/>
      <c r="J14" s="246"/>
      <c r="K14" s="246"/>
      <c r="L14" s="773"/>
      <c r="M14" s="246"/>
      <c r="N14" s="776"/>
      <c r="O14" s="781"/>
      <c r="P14" s="776"/>
      <c r="Q14" s="246"/>
      <c r="R14" s="246"/>
      <c r="S14" s="768"/>
      <c r="T14" s="246"/>
      <c r="U14" s="802"/>
      <c r="W14" s="3"/>
    </row>
    <row r="15" spans="1:23" s="244" customFormat="1" ht="14.4" x14ac:dyDescent="0.3">
      <c r="A15" s="246"/>
      <c r="B15" s="246"/>
      <c r="C15" s="246"/>
      <c r="D15" s="246"/>
      <c r="E15" s="246"/>
      <c r="F15" s="246"/>
      <c r="G15" s="246"/>
      <c r="H15" s="246"/>
      <c r="I15" s="246"/>
      <c r="J15" s="246"/>
      <c r="K15" s="246"/>
      <c r="L15" s="773"/>
      <c r="M15" s="246"/>
      <c r="N15" s="776"/>
      <c r="O15" s="781"/>
      <c r="P15" s="776"/>
      <c r="Q15" s="246"/>
      <c r="R15" s="246"/>
      <c r="S15" s="768"/>
      <c r="T15" s="246"/>
      <c r="U15" s="802"/>
      <c r="W15" s="3"/>
    </row>
    <row r="16" spans="1:23" s="244" customFormat="1" ht="15" thickBot="1" x14ac:dyDescent="0.35">
      <c r="A16" s="246"/>
      <c r="B16" s="242"/>
      <c r="C16" s="246"/>
      <c r="D16" s="246"/>
      <c r="E16" s="246"/>
      <c r="F16" s="246"/>
      <c r="G16" s="246"/>
      <c r="H16" s="246"/>
      <c r="I16" s="246"/>
      <c r="J16" s="246"/>
      <c r="K16" s="246"/>
      <c r="L16" s="773"/>
      <c r="M16" s="246"/>
      <c r="N16" s="776"/>
      <c r="O16" s="781"/>
      <c r="P16" s="776"/>
      <c r="Q16" s="246"/>
      <c r="R16" s="246"/>
      <c r="S16" s="646"/>
      <c r="T16" s="246"/>
      <c r="U16" s="802"/>
      <c r="W16" s="3"/>
    </row>
    <row r="17" spans="1:23" s="244" customFormat="1" ht="14.4" x14ac:dyDescent="0.3">
      <c r="A17" s="246"/>
      <c r="B17" s="242" t="s">
        <v>1017</v>
      </c>
      <c r="C17" s="246"/>
      <c r="D17" s="651" t="s">
        <v>744</v>
      </c>
      <c r="E17" s="652"/>
      <c r="F17" s="652"/>
      <c r="G17" s="652"/>
      <c r="H17" s="653"/>
      <c r="I17" s="651" t="s">
        <v>745</v>
      </c>
      <c r="J17" s="676"/>
      <c r="K17" s="676"/>
      <c r="L17" s="774"/>
      <c r="M17" s="676"/>
      <c r="N17" s="777"/>
      <c r="O17" s="782"/>
      <c r="P17" s="777"/>
      <c r="Q17" s="676"/>
      <c r="R17" s="676"/>
      <c r="S17" s="677"/>
      <c r="T17" s="246"/>
      <c r="U17" s="802"/>
      <c r="W17" s="3"/>
    </row>
    <row r="18" spans="1:23" s="244" customFormat="1" ht="14.4" x14ac:dyDescent="0.3">
      <c r="A18" s="246"/>
      <c r="B18" s="625" t="s">
        <v>1013</v>
      </c>
      <c r="C18" s="649" t="s">
        <v>996</v>
      </c>
      <c r="D18" s="656" t="s">
        <v>1007</v>
      </c>
      <c r="E18" s="626" t="s">
        <v>1008</v>
      </c>
      <c r="F18" s="755">
        <v>17.7</v>
      </c>
      <c r="G18" s="627">
        <v>28</v>
      </c>
      <c r="H18" s="657">
        <f>G18*F18</f>
        <v>495.59999999999997</v>
      </c>
      <c r="I18" s="666">
        <v>35.4</v>
      </c>
      <c r="J18" s="628" t="s">
        <v>762</v>
      </c>
      <c r="K18" s="628" t="s">
        <v>762</v>
      </c>
      <c r="L18" s="755">
        <f>I18</f>
        <v>35.4</v>
      </c>
      <c r="M18" s="625">
        <v>14</v>
      </c>
      <c r="N18" s="632">
        <f>'Inputs and eligible population'!E51</f>
        <v>0</v>
      </c>
      <c r="O18" s="778">
        <f>N18*M18*L18</f>
        <v>0</v>
      </c>
      <c r="P18" s="632">
        <f>O18/H18</f>
        <v>0</v>
      </c>
      <c r="Q18" s="629">
        <f>'Inputs and eligible population'!I60</f>
        <v>0</v>
      </c>
      <c r="R18" s="630">
        <f>'Inputs and eligible population'!J62</f>
        <v>0.2</v>
      </c>
      <c r="S18" s="667">
        <f>P18*Q18*(100%+R18)</f>
        <v>0</v>
      </c>
      <c r="T18" s="246"/>
      <c r="U18" s="802"/>
      <c r="W18" s="3"/>
    </row>
    <row r="19" spans="1:23" s="244" customFormat="1" ht="14.4" x14ac:dyDescent="0.3">
      <c r="A19" s="246"/>
      <c r="B19" s="625" t="s">
        <v>1014</v>
      </c>
      <c r="C19" s="649" t="s">
        <v>959</v>
      </c>
      <c r="D19" s="656" t="s">
        <v>761</v>
      </c>
      <c r="E19" s="626" t="s">
        <v>1011</v>
      </c>
      <c r="F19" s="627">
        <v>2000</v>
      </c>
      <c r="G19" s="627">
        <v>1</v>
      </c>
      <c r="H19" s="657">
        <f>F19*G19</f>
        <v>2000</v>
      </c>
      <c r="I19" s="666">
        <v>3000</v>
      </c>
      <c r="J19" s="628">
        <f>J10</f>
        <v>1.8</v>
      </c>
      <c r="K19" s="628" t="s">
        <v>762</v>
      </c>
      <c r="L19" s="755">
        <f>CEILING(I19*J19,2000)</f>
        <v>6000</v>
      </c>
      <c r="M19" s="625">
        <v>6</v>
      </c>
      <c r="N19" s="632">
        <f>'Inputs and eligible population'!E51</f>
        <v>0</v>
      </c>
      <c r="O19" s="778">
        <f>N19*M19*L19</f>
        <v>0</v>
      </c>
      <c r="P19" s="663">
        <f>O19/H19</f>
        <v>0</v>
      </c>
      <c r="Q19" s="629">
        <f>'Inputs and eligible population'!I64</f>
        <v>8.5</v>
      </c>
      <c r="R19" s="630">
        <f>'Inputs and eligible population'!J64</f>
        <v>0.2</v>
      </c>
      <c r="S19" s="667">
        <f>P19*Q19*(100%+R19)</f>
        <v>0</v>
      </c>
      <c r="T19" s="246"/>
      <c r="U19" s="802"/>
      <c r="W19" s="3"/>
    </row>
    <row r="20" spans="1:23" s="244" customFormat="1" ht="15" thickBot="1" x14ac:dyDescent="0.35">
      <c r="A20" s="246"/>
      <c r="B20" s="625"/>
      <c r="C20" s="649" t="s">
        <v>763</v>
      </c>
      <c r="D20" s="658"/>
      <c r="E20" s="659"/>
      <c r="F20" s="660"/>
      <c r="G20" s="660"/>
      <c r="H20" s="661"/>
      <c r="I20" s="668"/>
      <c r="J20" s="669"/>
      <c r="K20" s="669"/>
      <c r="L20" s="771"/>
      <c r="M20" s="670"/>
      <c r="N20" s="678"/>
      <c r="O20" s="779"/>
      <c r="P20" s="680"/>
      <c r="Q20" s="672"/>
      <c r="R20" s="673"/>
      <c r="S20" s="674"/>
      <c r="T20" s="246"/>
      <c r="U20" s="802"/>
      <c r="W20" s="3"/>
    </row>
    <row r="21" spans="1:23" s="244" customFormat="1" ht="14.4" x14ac:dyDescent="0.3">
      <c r="A21" s="246"/>
      <c r="B21" s="648"/>
      <c r="C21" s="249" t="s">
        <v>764</v>
      </c>
      <c r="D21" s="650"/>
      <c r="E21" s="650"/>
      <c r="F21" s="650"/>
      <c r="G21" s="650"/>
      <c r="H21" s="650"/>
      <c r="I21" s="650"/>
      <c r="J21" s="650"/>
      <c r="K21" s="650"/>
      <c r="L21" s="772"/>
      <c r="M21" s="650"/>
      <c r="N21" s="675"/>
      <c r="O21" s="780"/>
      <c r="P21" s="775"/>
      <c r="Q21" s="650"/>
      <c r="R21" s="664"/>
      <c r="S21" s="904">
        <f>SUM(S18:S20)</f>
        <v>0</v>
      </c>
      <c r="T21" s="246"/>
      <c r="U21" s="802"/>
      <c r="W21" s="3"/>
    </row>
    <row r="22" spans="1:23" s="244" customFormat="1" ht="14.4" x14ac:dyDescent="0.3">
      <c r="A22" s="246"/>
      <c r="B22" s="246"/>
      <c r="C22" s="246"/>
      <c r="D22" s="246"/>
      <c r="E22" s="246"/>
      <c r="F22" s="246"/>
      <c r="G22" s="246"/>
      <c r="H22" s="246"/>
      <c r="I22" s="246"/>
      <c r="J22" s="246"/>
      <c r="K22" s="246"/>
      <c r="L22" s="773"/>
      <c r="M22" s="246"/>
      <c r="N22" s="605"/>
      <c r="O22" s="781"/>
      <c r="P22" s="776"/>
      <c r="Q22" s="246"/>
      <c r="R22" s="246"/>
      <c r="S22" s="768"/>
      <c r="T22" s="246"/>
      <c r="U22" s="802"/>
      <c r="W22" s="3"/>
    </row>
    <row r="23" spans="1:23" s="244" customFormat="1" ht="14.4" x14ac:dyDescent="0.3">
      <c r="A23" s="246"/>
      <c r="B23" s="246"/>
      <c r="C23" s="246"/>
      <c r="D23" s="246"/>
      <c r="E23" s="246"/>
      <c r="F23" s="246"/>
      <c r="G23" s="246"/>
      <c r="H23" s="246"/>
      <c r="I23" s="246"/>
      <c r="J23" s="246"/>
      <c r="K23" s="246"/>
      <c r="L23" s="773"/>
      <c r="M23" s="246"/>
      <c r="N23" s="605"/>
      <c r="O23" s="781"/>
      <c r="P23" s="776"/>
      <c r="Q23" s="246"/>
      <c r="R23" s="246"/>
      <c r="S23" s="768"/>
      <c r="T23" s="246"/>
      <c r="U23" s="802"/>
      <c r="W23" s="3"/>
    </row>
    <row r="24" spans="1:23" s="244" customFormat="1" ht="15" thickBot="1" x14ac:dyDescent="0.35">
      <c r="A24" s="246"/>
      <c r="B24" s="242"/>
      <c r="C24" s="246"/>
      <c r="D24" s="246"/>
      <c r="E24" s="246"/>
      <c r="F24" s="246"/>
      <c r="G24" s="246"/>
      <c r="H24" s="246"/>
      <c r="I24" s="246"/>
      <c r="J24" s="246"/>
      <c r="K24" s="246"/>
      <c r="L24" s="773"/>
      <c r="M24" s="246"/>
      <c r="N24" s="605"/>
      <c r="O24" s="781"/>
      <c r="P24" s="776"/>
      <c r="Q24" s="246"/>
      <c r="R24" s="246"/>
      <c r="S24" s="646"/>
      <c r="T24" s="246"/>
      <c r="U24" s="802"/>
      <c r="W24" s="3"/>
    </row>
    <row r="25" spans="1:23" s="244" customFormat="1" ht="14.4" x14ac:dyDescent="0.3">
      <c r="A25" s="246"/>
      <c r="B25" s="242" t="s">
        <v>1136</v>
      </c>
      <c r="C25" s="246"/>
      <c r="D25" s="651" t="s">
        <v>744</v>
      </c>
      <c r="E25" s="652"/>
      <c r="F25" s="652"/>
      <c r="G25" s="652"/>
      <c r="H25" s="653"/>
      <c r="I25" s="651" t="s">
        <v>745</v>
      </c>
      <c r="J25" s="676"/>
      <c r="K25" s="676"/>
      <c r="L25" s="774"/>
      <c r="M25" s="676"/>
      <c r="N25" s="679"/>
      <c r="O25" s="782"/>
      <c r="P25" s="777"/>
      <c r="Q25" s="676"/>
      <c r="R25" s="676"/>
      <c r="S25" s="677"/>
      <c r="T25" s="246"/>
      <c r="U25" s="802"/>
      <c r="W25" s="3"/>
    </row>
    <row r="26" spans="1:23" s="244" customFormat="1" ht="14.4" x14ac:dyDescent="0.3">
      <c r="A26" s="246"/>
      <c r="B26" s="625" t="s">
        <v>1019</v>
      </c>
      <c r="C26" s="649" t="s">
        <v>996</v>
      </c>
      <c r="D26" s="656" t="s">
        <v>1007</v>
      </c>
      <c r="E26" s="626" t="s">
        <v>1008</v>
      </c>
      <c r="F26" s="755">
        <v>26.5</v>
      </c>
      <c r="G26" s="627">
        <v>56</v>
      </c>
      <c r="H26" s="657">
        <f>F26*G26</f>
        <v>1484</v>
      </c>
      <c r="I26" s="756">
        <v>26.5</v>
      </c>
      <c r="J26" s="628" t="s">
        <v>762</v>
      </c>
      <c r="K26" s="770">
        <v>0.23300000000000001</v>
      </c>
      <c r="L26" s="755">
        <f>I26</f>
        <v>26.5</v>
      </c>
      <c r="M26" s="625">
        <v>28</v>
      </c>
      <c r="N26" s="769">
        <f>'Inputs and eligible population'!E52</f>
        <v>0</v>
      </c>
      <c r="O26" s="778">
        <f>N26*M26*L26</f>
        <v>0</v>
      </c>
      <c r="P26" s="632">
        <f>O26/H26</f>
        <v>0</v>
      </c>
      <c r="Q26" s="629">
        <f>'Inputs and eligible population'!I61</f>
        <v>0</v>
      </c>
      <c r="R26" s="630">
        <f>'Inputs and eligible population'!J63</f>
        <v>0.2</v>
      </c>
      <c r="S26" s="667">
        <f>P26*Q26*(100%+R26)*K26</f>
        <v>0</v>
      </c>
      <c r="T26" s="246"/>
      <c r="U26" s="802"/>
      <c r="W26" s="3"/>
    </row>
    <row r="27" spans="1:23" s="244" customFormat="1" ht="14.4" x14ac:dyDescent="0.3">
      <c r="A27" s="246"/>
      <c r="B27" s="625" t="s">
        <v>1020</v>
      </c>
      <c r="C27" s="649" t="s">
        <v>996</v>
      </c>
      <c r="D27" s="656" t="s">
        <v>1007</v>
      </c>
      <c r="E27" s="626" t="s">
        <v>1008</v>
      </c>
      <c r="F27" s="755">
        <v>26.5</v>
      </c>
      <c r="G27" s="627">
        <v>56</v>
      </c>
      <c r="H27" s="657">
        <f>F27*G27</f>
        <v>1484</v>
      </c>
      <c r="I27" s="756">
        <f>((26.5*14)+(26.5*2*14))/28</f>
        <v>39.75</v>
      </c>
      <c r="J27" s="628" t="s">
        <v>762</v>
      </c>
      <c r="K27" s="770">
        <v>0.76700000000000002</v>
      </c>
      <c r="L27" s="755">
        <v>39.799999999999997</v>
      </c>
      <c r="M27" s="625">
        <v>28</v>
      </c>
      <c r="N27" s="769">
        <f>'Inputs and eligible population'!E52</f>
        <v>0</v>
      </c>
      <c r="O27" s="783">
        <f>L27*M27*N27</f>
        <v>0</v>
      </c>
      <c r="P27" s="632">
        <f>O27/H27</f>
        <v>0</v>
      </c>
      <c r="Q27" s="629">
        <f>'Inputs and eligible population'!I61</f>
        <v>0</v>
      </c>
      <c r="R27" s="630">
        <v>0.2</v>
      </c>
      <c r="S27" s="667">
        <f>P27*Q27*(100%+R27)*K27</f>
        <v>0</v>
      </c>
      <c r="T27" s="246"/>
      <c r="U27" s="802"/>
      <c r="W27" s="3"/>
    </row>
    <row r="28" spans="1:23" s="244" customFormat="1" ht="14.4" x14ac:dyDescent="0.3">
      <c r="A28" s="246"/>
      <c r="B28" s="625"/>
      <c r="C28" s="649" t="s">
        <v>763</v>
      </c>
      <c r="D28" s="656"/>
      <c r="E28" s="626"/>
      <c r="F28" s="627"/>
      <c r="G28" s="627"/>
      <c r="H28" s="657"/>
      <c r="I28" s="666"/>
      <c r="J28" s="628"/>
      <c r="K28" s="770"/>
      <c r="L28" s="755"/>
      <c r="M28" s="625"/>
      <c r="N28" s="631"/>
      <c r="O28" s="783"/>
      <c r="P28" s="649"/>
      <c r="Q28" s="629"/>
      <c r="R28" s="630"/>
      <c r="S28" s="667"/>
      <c r="T28" s="246"/>
      <c r="U28" s="802"/>
      <c r="W28" s="3"/>
    </row>
    <row r="29" spans="1:23" s="244" customFormat="1" ht="14.4" x14ac:dyDescent="0.3">
      <c r="A29" s="246"/>
      <c r="B29" s="648"/>
      <c r="C29" s="249" t="s">
        <v>764</v>
      </c>
      <c r="D29" s="650"/>
      <c r="E29" s="650"/>
      <c r="F29" s="650"/>
      <c r="G29" s="650"/>
      <c r="H29" s="650"/>
      <c r="I29" s="650"/>
      <c r="J29" s="650"/>
      <c r="K29" s="650"/>
      <c r="L29" s="650"/>
      <c r="M29" s="650"/>
      <c r="N29" s="650"/>
      <c r="O29" s="650"/>
      <c r="P29" s="650"/>
      <c r="Q29" s="650"/>
      <c r="R29" s="664"/>
      <c r="S29" s="904">
        <f>SUM(S26:S28)</f>
        <v>0</v>
      </c>
      <c r="T29" s="246"/>
      <c r="U29" s="802"/>
      <c r="W29" s="3"/>
    </row>
    <row r="30" spans="1:23" s="244" customFormat="1" ht="15" thickBot="1" x14ac:dyDescent="0.35">
      <c r="A30" s="246"/>
      <c r="B30" s="246"/>
      <c r="C30" s="246"/>
      <c r="D30" s="246"/>
      <c r="E30" s="246"/>
      <c r="F30" s="246"/>
      <c r="G30" s="246"/>
      <c r="H30" s="246"/>
      <c r="I30" s="246"/>
      <c r="J30" s="246"/>
      <c r="K30" s="246"/>
      <c r="L30" s="246"/>
      <c r="M30" s="246"/>
      <c r="N30" s="246"/>
      <c r="O30" s="246"/>
      <c r="P30" s="246"/>
      <c r="Q30" s="246"/>
      <c r="R30" s="246"/>
      <c r="S30" s="768"/>
      <c r="T30" s="246"/>
      <c r="U30" s="802"/>
      <c r="W30" s="3"/>
    </row>
    <row r="31" spans="1:23" s="244" customFormat="1" ht="14.4" x14ac:dyDescent="0.3">
      <c r="A31" s="246"/>
      <c r="B31" s="242" t="s">
        <v>1137</v>
      </c>
      <c r="C31" s="246"/>
      <c r="D31" s="651" t="s">
        <v>744</v>
      </c>
      <c r="E31" s="652"/>
      <c r="F31" s="652"/>
      <c r="G31" s="652"/>
      <c r="H31" s="653"/>
      <c r="I31" s="651" t="s">
        <v>745</v>
      </c>
      <c r="J31" s="676"/>
      <c r="K31" s="676"/>
      <c r="L31" s="774"/>
      <c r="M31" s="676"/>
      <c r="N31" s="679"/>
      <c r="O31" s="782"/>
      <c r="P31" s="777"/>
      <c r="Q31" s="676"/>
      <c r="R31" s="676"/>
      <c r="S31" s="677"/>
      <c r="T31" s="246"/>
      <c r="U31" s="802"/>
      <c r="W31" s="3"/>
    </row>
    <row r="32" spans="1:23" s="244" customFormat="1" ht="14.4" x14ac:dyDescent="0.3">
      <c r="A32" s="246"/>
      <c r="B32" s="625" t="s">
        <v>1019</v>
      </c>
      <c r="C32" s="649" t="s">
        <v>996</v>
      </c>
      <c r="D32" s="656" t="s">
        <v>1007</v>
      </c>
      <c r="E32" s="626" t="s">
        <v>1008</v>
      </c>
      <c r="F32" s="755">
        <v>26.5</v>
      </c>
      <c r="G32" s="627">
        <v>56</v>
      </c>
      <c r="H32" s="657">
        <f>F32*G32</f>
        <v>1484</v>
      </c>
      <c r="I32" s="756">
        <v>26.5</v>
      </c>
      <c r="J32" s="628" t="s">
        <v>762</v>
      </c>
      <c r="K32" s="770">
        <v>0.23300000000000001</v>
      </c>
      <c r="L32" s="755">
        <f>I32</f>
        <v>26.5</v>
      </c>
      <c r="M32" s="625">
        <v>28</v>
      </c>
      <c r="N32" s="769">
        <f>'Inputs and eligible population'!F52</f>
        <v>0</v>
      </c>
      <c r="O32" s="778">
        <f>N32*M32*L32</f>
        <v>0</v>
      </c>
      <c r="P32" s="632">
        <f>O32/H32</f>
        <v>0</v>
      </c>
      <c r="Q32" s="629">
        <f>'Inputs and eligible population'!I61</f>
        <v>0</v>
      </c>
      <c r="R32" s="630">
        <v>0.2</v>
      </c>
      <c r="S32" s="667">
        <f>P32*Q32*(100%+R32)*K32</f>
        <v>0</v>
      </c>
      <c r="T32" s="246"/>
      <c r="U32" s="802"/>
      <c r="W32" s="3"/>
    </row>
    <row r="33" spans="1:23" s="244" customFormat="1" ht="14.4" x14ac:dyDescent="0.3">
      <c r="A33" s="246"/>
      <c r="B33" s="625" t="s">
        <v>1020</v>
      </c>
      <c r="C33" s="649" t="s">
        <v>996</v>
      </c>
      <c r="D33" s="656" t="s">
        <v>1007</v>
      </c>
      <c r="E33" s="626" t="s">
        <v>1008</v>
      </c>
      <c r="F33" s="755">
        <v>26.5</v>
      </c>
      <c r="G33" s="627">
        <v>56</v>
      </c>
      <c r="H33" s="657">
        <f>F33*G33</f>
        <v>1484</v>
      </c>
      <c r="I33" s="756">
        <f>((26.5*14)+(26.5*2*14))/28</f>
        <v>39.75</v>
      </c>
      <c r="J33" s="628" t="s">
        <v>762</v>
      </c>
      <c r="K33" s="770">
        <v>0.76700000000000002</v>
      </c>
      <c r="L33" s="755">
        <v>39.799999999999997</v>
      </c>
      <c r="M33" s="625">
        <v>28</v>
      </c>
      <c r="N33" s="769">
        <f>'Inputs and eligible population'!F52</f>
        <v>0</v>
      </c>
      <c r="O33" s="783">
        <f>L33*M33*N33</f>
        <v>0</v>
      </c>
      <c r="P33" s="632">
        <f>O33/H33</f>
        <v>0</v>
      </c>
      <c r="Q33" s="629">
        <f>'Inputs and eligible population'!I61</f>
        <v>0</v>
      </c>
      <c r="R33" s="630">
        <v>0.2</v>
      </c>
      <c r="S33" s="667">
        <f>P33*Q33*(100%+R33)*K33</f>
        <v>0</v>
      </c>
      <c r="T33" s="246"/>
      <c r="U33" s="802"/>
      <c r="W33" s="3"/>
    </row>
    <row r="34" spans="1:23" s="244" customFormat="1" ht="14.4" x14ac:dyDescent="0.3">
      <c r="A34" s="246"/>
      <c r="B34" s="625"/>
      <c r="C34" s="649" t="s">
        <v>763</v>
      </c>
      <c r="D34" s="656"/>
      <c r="E34" s="626"/>
      <c r="F34" s="627"/>
      <c r="G34" s="627"/>
      <c r="H34" s="657"/>
      <c r="I34" s="666"/>
      <c r="J34" s="628"/>
      <c r="K34" s="770"/>
      <c r="L34" s="755"/>
      <c r="M34" s="625"/>
      <c r="N34" s="631"/>
      <c r="O34" s="783"/>
      <c r="P34" s="649"/>
      <c r="Q34" s="629"/>
      <c r="R34" s="630"/>
      <c r="S34" s="667"/>
      <c r="T34" s="246"/>
      <c r="U34" s="802"/>
      <c r="W34" s="3"/>
    </row>
    <row r="35" spans="1:23" s="244" customFormat="1" ht="14.4" x14ac:dyDescent="0.3">
      <c r="A35" s="246"/>
      <c r="B35" s="648"/>
      <c r="C35" s="249" t="s">
        <v>764</v>
      </c>
      <c r="D35" s="650"/>
      <c r="E35" s="650"/>
      <c r="F35" s="650"/>
      <c r="G35" s="650"/>
      <c r="H35" s="650"/>
      <c r="I35" s="650"/>
      <c r="J35" s="650"/>
      <c r="K35" s="650"/>
      <c r="L35" s="650"/>
      <c r="M35" s="650"/>
      <c r="N35" s="650"/>
      <c r="O35" s="650"/>
      <c r="P35" s="650"/>
      <c r="Q35" s="650"/>
      <c r="R35" s="664"/>
      <c r="S35" s="904">
        <f>SUM(S32:S34)</f>
        <v>0</v>
      </c>
      <c r="T35" s="246"/>
      <c r="U35" s="802"/>
      <c r="W35" s="3"/>
    </row>
    <row r="36" spans="1:23" s="244" customFormat="1" ht="15" thickBot="1" x14ac:dyDescent="0.35">
      <c r="A36" s="246"/>
      <c r="B36" s="246"/>
      <c r="C36" s="246"/>
      <c r="D36" s="246"/>
      <c r="E36" s="246"/>
      <c r="F36" s="246"/>
      <c r="G36" s="246"/>
      <c r="H36" s="246"/>
      <c r="I36" s="246"/>
      <c r="J36" s="246"/>
      <c r="K36" s="246"/>
      <c r="L36" s="246"/>
      <c r="M36" s="246"/>
      <c r="N36" s="246"/>
      <c r="O36" s="246"/>
      <c r="P36" s="246"/>
      <c r="Q36" s="246"/>
      <c r="R36" s="246"/>
      <c r="S36" s="768"/>
      <c r="T36" s="246"/>
      <c r="U36" s="802"/>
      <c r="W36" s="3"/>
    </row>
    <row r="37" spans="1:23" s="244" customFormat="1" ht="14.4" x14ac:dyDescent="0.3">
      <c r="A37" s="246"/>
      <c r="B37" s="242" t="s">
        <v>1138</v>
      </c>
      <c r="C37" s="246"/>
      <c r="D37" s="651" t="s">
        <v>744</v>
      </c>
      <c r="E37" s="652"/>
      <c r="F37" s="652"/>
      <c r="G37" s="652"/>
      <c r="H37" s="653"/>
      <c r="I37" s="651" t="s">
        <v>745</v>
      </c>
      <c r="J37" s="676"/>
      <c r="K37" s="676"/>
      <c r="L37" s="774"/>
      <c r="M37" s="676"/>
      <c r="N37" s="679"/>
      <c r="O37" s="782"/>
      <c r="P37" s="777"/>
      <c r="Q37" s="676"/>
      <c r="R37" s="676"/>
      <c r="S37" s="677"/>
      <c r="T37" s="246"/>
      <c r="U37" s="802"/>
      <c r="W37" s="3"/>
    </row>
    <row r="38" spans="1:23" s="244" customFormat="1" ht="14.4" x14ac:dyDescent="0.3">
      <c r="A38" s="246"/>
      <c r="B38" s="625" t="s">
        <v>1019</v>
      </c>
      <c r="C38" s="649" t="s">
        <v>996</v>
      </c>
      <c r="D38" s="656" t="s">
        <v>1007</v>
      </c>
      <c r="E38" s="626" t="s">
        <v>1008</v>
      </c>
      <c r="F38" s="755">
        <v>26.5</v>
      </c>
      <c r="G38" s="627">
        <v>56</v>
      </c>
      <c r="H38" s="657">
        <f>F38*G38</f>
        <v>1484</v>
      </c>
      <c r="I38" s="756">
        <v>26.5</v>
      </c>
      <c r="J38" s="628" t="s">
        <v>762</v>
      </c>
      <c r="K38" s="770">
        <v>0.23300000000000001</v>
      </c>
      <c r="L38" s="755">
        <f>I38</f>
        <v>26.5</v>
      </c>
      <c r="M38" s="625">
        <v>28</v>
      </c>
      <c r="N38" s="769">
        <f>'Inputs and eligible population'!G52</f>
        <v>0</v>
      </c>
      <c r="O38" s="778">
        <f>N38*M38*L38</f>
        <v>0</v>
      </c>
      <c r="P38" s="632">
        <f>O38/H38</f>
        <v>0</v>
      </c>
      <c r="Q38" s="629">
        <f>'Inputs and eligible population'!I61</f>
        <v>0</v>
      </c>
      <c r="R38" s="630">
        <v>0.2</v>
      </c>
      <c r="S38" s="667">
        <f>P38*Q38*(100%+R38)*K38</f>
        <v>0</v>
      </c>
      <c r="T38" s="246"/>
      <c r="U38" s="802"/>
      <c r="W38" s="3"/>
    </row>
    <row r="39" spans="1:23" s="244" customFormat="1" ht="14.4" x14ac:dyDescent="0.3">
      <c r="A39" s="246"/>
      <c r="B39" s="625" t="s">
        <v>1020</v>
      </c>
      <c r="C39" s="649" t="s">
        <v>996</v>
      </c>
      <c r="D39" s="656" t="s">
        <v>1007</v>
      </c>
      <c r="E39" s="626" t="s">
        <v>1008</v>
      </c>
      <c r="F39" s="755">
        <v>26.5</v>
      </c>
      <c r="G39" s="627">
        <v>56</v>
      </c>
      <c r="H39" s="657">
        <f>F39*G39</f>
        <v>1484</v>
      </c>
      <c r="I39" s="756">
        <f>((26.5*14)+(26.5*2*14))/28</f>
        <v>39.75</v>
      </c>
      <c r="J39" s="628" t="s">
        <v>762</v>
      </c>
      <c r="K39" s="770">
        <v>0.76700000000000002</v>
      </c>
      <c r="L39" s="755">
        <v>39.799999999999997</v>
      </c>
      <c r="M39" s="625">
        <v>28</v>
      </c>
      <c r="N39" s="769">
        <f>'Inputs and eligible population'!G52</f>
        <v>0</v>
      </c>
      <c r="O39" s="783">
        <f>L39*M39*N39</f>
        <v>0</v>
      </c>
      <c r="P39" s="632">
        <f>O39/H39</f>
        <v>0</v>
      </c>
      <c r="Q39" s="629">
        <f>'Inputs and eligible population'!I61</f>
        <v>0</v>
      </c>
      <c r="R39" s="630">
        <v>0.2</v>
      </c>
      <c r="S39" s="667">
        <f>P39*Q39*(100%+R39)*K39</f>
        <v>0</v>
      </c>
      <c r="T39" s="246"/>
      <c r="U39" s="802"/>
      <c r="W39" s="3"/>
    </row>
    <row r="40" spans="1:23" s="244" customFormat="1" ht="14.4" x14ac:dyDescent="0.3">
      <c r="A40" s="246"/>
      <c r="B40" s="625"/>
      <c r="C40" s="649" t="s">
        <v>763</v>
      </c>
      <c r="D40" s="656"/>
      <c r="E40" s="626"/>
      <c r="F40" s="627"/>
      <c r="G40" s="627"/>
      <c r="H40" s="657"/>
      <c r="I40" s="666"/>
      <c r="J40" s="628"/>
      <c r="K40" s="770"/>
      <c r="L40" s="755"/>
      <c r="M40" s="625"/>
      <c r="N40" s="631"/>
      <c r="O40" s="783"/>
      <c r="P40" s="649"/>
      <c r="Q40" s="629"/>
      <c r="R40" s="630"/>
      <c r="S40" s="667"/>
      <c r="T40" s="246"/>
      <c r="U40" s="802"/>
      <c r="W40" s="3"/>
    </row>
    <row r="41" spans="1:23" s="244" customFormat="1" ht="14.4" x14ac:dyDescent="0.3">
      <c r="A41" s="246"/>
      <c r="B41" s="648"/>
      <c r="C41" s="249" t="s">
        <v>764</v>
      </c>
      <c r="D41" s="650"/>
      <c r="E41" s="650"/>
      <c r="F41" s="650"/>
      <c r="G41" s="650"/>
      <c r="H41" s="650"/>
      <c r="I41" s="650"/>
      <c r="J41" s="650"/>
      <c r="K41" s="650"/>
      <c r="L41" s="650"/>
      <c r="M41" s="650"/>
      <c r="N41" s="650"/>
      <c r="O41" s="650"/>
      <c r="P41" s="650"/>
      <c r="Q41" s="650"/>
      <c r="R41" s="664"/>
      <c r="S41" s="904">
        <f>SUM(S38:S40)</f>
        <v>0</v>
      </c>
      <c r="T41" s="246"/>
      <c r="U41" s="802"/>
      <c r="W41" s="3"/>
    </row>
    <row r="42" spans="1:23" s="244" customFormat="1" ht="14.4" x14ac:dyDescent="0.3">
      <c r="A42" s="246"/>
      <c r="B42" s="246"/>
      <c r="C42" s="246"/>
      <c r="D42" s="246"/>
      <c r="E42" s="246"/>
      <c r="F42" s="246"/>
      <c r="G42" s="246"/>
      <c r="H42" s="246"/>
      <c r="I42" s="246"/>
      <c r="J42" s="246"/>
      <c r="K42" s="246"/>
      <c r="L42" s="246"/>
      <c r="M42" s="246"/>
      <c r="N42" s="246"/>
      <c r="O42" s="246"/>
      <c r="P42" s="246"/>
      <c r="Q42" s="246"/>
      <c r="R42" s="246"/>
      <c r="S42" s="768"/>
      <c r="T42" s="246"/>
      <c r="U42" s="802"/>
      <c r="W42" s="3"/>
    </row>
    <row r="43" spans="1:23" s="244" customFormat="1" ht="14.4" x14ac:dyDescent="0.3">
      <c r="A43" s="246"/>
      <c r="B43" s="246"/>
      <c r="C43" s="246"/>
      <c r="D43" s="246"/>
      <c r="E43" s="246"/>
      <c r="F43" s="246"/>
      <c r="G43" s="246"/>
      <c r="H43" s="246"/>
      <c r="I43" s="246"/>
      <c r="J43" s="246"/>
      <c r="K43" s="246"/>
      <c r="L43" s="246"/>
      <c r="M43" s="246"/>
      <c r="N43" s="246"/>
      <c r="O43" s="246"/>
      <c r="P43" s="246"/>
      <c r="Q43" s="246"/>
      <c r="R43" s="246"/>
      <c r="S43" s="768"/>
      <c r="T43" s="246"/>
      <c r="U43" s="802"/>
      <c r="W43" s="3"/>
    </row>
    <row r="44" spans="1:23" s="244" customFormat="1" ht="61.35" customHeight="1" thickBot="1" x14ac:dyDescent="0.35">
      <c r="A44" s="246"/>
      <c r="B44" s="246"/>
      <c r="C44" s="246"/>
      <c r="D44" s="246"/>
      <c r="E44" s="246"/>
      <c r="F44" s="246"/>
      <c r="G44" s="246"/>
      <c r="H44" s="246"/>
      <c r="I44" s="246"/>
      <c r="J44" s="246"/>
      <c r="K44" s="246"/>
      <c r="L44" s="246"/>
      <c r="M44" s="246"/>
      <c r="N44" s="246"/>
      <c r="O44" s="246"/>
      <c r="P44" s="246"/>
      <c r="Q44" s="246"/>
      <c r="R44" s="246"/>
      <c r="S44" s="768"/>
      <c r="T44" s="246"/>
      <c r="U44" s="802"/>
      <c r="W44" s="3"/>
    </row>
    <row r="45" spans="1:23" s="244" customFormat="1" ht="14.4" x14ac:dyDescent="0.3">
      <c r="A45" s="246"/>
      <c r="B45" s="242" t="s">
        <v>1021</v>
      </c>
      <c r="C45" s="246"/>
      <c r="D45" s="651" t="s">
        <v>744</v>
      </c>
      <c r="E45" s="652"/>
      <c r="F45" s="652"/>
      <c r="G45" s="652"/>
      <c r="H45" s="653"/>
      <c r="I45" s="651" t="s">
        <v>745</v>
      </c>
      <c r="J45" s="652"/>
      <c r="K45" s="652"/>
      <c r="L45" s="652"/>
      <c r="M45" s="652"/>
      <c r="N45" s="652"/>
      <c r="O45" s="652"/>
      <c r="P45" s="652"/>
      <c r="Q45" s="652"/>
      <c r="R45" s="652"/>
      <c r="S45" s="653"/>
      <c r="T45" s="246"/>
      <c r="U45" s="802"/>
      <c r="W45" s="3"/>
    </row>
    <row r="46" spans="1:23" s="244" customFormat="1" ht="85.05" customHeight="1" x14ac:dyDescent="0.3">
      <c r="A46" s="246"/>
      <c r="B46" s="245" t="s">
        <v>746</v>
      </c>
      <c r="C46" s="247" t="s">
        <v>747</v>
      </c>
      <c r="D46" s="654" t="s">
        <v>748</v>
      </c>
      <c r="E46" s="248" t="s">
        <v>749</v>
      </c>
      <c r="F46" s="248" t="s">
        <v>750</v>
      </c>
      <c r="G46" s="248" t="s">
        <v>751</v>
      </c>
      <c r="H46" s="655" t="s">
        <v>752</v>
      </c>
      <c r="I46" s="665" t="s">
        <v>753</v>
      </c>
      <c r="J46" s="245" t="s">
        <v>754</v>
      </c>
      <c r="K46" s="248" t="s">
        <v>1018</v>
      </c>
      <c r="L46" s="248" t="s">
        <v>755</v>
      </c>
      <c r="M46" s="248" t="s">
        <v>1010</v>
      </c>
      <c r="N46" s="248" t="s">
        <v>756</v>
      </c>
      <c r="O46" s="662" t="s">
        <v>757</v>
      </c>
      <c r="P46" s="662" t="s">
        <v>758</v>
      </c>
      <c r="Q46" s="247" t="s">
        <v>759</v>
      </c>
      <c r="R46" s="245" t="s">
        <v>760</v>
      </c>
      <c r="S46" s="655" t="s">
        <v>1043</v>
      </c>
      <c r="T46" s="246"/>
      <c r="U46" s="802"/>
      <c r="W46" s="3"/>
    </row>
    <row r="47" spans="1:23" s="244" customFormat="1" ht="14.4" x14ac:dyDescent="0.3">
      <c r="A47" s="246"/>
      <c r="B47" s="625" t="s">
        <v>1023</v>
      </c>
      <c r="C47" s="649" t="s">
        <v>997</v>
      </c>
      <c r="D47" s="656" t="s">
        <v>1007</v>
      </c>
      <c r="E47" s="626" t="s">
        <v>1008</v>
      </c>
      <c r="F47" s="755">
        <v>25</v>
      </c>
      <c r="G47" s="627">
        <v>56</v>
      </c>
      <c r="H47" s="657">
        <f>G47*F47</f>
        <v>1400</v>
      </c>
      <c r="I47" s="666">
        <f>50*2</f>
        <v>100</v>
      </c>
      <c r="J47" s="628" t="s">
        <v>762</v>
      </c>
      <c r="K47" s="628" t="s">
        <v>762</v>
      </c>
      <c r="L47" s="755">
        <f>I47</f>
        <v>100</v>
      </c>
      <c r="M47" s="625">
        <v>14</v>
      </c>
      <c r="N47" s="632">
        <f>'Inputs and eligible population'!E53</f>
        <v>0</v>
      </c>
      <c r="O47" s="778">
        <f>I47*M47*N47</f>
        <v>0</v>
      </c>
      <c r="P47" s="632">
        <f>O47/H47</f>
        <v>0</v>
      </c>
      <c r="Q47" s="629">
        <f>'Inputs and eligible population'!I62</f>
        <v>0</v>
      </c>
      <c r="R47" s="630">
        <f>'Inputs and eligible population'!J62</f>
        <v>0.2</v>
      </c>
      <c r="S47" s="667">
        <f>P47*Q47*(100%+R47)</f>
        <v>0</v>
      </c>
      <c r="T47" s="246"/>
      <c r="U47" s="802"/>
      <c r="W47" s="3"/>
    </row>
    <row r="48" spans="1:23" s="244" customFormat="1" ht="14.4" x14ac:dyDescent="0.3">
      <c r="A48" s="246"/>
      <c r="B48" s="625" t="s">
        <v>1015</v>
      </c>
      <c r="C48" s="649" t="s">
        <v>959</v>
      </c>
      <c r="D48" s="656" t="s">
        <v>761</v>
      </c>
      <c r="E48" s="626" t="s">
        <v>1011</v>
      </c>
      <c r="F48" s="627">
        <v>100</v>
      </c>
      <c r="G48" s="627">
        <v>5</v>
      </c>
      <c r="H48" s="657">
        <f>F48*G48</f>
        <v>500</v>
      </c>
      <c r="I48" s="666">
        <v>100</v>
      </c>
      <c r="J48" s="628">
        <v>1.8</v>
      </c>
      <c r="K48" s="628" t="s">
        <v>762</v>
      </c>
      <c r="L48" s="755">
        <f>I48*J48</f>
        <v>180</v>
      </c>
      <c r="M48" s="625">
        <v>7</v>
      </c>
      <c r="N48" s="632">
        <f>'Inputs and eligible population'!E53</f>
        <v>0</v>
      </c>
      <c r="O48" s="778">
        <f>ROUNDUP(N48*M48*L48,-2)</f>
        <v>0</v>
      </c>
      <c r="P48" s="632">
        <f>O48/H48</f>
        <v>0</v>
      </c>
      <c r="Q48" s="629">
        <f>'Inputs and eligible population'!I63</f>
        <v>13.76</v>
      </c>
      <c r="R48" s="630">
        <f>'Inputs and eligible population'!J63</f>
        <v>0.2</v>
      </c>
      <c r="S48" s="667">
        <f>P48*Q48*(100%+R48)</f>
        <v>0</v>
      </c>
      <c r="T48" s="246"/>
      <c r="U48" s="802"/>
      <c r="W48" s="3"/>
    </row>
    <row r="49" spans="1:23" s="244" customFormat="1" ht="14.4" x14ac:dyDescent="0.3">
      <c r="A49" s="246"/>
      <c r="B49" s="625" t="s">
        <v>1016</v>
      </c>
      <c r="C49" s="649" t="s">
        <v>960</v>
      </c>
      <c r="D49" s="757" t="s">
        <v>761</v>
      </c>
      <c r="E49" s="758" t="s">
        <v>1008</v>
      </c>
      <c r="F49" s="759">
        <v>20</v>
      </c>
      <c r="G49" s="759">
        <v>10</v>
      </c>
      <c r="H49" s="760">
        <f>F49*G49</f>
        <v>200</v>
      </c>
      <c r="I49" s="761">
        <v>60</v>
      </c>
      <c r="J49" s="762">
        <f>J48</f>
        <v>1.8</v>
      </c>
      <c r="K49" s="762" t="s">
        <v>762</v>
      </c>
      <c r="L49" s="755">
        <f>CEILING(I49*J49,20)</f>
        <v>120</v>
      </c>
      <c r="M49" s="763">
        <v>3</v>
      </c>
      <c r="N49" s="799">
        <f>'Inputs and eligible population'!E53</f>
        <v>0</v>
      </c>
      <c r="O49" s="778">
        <f>N49*M49*L49</f>
        <v>0</v>
      </c>
      <c r="P49" s="632">
        <f>O49/H49</f>
        <v>0</v>
      </c>
      <c r="Q49" s="764">
        <f>'Inputs and eligible population'!I65</f>
        <v>715</v>
      </c>
      <c r="R49" s="765">
        <f>'Inputs and eligible population'!J65</f>
        <v>0.2</v>
      </c>
      <c r="S49" s="667">
        <f>P49*Q49*(100%+R49)</f>
        <v>0</v>
      </c>
      <c r="T49" s="246"/>
      <c r="U49" s="802"/>
      <c r="W49" s="3"/>
    </row>
    <row r="50" spans="1:23" s="244" customFormat="1" ht="15" thickBot="1" x14ac:dyDescent="0.35">
      <c r="A50" s="246"/>
      <c r="B50" s="625"/>
      <c r="C50" s="649" t="s">
        <v>763</v>
      </c>
      <c r="D50" s="658"/>
      <c r="E50" s="659"/>
      <c r="F50" s="660"/>
      <c r="G50" s="660"/>
      <c r="H50" s="661"/>
      <c r="I50" s="668"/>
      <c r="J50" s="669"/>
      <c r="K50" s="669"/>
      <c r="L50" s="771"/>
      <c r="M50" s="670"/>
      <c r="N50" s="671"/>
      <c r="O50" s="779"/>
      <c r="P50" s="680"/>
      <c r="Q50" s="672"/>
      <c r="R50" s="673"/>
      <c r="S50" s="674"/>
      <c r="T50" s="246"/>
      <c r="U50" s="802"/>
      <c r="W50" s="3"/>
    </row>
    <row r="51" spans="1:23" s="244" customFormat="1" ht="14.4" x14ac:dyDescent="0.3">
      <c r="A51" s="246"/>
      <c r="B51" s="648"/>
      <c r="C51" s="249" t="s">
        <v>764</v>
      </c>
      <c r="D51" s="650"/>
      <c r="E51" s="650"/>
      <c r="F51" s="650"/>
      <c r="G51" s="650"/>
      <c r="H51" s="650"/>
      <c r="I51" s="650"/>
      <c r="J51" s="650"/>
      <c r="K51" s="650"/>
      <c r="L51" s="772"/>
      <c r="M51" s="650"/>
      <c r="N51" s="650"/>
      <c r="O51" s="780"/>
      <c r="P51" s="775"/>
      <c r="Q51" s="650"/>
      <c r="R51" s="664"/>
      <c r="S51" s="904">
        <f>SUM(S47:S50)</f>
        <v>0</v>
      </c>
      <c r="T51" s="246"/>
      <c r="U51" s="802"/>
      <c r="W51" s="3"/>
    </row>
    <row r="52" spans="1:23" s="244" customFormat="1" ht="14.4" x14ac:dyDescent="0.3">
      <c r="A52" s="246"/>
      <c r="B52" s="246"/>
      <c r="C52" s="246"/>
      <c r="D52" s="246"/>
      <c r="E52" s="246"/>
      <c r="F52" s="246"/>
      <c r="G52" s="246"/>
      <c r="H52" s="246"/>
      <c r="I52" s="246"/>
      <c r="J52" s="246"/>
      <c r="K52" s="246"/>
      <c r="L52" s="773"/>
      <c r="M52" s="246"/>
      <c r="N52" s="246"/>
      <c r="O52" s="781"/>
      <c r="P52" s="776"/>
      <c r="Q52" s="246"/>
      <c r="R52" s="246"/>
      <c r="S52" s="768"/>
      <c r="T52" s="246"/>
      <c r="U52" s="802"/>
      <c r="W52" s="3"/>
    </row>
    <row r="53" spans="1:23" s="244" customFormat="1" ht="14.4" x14ac:dyDescent="0.3">
      <c r="A53" s="246"/>
      <c r="B53" s="246"/>
      <c r="C53" s="246"/>
      <c r="D53" s="246"/>
      <c r="E53" s="246"/>
      <c r="F53" s="246"/>
      <c r="G53" s="246"/>
      <c r="H53" s="246"/>
      <c r="I53" s="246"/>
      <c r="J53" s="246"/>
      <c r="K53" s="246"/>
      <c r="L53" s="773"/>
      <c r="M53" s="246"/>
      <c r="N53" s="246"/>
      <c r="O53" s="781"/>
      <c r="P53" s="776"/>
      <c r="Q53" s="246"/>
      <c r="R53" s="246"/>
      <c r="S53" s="768"/>
      <c r="T53" s="246"/>
      <c r="U53" s="802"/>
      <c r="W53" s="3"/>
    </row>
    <row r="54" spans="1:23" s="244" customFormat="1" ht="15" thickBot="1" x14ac:dyDescent="0.35">
      <c r="A54" s="246"/>
      <c r="B54" s="242"/>
      <c r="C54" s="246"/>
      <c r="D54" s="246"/>
      <c r="E54" s="246"/>
      <c r="F54" s="246"/>
      <c r="G54" s="246"/>
      <c r="H54" s="246"/>
      <c r="I54" s="246"/>
      <c r="J54" s="246"/>
      <c r="K54" s="246"/>
      <c r="L54" s="773"/>
      <c r="M54" s="246"/>
      <c r="N54" s="246"/>
      <c r="O54" s="781"/>
      <c r="P54" s="776"/>
      <c r="Q54" s="246"/>
      <c r="R54" s="246"/>
      <c r="S54" s="646"/>
      <c r="T54" s="246"/>
      <c r="U54" s="802"/>
      <c r="W54" s="3"/>
    </row>
    <row r="55" spans="1:23" s="244" customFormat="1" ht="14.4" x14ac:dyDescent="0.3">
      <c r="A55" s="246"/>
      <c r="B55" s="242" t="s">
        <v>1022</v>
      </c>
      <c r="C55" s="246"/>
      <c r="D55" s="651" t="s">
        <v>744</v>
      </c>
      <c r="E55" s="652"/>
      <c r="F55" s="652"/>
      <c r="G55" s="652"/>
      <c r="H55" s="653"/>
      <c r="I55" s="651" t="s">
        <v>745</v>
      </c>
      <c r="J55" s="676"/>
      <c r="K55" s="676"/>
      <c r="L55" s="774"/>
      <c r="M55" s="676"/>
      <c r="N55" s="676"/>
      <c r="O55" s="782"/>
      <c r="P55" s="777"/>
      <c r="Q55" s="676"/>
      <c r="R55" s="676"/>
      <c r="S55" s="677"/>
      <c r="T55" s="246"/>
      <c r="U55" s="802"/>
      <c r="W55" s="3"/>
    </row>
    <row r="56" spans="1:23" s="244" customFormat="1" ht="14.4" x14ac:dyDescent="0.3">
      <c r="A56" s="246"/>
      <c r="B56" s="625" t="s">
        <v>1024</v>
      </c>
      <c r="C56" s="649" t="s">
        <v>997</v>
      </c>
      <c r="D56" s="656" t="s">
        <v>1007</v>
      </c>
      <c r="E56" s="626" t="s">
        <v>1008</v>
      </c>
      <c r="F56" s="755">
        <v>25</v>
      </c>
      <c r="G56" s="627">
        <v>56</v>
      </c>
      <c r="H56" s="657">
        <f>G56*F56</f>
        <v>1400</v>
      </c>
      <c r="I56" s="666">
        <v>100</v>
      </c>
      <c r="J56" s="628" t="s">
        <v>762</v>
      </c>
      <c r="K56" s="628" t="s">
        <v>762</v>
      </c>
      <c r="L56" s="755">
        <f>I56</f>
        <v>100</v>
      </c>
      <c r="M56" s="625">
        <v>14</v>
      </c>
      <c r="N56" s="769">
        <f>'Inputs and eligible population'!E54</f>
        <v>0</v>
      </c>
      <c r="O56" s="778">
        <f>N56*M56*L56</f>
        <v>0</v>
      </c>
      <c r="P56" s="632">
        <f>O56/H56</f>
        <v>0</v>
      </c>
      <c r="Q56" s="629">
        <f>'Inputs and eligible population'!I62</f>
        <v>0</v>
      </c>
      <c r="R56" s="630">
        <f>'Inputs and eligible population'!J62</f>
        <v>0.2</v>
      </c>
      <c r="S56" s="667">
        <f>P56*Q56*(100%+R56)</f>
        <v>0</v>
      </c>
      <c r="T56" s="246"/>
      <c r="U56" s="802"/>
      <c r="W56" s="3"/>
    </row>
    <row r="57" spans="1:23" s="244" customFormat="1" ht="14.4" x14ac:dyDescent="0.3">
      <c r="A57" s="246"/>
      <c r="B57" s="625" t="s">
        <v>1014</v>
      </c>
      <c r="C57" s="649" t="s">
        <v>959</v>
      </c>
      <c r="D57" s="656" t="s">
        <v>761</v>
      </c>
      <c r="E57" s="626" t="s">
        <v>1011</v>
      </c>
      <c r="F57" s="627">
        <v>2000</v>
      </c>
      <c r="G57" s="627">
        <v>1</v>
      </c>
      <c r="H57" s="657">
        <f>F57*G57</f>
        <v>2000</v>
      </c>
      <c r="I57" s="666">
        <v>3000</v>
      </c>
      <c r="J57" s="628">
        <f>J48</f>
        <v>1.8</v>
      </c>
      <c r="K57" s="628" t="s">
        <v>762</v>
      </c>
      <c r="L57" s="755">
        <f>CEILING(I57*J57,2000)</f>
        <v>6000</v>
      </c>
      <c r="M57" s="625">
        <v>6</v>
      </c>
      <c r="N57" s="769">
        <f>'Inputs and eligible population'!E54</f>
        <v>0</v>
      </c>
      <c r="O57" s="778">
        <f>N57*M57*L57</f>
        <v>0</v>
      </c>
      <c r="P57" s="663">
        <f>O57/H57</f>
        <v>0</v>
      </c>
      <c r="Q57" s="629">
        <f>'Inputs and eligible population'!I63</f>
        <v>13.76</v>
      </c>
      <c r="R57" s="630">
        <f>'Inputs and eligible population'!J63</f>
        <v>0.2</v>
      </c>
      <c r="S57" s="667">
        <f>P57*Q57*(100%+R57)</f>
        <v>0</v>
      </c>
      <c r="T57" s="246"/>
      <c r="U57" s="802"/>
      <c r="W57" s="3"/>
    </row>
    <row r="58" spans="1:23" s="244" customFormat="1" ht="15" thickBot="1" x14ac:dyDescent="0.35">
      <c r="A58" s="246"/>
      <c r="B58" s="625"/>
      <c r="C58" s="649" t="s">
        <v>763</v>
      </c>
      <c r="D58" s="658"/>
      <c r="E58" s="659"/>
      <c r="F58" s="660"/>
      <c r="G58" s="660"/>
      <c r="H58" s="661"/>
      <c r="I58" s="668"/>
      <c r="J58" s="669"/>
      <c r="K58" s="669"/>
      <c r="L58" s="771"/>
      <c r="M58" s="670"/>
      <c r="N58" s="678"/>
      <c r="O58" s="779"/>
      <c r="P58" s="680"/>
      <c r="Q58" s="672"/>
      <c r="R58" s="673"/>
      <c r="S58" s="674"/>
      <c r="T58" s="246"/>
      <c r="U58" s="802"/>
      <c r="W58" s="3"/>
    </row>
    <row r="59" spans="1:23" s="244" customFormat="1" ht="14.4" x14ac:dyDescent="0.3">
      <c r="A59" s="246"/>
      <c r="B59" s="648"/>
      <c r="C59" s="249" t="s">
        <v>764</v>
      </c>
      <c r="D59" s="650"/>
      <c r="E59" s="650"/>
      <c r="F59" s="650"/>
      <c r="G59" s="650"/>
      <c r="H59" s="650"/>
      <c r="I59" s="650"/>
      <c r="J59" s="650"/>
      <c r="K59" s="650"/>
      <c r="L59" s="772"/>
      <c r="M59" s="650"/>
      <c r="N59" s="675"/>
      <c r="O59" s="780"/>
      <c r="P59" s="775"/>
      <c r="Q59" s="650"/>
      <c r="R59" s="664"/>
      <c r="S59" s="904">
        <f>SUM(S56:S58)</f>
        <v>0</v>
      </c>
      <c r="T59" s="246"/>
      <c r="U59" s="802"/>
      <c r="W59" s="3"/>
    </row>
    <row r="60" spans="1:23" s="244" customFormat="1" ht="14.4" x14ac:dyDescent="0.3">
      <c r="A60" s="246"/>
      <c r="B60" s="246"/>
      <c r="C60" s="246"/>
      <c r="D60" s="246"/>
      <c r="E60" s="246"/>
      <c r="F60" s="246"/>
      <c r="G60" s="246"/>
      <c r="H60" s="246"/>
      <c r="I60" s="246"/>
      <c r="J60" s="246"/>
      <c r="K60" s="246"/>
      <c r="L60" s="773"/>
      <c r="M60" s="246"/>
      <c r="N60" s="605"/>
      <c r="O60" s="781"/>
      <c r="P60" s="776"/>
      <c r="Q60" s="246"/>
      <c r="R60" s="246"/>
      <c r="S60" s="768"/>
      <c r="T60" s="246"/>
      <c r="U60" s="802"/>
      <c r="W60" s="3"/>
    </row>
    <row r="61" spans="1:23" s="244" customFormat="1" ht="14.4" x14ac:dyDescent="0.3">
      <c r="A61" s="246"/>
      <c r="B61" s="246"/>
      <c r="C61" s="246"/>
      <c r="D61" s="246"/>
      <c r="E61" s="246"/>
      <c r="F61" s="246"/>
      <c r="G61" s="246"/>
      <c r="H61" s="246"/>
      <c r="I61" s="246"/>
      <c r="J61" s="246"/>
      <c r="K61" s="246"/>
      <c r="L61" s="773"/>
      <c r="M61" s="246"/>
      <c r="N61" s="605"/>
      <c r="O61" s="781"/>
      <c r="P61" s="776"/>
      <c r="Q61" s="246"/>
      <c r="R61" s="246"/>
      <c r="S61" s="768"/>
      <c r="T61" s="246"/>
      <c r="U61" s="802"/>
      <c r="W61" s="3"/>
    </row>
    <row r="62" spans="1:23" s="244" customFormat="1" ht="15" thickBot="1" x14ac:dyDescent="0.35">
      <c r="A62" s="246"/>
      <c r="B62" s="242"/>
      <c r="C62" s="246"/>
      <c r="D62" s="246"/>
      <c r="E62" s="246"/>
      <c r="F62" s="246"/>
      <c r="G62" s="246"/>
      <c r="H62" s="246"/>
      <c r="I62" s="246"/>
      <c r="J62" s="246"/>
      <c r="K62" s="246"/>
      <c r="L62" s="773"/>
      <c r="M62" s="246"/>
      <c r="N62" s="605"/>
      <c r="O62" s="781"/>
      <c r="P62" s="776"/>
      <c r="Q62" s="246"/>
      <c r="R62" s="246"/>
      <c r="S62" s="646"/>
      <c r="T62" s="246"/>
      <c r="U62" s="802"/>
      <c r="W62" s="3"/>
    </row>
    <row r="63" spans="1:23" s="244" customFormat="1" ht="14.4" x14ac:dyDescent="0.3">
      <c r="A63" s="246"/>
      <c r="B63" s="242" t="s">
        <v>1139</v>
      </c>
      <c r="C63" s="246"/>
      <c r="D63" s="651" t="s">
        <v>744</v>
      </c>
      <c r="E63" s="652"/>
      <c r="F63" s="652"/>
      <c r="G63" s="652"/>
      <c r="H63" s="653"/>
      <c r="I63" s="651" t="s">
        <v>745</v>
      </c>
      <c r="J63" s="676"/>
      <c r="K63" s="676"/>
      <c r="L63" s="774"/>
      <c r="M63" s="676"/>
      <c r="N63" s="679"/>
      <c r="O63" s="782"/>
      <c r="P63" s="777"/>
      <c r="Q63" s="676"/>
      <c r="R63" s="676"/>
      <c r="S63" s="677"/>
      <c r="T63" s="246"/>
      <c r="U63" s="802"/>
      <c r="W63" s="3"/>
    </row>
    <row r="64" spans="1:23" s="244" customFormat="1" ht="14.4" x14ac:dyDescent="0.3">
      <c r="A64" s="246"/>
      <c r="B64" s="625" t="s">
        <v>1025</v>
      </c>
      <c r="C64" s="649" t="s">
        <v>997</v>
      </c>
      <c r="D64" s="656" t="s">
        <v>1007</v>
      </c>
      <c r="E64" s="626" t="s">
        <v>1008</v>
      </c>
      <c r="F64" s="755">
        <v>25</v>
      </c>
      <c r="G64" s="627">
        <v>56</v>
      </c>
      <c r="H64" s="657">
        <f>F64*G64</f>
        <v>1400</v>
      </c>
      <c r="I64" s="666">
        <v>100</v>
      </c>
      <c r="J64" s="628" t="s">
        <v>762</v>
      </c>
      <c r="K64" s="770" t="s">
        <v>762</v>
      </c>
      <c r="L64" s="755">
        <f>I64</f>
        <v>100</v>
      </c>
      <c r="M64" s="625">
        <v>28</v>
      </c>
      <c r="N64" s="769">
        <f>'Inputs and eligible population'!E55</f>
        <v>0</v>
      </c>
      <c r="O64" s="778">
        <f>N64*M64*L64</f>
        <v>0</v>
      </c>
      <c r="P64" s="632">
        <f>O64/H64</f>
        <v>0</v>
      </c>
      <c r="Q64" s="629">
        <f>'Inputs and eligible population'!I62</f>
        <v>0</v>
      </c>
      <c r="R64" s="630">
        <f>'Inputs and eligible population'!J62</f>
        <v>0.2</v>
      </c>
      <c r="S64" s="667">
        <f>P64*Q64*(100%+R64)</f>
        <v>0</v>
      </c>
      <c r="T64" s="246"/>
      <c r="U64" s="802"/>
      <c r="W64" s="3"/>
    </row>
    <row r="65" spans="1:61" s="244" customFormat="1" ht="14.4" x14ac:dyDescent="0.3">
      <c r="A65" s="246"/>
      <c r="B65" s="625"/>
      <c r="C65" s="649" t="s">
        <v>763</v>
      </c>
      <c r="D65" s="656"/>
      <c r="E65" s="626"/>
      <c r="F65" s="627"/>
      <c r="G65" s="627"/>
      <c r="H65" s="657"/>
      <c r="I65" s="666"/>
      <c r="J65" s="628"/>
      <c r="K65" s="770"/>
      <c r="L65" s="755"/>
      <c r="M65" s="625"/>
      <c r="N65" s="631"/>
      <c r="O65" s="783"/>
      <c r="P65" s="649"/>
      <c r="Q65" s="629"/>
      <c r="R65" s="630"/>
      <c r="S65" s="667"/>
      <c r="T65" s="246"/>
      <c r="U65" s="802"/>
      <c r="W65" s="3"/>
    </row>
    <row r="66" spans="1:61" s="244" customFormat="1" ht="14.4" x14ac:dyDescent="0.3">
      <c r="A66" s="246"/>
      <c r="B66" s="648"/>
      <c r="C66" s="249" t="s">
        <v>764</v>
      </c>
      <c r="D66" s="650"/>
      <c r="E66" s="650"/>
      <c r="F66" s="650"/>
      <c r="G66" s="650"/>
      <c r="H66" s="650"/>
      <c r="I66" s="650"/>
      <c r="J66" s="650"/>
      <c r="K66" s="650"/>
      <c r="L66" s="650"/>
      <c r="M66" s="650"/>
      <c r="N66" s="650"/>
      <c r="O66" s="650"/>
      <c r="P66" s="650"/>
      <c r="Q66" s="650"/>
      <c r="R66" s="664"/>
      <c r="S66" s="904">
        <f>SUM(S64:S65)</f>
        <v>0</v>
      </c>
      <c r="T66" s="246"/>
      <c r="U66" s="802"/>
      <c r="W66" s="3"/>
    </row>
    <row r="67" spans="1:61" s="244" customFormat="1" ht="14.4" x14ac:dyDescent="0.3">
      <c r="A67" s="246"/>
      <c r="B67" s="246"/>
      <c r="C67" s="246"/>
      <c r="D67" s="246"/>
      <c r="E67" s="246"/>
      <c r="F67" s="246"/>
      <c r="G67" s="246"/>
      <c r="H67" s="246"/>
      <c r="I67" s="246"/>
      <c r="J67" s="246"/>
      <c r="K67" s="246"/>
      <c r="L67" s="246"/>
      <c r="M67" s="246"/>
      <c r="N67" s="246"/>
      <c r="O67" s="246"/>
      <c r="P67" s="246"/>
      <c r="Q67" s="246"/>
      <c r="R67" s="246"/>
      <c r="S67" s="768"/>
      <c r="T67" s="246"/>
      <c r="U67" s="802"/>
      <c r="W67" s="3"/>
    </row>
    <row r="68" spans="1:61" s="244" customFormat="1" ht="15" thickBot="1" x14ac:dyDescent="0.35">
      <c r="A68" s="246"/>
      <c r="B68" s="246"/>
      <c r="C68" s="246"/>
      <c r="D68" s="246"/>
      <c r="E68" s="246"/>
      <c r="F68" s="246"/>
      <c r="G68" s="246"/>
      <c r="H68" s="246"/>
      <c r="I68" s="246"/>
      <c r="J68" s="246"/>
      <c r="K68" s="246"/>
      <c r="L68" s="246"/>
      <c r="M68" s="246"/>
      <c r="N68" s="246"/>
      <c r="O68" s="246"/>
      <c r="P68" s="246"/>
      <c r="Q68" s="246"/>
      <c r="R68" s="246"/>
      <c r="S68" s="768"/>
      <c r="T68" s="246"/>
      <c r="U68" s="802"/>
      <c r="W68" s="3"/>
    </row>
    <row r="69" spans="1:61" s="244" customFormat="1" ht="14.4" x14ac:dyDescent="0.3">
      <c r="A69" s="246"/>
      <c r="B69" s="242" t="s">
        <v>1140</v>
      </c>
      <c r="C69" s="246"/>
      <c r="D69" s="651" t="s">
        <v>744</v>
      </c>
      <c r="E69" s="652"/>
      <c r="F69" s="652"/>
      <c r="G69" s="652"/>
      <c r="H69" s="653"/>
      <c r="I69" s="651" t="s">
        <v>745</v>
      </c>
      <c r="J69" s="676"/>
      <c r="K69" s="676"/>
      <c r="L69" s="774"/>
      <c r="M69" s="676"/>
      <c r="N69" s="679"/>
      <c r="O69" s="782"/>
      <c r="P69" s="777"/>
      <c r="Q69" s="676"/>
      <c r="R69" s="676"/>
      <c r="S69" s="677"/>
      <c r="T69" s="246"/>
      <c r="U69" s="802"/>
      <c r="W69" s="3"/>
    </row>
    <row r="70" spans="1:61" s="244" customFormat="1" ht="14.4" x14ac:dyDescent="0.3">
      <c r="A70" s="246"/>
      <c r="B70" s="625" t="s">
        <v>1025</v>
      </c>
      <c r="C70" s="649" t="s">
        <v>997</v>
      </c>
      <c r="D70" s="656" t="s">
        <v>1007</v>
      </c>
      <c r="E70" s="626" t="s">
        <v>1008</v>
      </c>
      <c r="F70" s="755">
        <v>25</v>
      </c>
      <c r="G70" s="627">
        <v>56</v>
      </c>
      <c r="H70" s="657">
        <f>F70*G70</f>
        <v>1400</v>
      </c>
      <c r="I70" s="666">
        <v>100</v>
      </c>
      <c r="J70" s="628" t="s">
        <v>762</v>
      </c>
      <c r="K70" s="770" t="s">
        <v>762</v>
      </c>
      <c r="L70" s="755">
        <f>I70</f>
        <v>100</v>
      </c>
      <c r="M70" s="625">
        <v>28</v>
      </c>
      <c r="N70" s="769">
        <f>'Inputs and eligible population'!F55</f>
        <v>0</v>
      </c>
      <c r="O70" s="778">
        <f>N70*M70*L70</f>
        <v>0</v>
      </c>
      <c r="P70" s="632">
        <f>O70/H70</f>
        <v>0</v>
      </c>
      <c r="Q70" s="629">
        <f>'Inputs and eligible population'!I62</f>
        <v>0</v>
      </c>
      <c r="R70" s="630">
        <f>'Inputs and eligible population'!J67</f>
        <v>0.2</v>
      </c>
      <c r="S70" s="667">
        <f>P70*Q70*(100%+R70)</f>
        <v>0</v>
      </c>
      <c r="T70" s="246"/>
      <c r="U70" s="802"/>
      <c r="W70" s="3"/>
    </row>
    <row r="71" spans="1:61" s="244" customFormat="1" ht="14.4" x14ac:dyDescent="0.3">
      <c r="A71" s="246"/>
      <c r="B71" s="625"/>
      <c r="C71" s="649" t="s">
        <v>763</v>
      </c>
      <c r="D71" s="656"/>
      <c r="E71" s="626"/>
      <c r="F71" s="627"/>
      <c r="G71" s="627"/>
      <c r="H71" s="657"/>
      <c r="I71" s="666"/>
      <c r="J71" s="628"/>
      <c r="K71" s="770"/>
      <c r="L71" s="755"/>
      <c r="M71" s="625"/>
      <c r="N71" s="631"/>
      <c r="O71" s="783"/>
      <c r="P71" s="649"/>
      <c r="Q71" s="629"/>
      <c r="R71" s="630"/>
      <c r="S71" s="667"/>
      <c r="T71" s="246"/>
      <c r="U71" s="802"/>
      <c r="W71" s="3"/>
    </row>
    <row r="72" spans="1:61" s="244" customFormat="1" ht="16.8" customHeight="1" x14ac:dyDescent="0.3">
      <c r="A72" s="246"/>
      <c r="B72" s="648"/>
      <c r="C72" s="249" t="s">
        <v>764</v>
      </c>
      <c r="D72" s="650"/>
      <c r="E72" s="650"/>
      <c r="F72" s="650"/>
      <c r="G72" s="650"/>
      <c r="H72" s="650"/>
      <c r="I72" s="650"/>
      <c r="J72" s="650"/>
      <c r="K72" s="650"/>
      <c r="L72" s="650"/>
      <c r="M72" s="650"/>
      <c r="N72" s="650"/>
      <c r="O72" s="650"/>
      <c r="P72" s="650"/>
      <c r="Q72" s="650"/>
      <c r="R72" s="664"/>
      <c r="S72" s="904">
        <f>SUM(S70:S71)</f>
        <v>0</v>
      </c>
      <c r="T72" s="246"/>
      <c r="U72" s="802"/>
      <c r="W72" s="3"/>
    </row>
    <row r="73" spans="1:61" s="244" customFormat="1" ht="14.4" x14ac:dyDescent="0.3">
      <c r="A73" s="246"/>
      <c r="B73" s="246"/>
      <c r="C73" s="246"/>
      <c r="D73" s="884"/>
      <c r="E73" s="884"/>
      <c r="F73" s="884"/>
      <c r="G73" s="884"/>
      <c r="H73" s="884"/>
      <c r="I73" s="884"/>
      <c r="J73" s="246"/>
      <c r="K73" s="246"/>
      <c r="L73" s="246"/>
      <c r="M73" s="246"/>
      <c r="N73" s="246"/>
      <c r="O73" s="246"/>
      <c r="P73" s="246"/>
      <c r="Q73" s="246"/>
      <c r="R73" s="246"/>
      <c r="S73" s="768"/>
      <c r="T73" s="246"/>
      <c r="U73" s="802"/>
      <c r="W73" s="3"/>
    </row>
    <row r="74" spans="1:61" s="244" customFormat="1" ht="15" thickBot="1" x14ac:dyDescent="0.35">
      <c r="A74" s="246"/>
      <c r="B74" s="246"/>
      <c r="C74" s="246"/>
      <c r="D74" s="650"/>
      <c r="E74" s="650"/>
      <c r="F74" s="650"/>
      <c r="G74" s="650"/>
      <c r="H74" s="650"/>
      <c r="I74" s="650"/>
      <c r="J74" s="246"/>
      <c r="K74" s="246"/>
      <c r="L74" s="246"/>
      <c r="M74" s="246"/>
      <c r="N74" s="246"/>
      <c r="O74" s="246"/>
      <c r="P74" s="246"/>
      <c r="Q74" s="246"/>
      <c r="R74" s="246"/>
      <c r="S74" s="768"/>
      <c r="T74" s="246"/>
      <c r="U74" s="802"/>
      <c r="W74" s="3"/>
    </row>
    <row r="75" spans="1:61" s="244" customFormat="1" ht="14.4" x14ac:dyDescent="0.3">
      <c r="A75" s="246"/>
      <c r="B75" s="242" t="s">
        <v>1141</v>
      </c>
      <c r="C75" s="246"/>
      <c r="D75" s="651" t="s">
        <v>744</v>
      </c>
      <c r="E75" s="652"/>
      <c r="F75" s="652"/>
      <c r="G75" s="652"/>
      <c r="H75" s="653"/>
      <c r="I75" s="651" t="s">
        <v>745</v>
      </c>
      <c r="J75" s="676"/>
      <c r="K75" s="676"/>
      <c r="L75" s="774"/>
      <c r="M75" s="676"/>
      <c r="N75" s="679"/>
      <c r="O75" s="782"/>
      <c r="P75" s="777"/>
      <c r="Q75" s="676"/>
      <c r="R75" s="676"/>
      <c r="S75" s="677"/>
      <c r="T75" s="246"/>
      <c r="U75" s="802"/>
      <c r="W75" s="3"/>
    </row>
    <row r="76" spans="1:61" s="244" customFormat="1" ht="14.4" x14ac:dyDescent="0.3">
      <c r="A76" s="246"/>
      <c r="B76" s="625" t="s">
        <v>1025</v>
      </c>
      <c r="C76" s="649" t="s">
        <v>997</v>
      </c>
      <c r="D76" s="656" t="s">
        <v>1007</v>
      </c>
      <c r="E76" s="626" t="s">
        <v>1008</v>
      </c>
      <c r="F76" s="755">
        <v>25</v>
      </c>
      <c r="G76" s="627">
        <v>56</v>
      </c>
      <c r="H76" s="657">
        <f>F76*G76</f>
        <v>1400</v>
      </c>
      <c r="I76" s="666">
        <v>100</v>
      </c>
      <c r="J76" s="628" t="s">
        <v>762</v>
      </c>
      <c r="K76" s="770" t="s">
        <v>762</v>
      </c>
      <c r="L76" s="755">
        <f>I76</f>
        <v>100</v>
      </c>
      <c r="M76" s="625">
        <v>28</v>
      </c>
      <c r="N76" s="769">
        <f>'Inputs and eligible population'!G55</f>
        <v>0</v>
      </c>
      <c r="O76" s="778">
        <f>N76*M76*L76</f>
        <v>0</v>
      </c>
      <c r="P76" s="632">
        <f>O76/H76</f>
        <v>0</v>
      </c>
      <c r="Q76" s="629">
        <f>'Inputs and eligible population'!I62</f>
        <v>0</v>
      </c>
      <c r="R76" s="630">
        <f>'Inputs and eligible population'!J67</f>
        <v>0.2</v>
      </c>
      <c r="S76" s="667">
        <f>P76*Q76*(100%+R76)</f>
        <v>0</v>
      </c>
      <c r="T76" s="246"/>
      <c r="U76" s="802"/>
      <c r="W76" s="3"/>
    </row>
    <row r="77" spans="1:61" s="244" customFormat="1" ht="14.4" x14ac:dyDescent="0.3">
      <c r="A77" s="246"/>
      <c r="B77" s="625"/>
      <c r="C77" s="649" t="s">
        <v>763</v>
      </c>
      <c r="D77" s="656"/>
      <c r="E77" s="626"/>
      <c r="F77" s="627"/>
      <c r="G77" s="627"/>
      <c r="H77" s="657"/>
      <c r="I77" s="666"/>
      <c r="J77" s="628"/>
      <c r="K77" s="770"/>
      <c r="L77" s="755"/>
      <c r="M77" s="625"/>
      <c r="N77" s="631"/>
      <c r="O77" s="783"/>
      <c r="P77" s="649"/>
      <c r="Q77" s="629"/>
      <c r="R77" s="630"/>
      <c r="S77" s="667"/>
      <c r="T77" s="246"/>
      <c r="U77" s="802"/>
      <c r="W77" s="3"/>
    </row>
    <row r="78" spans="1:61" s="244" customFormat="1" ht="16.8" customHeight="1" x14ac:dyDescent="0.3">
      <c r="A78" s="246"/>
      <c r="B78" s="648"/>
      <c r="C78" s="249" t="s">
        <v>764</v>
      </c>
      <c r="D78" s="650"/>
      <c r="E78" s="650"/>
      <c r="F78" s="650"/>
      <c r="G78" s="650"/>
      <c r="H78" s="650"/>
      <c r="I78" s="650"/>
      <c r="J78" s="650"/>
      <c r="K78" s="650"/>
      <c r="L78" s="650"/>
      <c r="M78" s="650"/>
      <c r="N78" s="650"/>
      <c r="O78" s="650"/>
      <c r="P78" s="650"/>
      <c r="Q78" s="650"/>
      <c r="R78" s="664"/>
      <c r="S78" s="904">
        <f>SUM(S76:S77)</f>
        <v>0</v>
      </c>
      <c r="T78" s="246"/>
      <c r="U78" s="802"/>
      <c r="W78" s="3"/>
    </row>
    <row r="79" spans="1:61" s="802" customFormat="1" ht="14.4" x14ac:dyDescent="0.3">
      <c r="B79" s="885"/>
      <c r="C79" s="885"/>
      <c r="D79" s="886"/>
      <c r="E79" s="886"/>
      <c r="F79" s="887"/>
      <c r="G79" s="887"/>
      <c r="H79" s="887"/>
      <c r="I79" s="887"/>
      <c r="J79" s="888"/>
      <c r="K79" s="889"/>
      <c r="L79" s="890"/>
      <c r="M79" s="885"/>
      <c r="N79" s="891"/>
      <c r="O79" s="892"/>
      <c r="P79" s="885"/>
      <c r="Q79" s="870"/>
      <c r="R79" s="893"/>
      <c r="S79" s="82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row>
    <row r="80" spans="1:61" s="244" customFormat="1" ht="14.4" x14ac:dyDescent="0.3">
      <c r="A80" s="246"/>
      <c r="B80" s="242" t="s">
        <v>1026</v>
      </c>
      <c r="C80" s="246"/>
      <c r="D80" s="246"/>
      <c r="E80" s="246"/>
      <c r="F80" s="246"/>
      <c r="G80" s="246"/>
      <c r="H80" s="246"/>
      <c r="I80" s="246"/>
      <c r="J80" s="246"/>
      <c r="K80" s="246"/>
      <c r="L80" s="246"/>
      <c r="M80" s="246"/>
      <c r="N80" s="246"/>
      <c r="O80" s="246"/>
      <c r="P80" s="246"/>
      <c r="Q80" s="246"/>
      <c r="R80" s="246"/>
      <c r="S80" s="768"/>
      <c r="T80" s="246"/>
      <c r="U80" s="802"/>
    </row>
    <row r="81" spans="1:23" s="244" customFormat="1" ht="85.05" customHeight="1" x14ac:dyDescent="0.3">
      <c r="A81" s="246"/>
      <c r="B81" s="245" t="s">
        <v>746</v>
      </c>
      <c r="C81" s="247" t="s">
        <v>747</v>
      </c>
      <c r="D81" s="654" t="s">
        <v>748</v>
      </c>
      <c r="E81" s="248" t="s">
        <v>749</v>
      </c>
      <c r="F81" s="248" t="s">
        <v>750</v>
      </c>
      <c r="G81" s="248" t="s">
        <v>751</v>
      </c>
      <c r="H81" s="655" t="s">
        <v>752</v>
      </c>
      <c r="I81" s="665" t="s">
        <v>753</v>
      </c>
      <c r="J81" s="245" t="s">
        <v>754</v>
      </c>
      <c r="K81" s="248" t="s">
        <v>1018</v>
      </c>
      <c r="L81" s="248" t="s">
        <v>755</v>
      </c>
      <c r="M81" s="248" t="s">
        <v>1010</v>
      </c>
      <c r="N81" s="248" t="s">
        <v>756</v>
      </c>
      <c r="O81" s="662" t="s">
        <v>757</v>
      </c>
      <c r="P81" s="662" t="s">
        <v>758</v>
      </c>
      <c r="Q81" s="247" t="s">
        <v>759</v>
      </c>
      <c r="R81" s="245" t="s">
        <v>760</v>
      </c>
      <c r="S81" s="655" t="s">
        <v>1044</v>
      </c>
      <c r="T81" s="246"/>
      <c r="U81" s="802"/>
    </row>
    <row r="82" spans="1:23" s="244" customFormat="1" ht="14.4" x14ac:dyDescent="0.3">
      <c r="A82" s="246"/>
      <c r="B82" s="625" t="s">
        <v>1028</v>
      </c>
      <c r="C82" s="649" t="s">
        <v>1002</v>
      </c>
      <c r="D82" s="656" t="s">
        <v>1007</v>
      </c>
      <c r="E82" s="626" t="s">
        <v>1008</v>
      </c>
      <c r="F82" s="755">
        <v>200</v>
      </c>
      <c r="G82" s="627">
        <v>112</v>
      </c>
      <c r="H82" s="657">
        <f>F82*G82</f>
        <v>22400</v>
      </c>
      <c r="I82" s="666">
        <f>200*2</f>
        <v>400</v>
      </c>
      <c r="J82" s="628" t="s">
        <v>762</v>
      </c>
      <c r="K82" s="801">
        <v>0.40497539999999999</v>
      </c>
      <c r="L82" s="755">
        <f>I82</f>
        <v>400</v>
      </c>
      <c r="M82" s="625">
        <v>28</v>
      </c>
      <c r="N82" s="769">
        <f>'Inputs and eligible population'!E56</f>
        <v>8.65</v>
      </c>
      <c r="O82" s="778">
        <f>L82*M82*N82</f>
        <v>96880</v>
      </c>
      <c r="P82" s="632">
        <f>O82/H82</f>
        <v>4.3250000000000002</v>
      </c>
      <c r="Q82" s="629">
        <f>'Inputs and eligible population'!I67</f>
        <v>552.4</v>
      </c>
      <c r="R82" s="630">
        <f>'Inputs and eligible population'!J67</f>
        <v>0.2</v>
      </c>
      <c r="S82" s="667">
        <f>P82*Q82*(100%+R82)*K82</f>
        <v>1161.0466528823999</v>
      </c>
      <c r="T82" s="246"/>
      <c r="U82" s="802"/>
    </row>
    <row r="83" spans="1:23" s="244" customFormat="1" ht="14.4" x14ac:dyDescent="0.3">
      <c r="A83" s="246"/>
      <c r="B83" s="625" t="s">
        <v>1029</v>
      </c>
      <c r="C83" s="649" t="s">
        <v>1002</v>
      </c>
      <c r="D83" s="656" t="s">
        <v>1007</v>
      </c>
      <c r="E83" s="626" t="s">
        <v>1008</v>
      </c>
      <c r="F83" s="755">
        <v>200</v>
      </c>
      <c r="G83" s="627">
        <v>112</v>
      </c>
      <c r="H83" s="657">
        <f t="shared" ref="H83:H84" si="0">F83*G83</f>
        <v>22400</v>
      </c>
      <c r="I83" s="666">
        <f>200*3</f>
        <v>600</v>
      </c>
      <c r="J83" s="628" t="s">
        <v>762</v>
      </c>
      <c r="K83" s="801">
        <v>0.59502449999999996</v>
      </c>
      <c r="L83" s="755">
        <f>I83</f>
        <v>600</v>
      </c>
      <c r="M83" s="625">
        <v>28</v>
      </c>
      <c r="N83" s="769">
        <f>'Inputs and eligible population'!E56</f>
        <v>8.65</v>
      </c>
      <c r="O83" s="783">
        <f>L83*M83*N83</f>
        <v>145320</v>
      </c>
      <c r="P83" s="632">
        <f>O83/H83</f>
        <v>6.4874999999999998</v>
      </c>
      <c r="Q83" s="629">
        <f>'Inputs and eligible population'!I67</f>
        <v>552.4</v>
      </c>
      <c r="R83" s="630">
        <f>'Inputs and eligible population'!J67</f>
        <v>0.2</v>
      </c>
      <c r="S83" s="667">
        <f>P83*Q83*(100%+R83)*K83</f>
        <v>2558.8635906329996</v>
      </c>
      <c r="T83" s="246"/>
      <c r="U83" s="802"/>
    </row>
    <row r="84" spans="1:23" s="244" customFormat="1" ht="14.4" x14ac:dyDescent="0.3">
      <c r="A84" s="246"/>
      <c r="B84" s="625" t="s">
        <v>1030</v>
      </c>
      <c r="C84" s="649" t="s">
        <v>1002</v>
      </c>
      <c r="D84" s="656" t="s">
        <v>1007</v>
      </c>
      <c r="E84" s="626" t="s">
        <v>1008</v>
      </c>
      <c r="F84" s="755">
        <v>200</v>
      </c>
      <c r="G84" s="627">
        <v>112</v>
      </c>
      <c r="H84" s="657">
        <f t="shared" si="0"/>
        <v>22400</v>
      </c>
      <c r="I84" s="666">
        <f>200*4</f>
        <v>800</v>
      </c>
      <c r="J84" s="628" t="s">
        <v>762</v>
      </c>
      <c r="K84" s="801">
        <v>0</v>
      </c>
      <c r="L84" s="755">
        <f>I84</f>
        <v>800</v>
      </c>
      <c r="M84" s="625">
        <v>28</v>
      </c>
      <c r="N84" s="769">
        <f>'Inputs and eligible population'!E56</f>
        <v>8.65</v>
      </c>
      <c r="O84" s="783">
        <f>L84*M84*N84</f>
        <v>193760</v>
      </c>
      <c r="P84" s="632">
        <f>O84/H84</f>
        <v>8.65</v>
      </c>
      <c r="Q84" s="629">
        <f>'Inputs and eligible population'!I67</f>
        <v>552.4</v>
      </c>
      <c r="R84" s="630">
        <f>'Inputs and eligible population'!J67</f>
        <v>0.2</v>
      </c>
      <c r="S84" s="667">
        <f>P84*Q84*(100%+R84)*K84</f>
        <v>0</v>
      </c>
      <c r="T84" s="246"/>
      <c r="U84" s="802"/>
    </row>
    <row r="85" spans="1:23" s="244" customFormat="1" ht="14.4" x14ac:dyDescent="0.3">
      <c r="A85" s="246"/>
      <c r="B85" s="625"/>
      <c r="C85" s="649" t="s">
        <v>763</v>
      </c>
      <c r="D85" s="656"/>
      <c r="E85" s="626"/>
      <c r="F85" s="627"/>
      <c r="G85" s="627"/>
      <c r="H85" s="657"/>
      <c r="I85" s="666"/>
      <c r="J85" s="628"/>
      <c r="K85" s="770"/>
      <c r="L85" s="755"/>
      <c r="M85" s="625"/>
      <c r="N85" s="631"/>
      <c r="O85" s="783"/>
      <c r="P85" s="649"/>
      <c r="Q85" s="629"/>
      <c r="R85" s="630"/>
      <c r="S85" s="667"/>
      <c r="T85" s="246"/>
      <c r="U85" s="802"/>
    </row>
    <row r="86" spans="1:23" s="244" customFormat="1" ht="14.4" x14ac:dyDescent="0.3">
      <c r="A86" s="246"/>
      <c r="B86" s="648"/>
      <c r="C86" s="249" t="s">
        <v>764</v>
      </c>
      <c r="D86" s="650"/>
      <c r="E86" s="650"/>
      <c r="F86" s="650"/>
      <c r="G86" s="650"/>
      <c r="H86" s="650"/>
      <c r="I86" s="650"/>
      <c r="J86" s="650"/>
      <c r="K86" s="650"/>
      <c r="L86" s="650"/>
      <c r="M86" s="650"/>
      <c r="N86" s="650"/>
      <c r="O86" s="650"/>
      <c r="P86" s="650"/>
      <c r="Q86" s="650"/>
      <c r="R86" s="664"/>
      <c r="S86" s="904">
        <f>SUM(S82:S85)</f>
        <v>3719.9102435153995</v>
      </c>
      <c r="T86" s="246"/>
      <c r="U86" s="802"/>
    </row>
    <row r="87" spans="1:23" s="244" customFormat="1" ht="14.4" x14ac:dyDescent="0.3">
      <c r="A87" s="246"/>
      <c r="B87" s="246"/>
      <c r="C87" s="246"/>
      <c r="D87" s="246"/>
      <c r="E87" s="246"/>
      <c r="F87" s="246"/>
      <c r="G87" s="246"/>
      <c r="H87" s="246"/>
      <c r="I87" s="246"/>
      <c r="J87" s="246"/>
      <c r="K87" s="246"/>
      <c r="L87" s="246"/>
      <c r="M87" s="246"/>
      <c r="N87" s="246"/>
      <c r="O87" s="246"/>
      <c r="P87" s="246"/>
      <c r="Q87" s="246"/>
      <c r="R87" s="246"/>
      <c r="S87" s="768"/>
      <c r="T87" s="246"/>
      <c r="U87" s="802"/>
    </row>
    <row r="88" spans="1:23" s="244" customFormat="1" ht="14.4" x14ac:dyDescent="0.3">
      <c r="A88" s="246"/>
      <c r="B88" s="246"/>
      <c r="C88" s="246"/>
      <c r="D88" s="246"/>
      <c r="E88" s="246"/>
      <c r="F88" s="246"/>
      <c r="G88" s="246"/>
      <c r="H88" s="246"/>
      <c r="I88" s="246"/>
      <c r="J88" s="246"/>
      <c r="K88" s="246"/>
      <c r="L88" s="246"/>
      <c r="M88" s="246"/>
      <c r="N88" s="246"/>
      <c r="O88" s="246"/>
      <c r="P88" s="246"/>
      <c r="Q88" s="246"/>
      <c r="R88" s="246"/>
      <c r="S88" s="768"/>
      <c r="T88" s="246"/>
      <c r="U88" s="802"/>
      <c r="W88" s="3"/>
    </row>
    <row r="89" spans="1:23" s="244" customFormat="1" ht="14.4" x14ac:dyDescent="0.3">
      <c r="A89" s="246"/>
      <c r="B89" s="246"/>
      <c r="C89" s="246"/>
      <c r="D89" s="246"/>
      <c r="E89" s="246"/>
      <c r="F89" s="246"/>
      <c r="G89" s="246"/>
      <c r="H89" s="246"/>
      <c r="I89" s="246"/>
      <c r="J89" s="246"/>
      <c r="K89" s="246"/>
      <c r="L89" s="246"/>
      <c r="M89" s="246"/>
      <c r="N89" s="246"/>
      <c r="O89" s="246"/>
      <c r="P89" s="246"/>
      <c r="Q89" s="246"/>
      <c r="R89" s="246"/>
      <c r="S89" s="768"/>
      <c r="T89" s="246"/>
      <c r="U89" s="802"/>
      <c r="W89" s="3"/>
    </row>
    <row r="90" spans="1:23" s="244" customFormat="1" ht="14.4" x14ac:dyDescent="0.3">
      <c r="A90" s="246"/>
      <c r="B90" s="246"/>
      <c r="C90" s="246"/>
      <c r="D90" s="246"/>
      <c r="E90" s="246"/>
      <c r="F90" s="246"/>
      <c r="G90" s="246"/>
      <c r="H90" s="246"/>
      <c r="I90" s="246"/>
      <c r="J90" s="246"/>
      <c r="K90" s="246"/>
      <c r="L90" s="246"/>
      <c r="M90" s="246"/>
      <c r="N90" s="246"/>
      <c r="O90" s="246"/>
      <c r="P90" s="246"/>
      <c r="Q90" s="246"/>
      <c r="R90" s="246"/>
      <c r="S90" s="768"/>
      <c r="T90" s="246"/>
      <c r="U90" s="802"/>
      <c r="W90" s="3"/>
    </row>
    <row r="91" spans="1:23" s="244" customFormat="1" ht="14.4" x14ac:dyDescent="0.3">
      <c r="A91" s="246"/>
      <c r="B91" s="246"/>
      <c r="C91" s="246"/>
      <c r="D91" s="246"/>
      <c r="E91" s="246"/>
      <c r="F91" s="246"/>
      <c r="G91" s="246"/>
      <c r="H91" s="246"/>
      <c r="I91" s="246"/>
      <c r="J91" s="246"/>
      <c r="K91" s="246"/>
      <c r="L91" s="246"/>
      <c r="M91" s="246"/>
      <c r="N91" s="246"/>
      <c r="O91" s="246"/>
      <c r="P91" s="246"/>
      <c r="Q91" s="246"/>
      <c r="R91" s="246"/>
      <c r="S91" s="768"/>
      <c r="T91" s="246"/>
      <c r="U91" s="802"/>
      <c r="W91" s="3"/>
    </row>
    <row r="92" spans="1:23" s="4" customFormat="1" ht="14.4" x14ac:dyDescent="0.3">
      <c r="A92" s="5"/>
      <c r="B92" s="193"/>
      <c r="C92" s="5"/>
      <c r="D92" s="177"/>
      <c r="E92" s="112"/>
      <c r="F92" s="178"/>
      <c r="G92" s="179"/>
      <c r="H92" s="5"/>
      <c r="I92" s="5"/>
      <c r="J92" s="180"/>
      <c r="K92" s="179"/>
      <c r="L92" s="179"/>
      <c r="M92" s="179"/>
      <c r="N92" s="179"/>
      <c r="O92" s="179"/>
      <c r="P92" s="179"/>
      <c r="Q92" s="179"/>
      <c r="R92" s="180"/>
      <c r="S92" s="5"/>
      <c r="T92" s="5"/>
      <c r="U92" s="444"/>
      <c r="W92" s="3"/>
    </row>
    <row r="93" spans="1:23" s="4" customFormat="1" ht="14.4" x14ac:dyDescent="0.3">
      <c r="A93" s="5"/>
      <c r="B93" s="438"/>
      <c r="C93" s="5"/>
      <c r="D93" s="177"/>
      <c r="E93" s="112"/>
      <c r="F93" s="178"/>
      <c r="G93" s="179"/>
      <c r="H93" s="5"/>
      <c r="I93" s="5"/>
      <c r="J93" s="180"/>
      <c r="K93" s="179"/>
      <c r="L93" s="179"/>
      <c r="M93" s="179"/>
      <c r="N93" s="179"/>
      <c r="O93" s="179"/>
      <c r="P93" s="179"/>
      <c r="Q93" s="179"/>
      <c r="R93" s="180"/>
      <c r="S93" s="5"/>
      <c r="T93" s="5"/>
      <c r="U93" s="444"/>
      <c r="W93" s="3"/>
    </row>
    <row r="94" spans="1:23" s="4" customFormat="1" ht="14.4" x14ac:dyDescent="0.3">
      <c r="A94" s="5"/>
      <c r="B94" s="242" t="s">
        <v>765</v>
      </c>
      <c r="C94" s="246"/>
      <c r="D94" s="177"/>
      <c r="E94" s="112"/>
      <c r="F94" s="178"/>
      <c r="G94" s="179"/>
      <c r="H94" s="5"/>
      <c r="I94" s="5"/>
      <c r="J94" s="180"/>
      <c r="K94" s="179"/>
      <c r="L94" s="179"/>
      <c r="M94" s="179"/>
      <c r="N94" s="179"/>
      <c r="O94" s="179"/>
      <c r="P94" s="179"/>
      <c r="Q94" s="179"/>
      <c r="R94" s="180"/>
      <c r="S94" s="463"/>
      <c r="T94" s="5"/>
      <c r="U94" s="444"/>
      <c r="W94" s="3"/>
    </row>
    <row r="95" spans="1:23" s="4" customFormat="1" ht="14.4" x14ac:dyDescent="0.3">
      <c r="A95" s="5"/>
      <c r="B95" s="245" t="s">
        <v>766</v>
      </c>
      <c r="C95" s="247" t="s">
        <v>767</v>
      </c>
      <c r="D95" s="250" t="s">
        <v>768</v>
      </c>
      <c r="E95" s="435"/>
      <c r="F95" s="436"/>
      <c r="G95" s="437"/>
      <c r="H95" s="436"/>
      <c r="I95" s="437"/>
      <c r="J95" s="436"/>
      <c r="K95" s="437"/>
      <c r="L95" s="437"/>
      <c r="M95" s="806"/>
      <c r="N95" s="440" t="s">
        <v>769</v>
      </c>
      <c r="O95" s="179"/>
      <c r="P95" s="179"/>
      <c r="Q95" s="179"/>
      <c r="R95" s="180"/>
      <c r="S95" s="464"/>
      <c r="T95" s="444"/>
      <c r="U95" s="444"/>
      <c r="W95" s="3"/>
    </row>
    <row r="96" spans="1:23" s="4" customFormat="1" ht="14.4" x14ac:dyDescent="0.3">
      <c r="A96" s="5"/>
      <c r="B96" s="625" t="s">
        <v>1049</v>
      </c>
      <c r="C96" s="633" t="s">
        <v>1050</v>
      </c>
      <c r="D96" s="634" t="s">
        <v>1051</v>
      </c>
      <c r="E96" s="635"/>
      <c r="F96" s="636"/>
      <c r="G96" s="637"/>
      <c r="H96" s="637"/>
      <c r="I96" s="637"/>
      <c r="J96" s="637"/>
      <c r="K96" s="636"/>
      <c r="L96" s="636"/>
      <c r="M96" s="638"/>
      <c r="N96" s="639">
        <v>134</v>
      </c>
      <c r="O96" s="179"/>
      <c r="P96" s="179"/>
      <c r="Q96" s="179"/>
      <c r="R96" s="180"/>
      <c r="S96" s="465" t="s">
        <v>771</v>
      </c>
      <c r="T96" s="444"/>
      <c r="U96" s="444"/>
      <c r="W96" s="3"/>
    </row>
    <row r="97" spans="1:27" s="4" customFormat="1" ht="14.4" x14ac:dyDescent="0.3">
      <c r="A97" s="5"/>
      <c r="B97" s="688" t="s">
        <v>770</v>
      </c>
      <c r="C97" s="177"/>
      <c r="D97" s="177"/>
      <c r="E97" s="112"/>
      <c r="F97" s="178"/>
      <c r="G97" s="179"/>
      <c r="H97" s="5"/>
      <c r="I97" s="5"/>
      <c r="J97" s="180"/>
      <c r="K97" s="179"/>
      <c r="L97" s="179"/>
      <c r="M97" s="179"/>
      <c r="N97" s="179"/>
      <c r="O97" s="179"/>
      <c r="P97" s="179"/>
      <c r="Q97" s="179"/>
      <c r="R97" s="180"/>
      <c r="S97" s="465" t="s">
        <v>772</v>
      </c>
      <c r="T97" s="444"/>
      <c r="U97" s="444"/>
      <c r="W97" s="3"/>
    </row>
    <row r="98" spans="1:27" s="4" customFormat="1" ht="14.4" x14ac:dyDescent="0.3">
      <c r="A98" s="5"/>
      <c r="B98" s="193"/>
      <c r="C98" s="177"/>
      <c r="D98" s="177"/>
      <c r="E98" s="112"/>
      <c r="F98" s="178"/>
      <c r="G98" s="179"/>
      <c r="H98" s="5"/>
      <c r="I98" s="5"/>
      <c r="J98" s="180"/>
      <c r="K98" s="179"/>
      <c r="L98" s="179"/>
      <c r="M98" s="179"/>
      <c r="N98" s="179"/>
      <c r="O98" s="179"/>
      <c r="P98" s="179"/>
      <c r="Q98" s="179"/>
      <c r="R98" s="180"/>
      <c r="S98" s="465" t="s">
        <v>773</v>
      </c>
      <c r="T98" s="444"/>
      <c r="U98" s="444"/>
      <c r="W98" s="3"/>
    </row>
    <row r="99" spans="1:27" s="4" customFormat="1" ht="14.4" x14ac:dyDescent="0.3">
      <c r="A99" s="5"/>
      <c r="B99" s="177"/>
      <c r="C99" s="177"/>
      <c r="D99" s="177"/>
      <c r="E99" s="112"/>
      <c r="F99" s="178"/>
      <c r="G99" s="179"/>
      <c r="H99" s="5"/>
      <c r="I99" s="5"/>
      <c r="J99" s="180"/>
      <c r="K99" s="179"/>
      <c r="L99" s="179"/>
      <c r="M99" s="179"/>
      <c r="N99" s="179"/>
      <c r="O99" s="179"/>
      <c r="P99" s="179"/>
      <c r="Q99" s="179"/>
      <c r="R99" s="180"/>
      <c r="S99" s="465" t="s">
        <v>774</v>
      </c>
      <c r="T99" s="444"/>
      <c r="U99" s="444"/>
      <c r="W99" s="3"/>
    </row>
    <row r="100" spans="1:27" s="4" customFormat="1" ht="14.4" x14ac:dyDescent="0.3">
      <c r="A100" s="5"/>
      <c r="B100" s="177"/>
      <c r="C100" s="177"/>
      <c r="D100" s="177"/>
      <c r="E100" s="112"/>
      <c r="F100" s="178"/>
      <c r="G100" s="179"/>
      <c r="H100" s="5"/>
      <c r="I100" s="5"/>
      <c r="J100" s="180"/>
      <c r="K100" s="179"/>
      <c r="L100" s="179"/>
      <c r="M100" s="179"/>
      <c r="N100" s="179"/>
      <c r="O100" s="179"/>
      <c r="P100" s="179"/>
      <c r="Q100" s="179"/>
      <c r="R100" s="180"/>
      <c r="S100" s="465" t="s">
        <v>775</v>
      </c>
      <c r="T100" s="444"/>
      <c r="U100" s="444"/>
      <c r="W100" s="3"/>
    </row>
    <row r="101" spans="1:27" s="4" customFormat="1" ht="14.4" x14ac:dyDescent="0.3">
      <c r="A101" s="5"/>
      <c r="B101" s="193"/>
      <c r="C101" s="5"/>
      <c r="D101" s="177"/>
      <c r="E101" s="112"/>
      <c r="F101" s="178"/>
      <c r="G101" s="179"/>
      <c r="H101" s="5"/>
      <c r="I101" s="5"/>
      <c r="J101" s="180"/>
      <c r="K101" s="179"/>
      <c r="L101" s="179"/>
      <c r="M101" s="179"/>
      <c r="N101" s="179"/>
      <c r="O101" s="179"/>
      <c r="P101" s="179"/>
      <c r="Q101" s="179"/>
      <c r="R101" s="180"/>
      <c r="S101" s="465" t="s">
        <v>776</v>
      </c>
      <c r="T101" s="444"/>
      <c r="U101" s="444"/>
      <c r="W101" s="3"/>
    </row>
    <row r="102" spans="1:27" s="4" customFormat="1" ht="14.4" x14ac:dyDescent="0.3">
      <c r="A102" s="5"/>
      <c r="B102" s="439" t="s">
        <v>781</v>
      </c>
      <c r="C102" s="177"/>
      <c r="D102" s="177"/>
      <c r="E102" s="112"/>
      <c r="F102" s="178"/>
      <c r="G102" s="179"/>
      <c r="H102" s="5"/>
      <c r="I102" s="5"/>
      <c r="J102" s="180"/>
      <c r="K102" s="179"/>
      <c r="L102" s="179"/>
      <c r="M102" s="179"/>
      <c r="N102" s="179"/>
      <c r="O102" s="179"/>
      <c r="P102" s="179"/>
      <c r="Q102" s="179"/>
      <c r="R102" s="180"/>
      <c r="S102" s="465"/>
      <c r="T102" s="444"/>
      <c r="U102" s="444"/>
      <c r="W102" s="3"/>
    </row>
    <row r="103" spans="1:27" s="4" customFormat="1" ht="14.4" x14ac:dyDescent="0.3">
      <c r="A103" s="180"/>
      <c r="B103" s="439" t="s">
        <v>1052</v>
      </c>
      <c r="C103" s="177"/>
      <c r="D103" s="177"/>
      <c r="E103" s="112"/>
      <c r="F103" s="178"/>
      <c r="G103" s="179"/>
      <c r="H103" s="5"/>
      <c r="I103" s="5"/>
      <c r="J103" s="180"/>
      <c r="K103" s="179"/>
      <c r="L103" s="179"/>
      <c r="M103" s="179"/>
      <c r="N103" s="179"/>
      <c r="O103" s="179"/>
      <c r="P103" s="180"/>
      <c r="Q103" s="179"/>
      <c r="R103" s="179"/>
      <c r="S103" s="465"/>
      <c r="T103" s="444"/>
      <c r="U103" s="444"/>
      <c r="W103" s="3"/>
    </row>
    <row r="104" spans="1:27" s="4" customFormat="1" ht="14.4" x14ac:dyDescent="0.3">
      <c r="A104" s="180"/>
      <c r="B104" s="245" t="s">
        <v>766</v>
      </c>
      <c r="C104" s="247" t="s">
        <v>767</v>
      </c>
      <c r="D104" s="250" t="s">
        <v>768</v>
      </c>
      <c r="E104" s="434"/>
      <c r="F104" s="435"/>
      <c r="G104" s="436"/>
      <c r="H104" s="437"/>
      <c r="I104" s="436"/>
      <c r="J104" s="437"/>
      <c r="K104" s="436"/>
      <c r="L104" s="437"/>
      <c r="M104" s="436"/>
      <c r="N104" s="440" t="s">
        <v>769</v>
      </c>
      <c r="O104" s="179"/>
      <c r="P104" s="180"/>
      <c r="Q104" s="179"/>
      <c r="R104" s="179"/>
      <c r="S104" s="465" t="s">
        <v>778</v>
      </c>
      <c r="T104" s="444"/>
      <c r="U104" s="444"/>
      <c r="W104" s="3"/>
    </row>
    <row r="105" spans="1:27" s="4" customFormat="1" ht="14.4" x14ac:dyDescent="0.3">
      <c r="A105" s="180"/>
      <c r="B105" s="642" t="s">
        <v>784</v>
      </c>
      <c r="C105" s="640" t="s">
        <v>1053</v>
      </c>
      <c r="D105" s="634" t="s">
        <v>1054</v>
      </c>
      <c r="E105" s="641"/>
      <c r="F105" s="635"/>
      <c r="G105" s="636"/>
      <c r="H105" s="637"/>
      <c r="I105" s="637"/>
      <c r="J105" s="637"/>
      <c r="K105" s="637"/>
      <c r="L105" s="636"/>
      <c r="M105" s="638"/>
      <c r="N105" s="639">
        <v>304</v>
      </c>
      <c r="O105" s="179"/>
      <c r="P105" s="180"/>
      <c r="Q105" s="179"/>
      <c r="R105" s="179"/>
      <c r="S105" s="465" t="s">
        <v>779</v>
      </c>
      <c r="T105" s="444"/>
      <c r="U105" s="444"/>
      <c r="W105" s="3"/>
    </row>
    <row r="106" spans="1:27" s="4" customFormat="1" ht="14.4" x14ac:dyDescent="0.3">
      <c r="A106" s="5"/>
      <c r="B106" s="683"/>
      <c r="C106" s="5"/>
      <c r="D106" s="177"/>
      <c r="E106" s="112"/>
      <c r="F106" s="178"/>
      <c r="G106" s="179"/>
      <c r="H106" s="5"/>
      <c r="I106" s="5"/>
      <c r="J106" s="180"/>
      <c r="K106" s="179"/>
      <c r="L106" s="179"/>
      <c r="M106" s="179"/>
      <c r="N106" s="179"/>
      <c r="O106" s="179"/>
      <c r="P106" s="179"/>
      <c r="Q106" s="179"/>
      <c r="R106" s="180"/>
      <c r="S106" s="465" t="s">
        <v>780</v>
      </c>
      <c r="T106" s="444"/>
      <c r="U106" s="444"/>
      <c r="W106" s="3"/>
    </row>
    <row r="107" spans="1:27" s="4" customFormat="1" ht="14.4" x14ac:dyDescent="0.3">
      <c r="A107" s="5"/>
      <c r="B107" s="193"/>
      <c r="C107" s="5"/>
      <c r="D107" s="177"/>
      <c r="E107" s="112"/>
      <c r="F107" s="178"/>
      <c r="G107" s="179"/>
      <c r="H107" s="5"/>
      <c r="I107" s="5"/>
      <c r="J107" s="180"/>
      <c r="K107" s="179"/>
      <c r="L107" s="179"/>
      <c r="M107" s="179"/>
      <c r="N107" s="179"/>
      <c r="O107" s="179"/>
      <c r="P107" s="179"/>
      <c r="Q107" s="179"/>
      <c r="R107" s="180"/>
      <c r="S107" s="465" t="s">
        <v>782</v>
      </c>
      <c r="T107" s="444"/>
      <c r="U107" s="444"/>
      <c r="W107" s="3"/>
    </row>
    <row r="108" spans="1:27" s="4" customFormat="1" ht="14.4" x14ac:dyDescent="0.3">
      <c r="A108" s="5"/>
      <c r="B108" s="439" t="s">
        <v>1055</v>
      </c>
      <c r="C108" s="177"/>
      <c r="D108" s="177"/>
      <c r="E108" s="112"/>
      <c r="F108" s="178"/>
      <c r="G108" s="179"/>
      <c r="H108" s="5"/>
      <c r="I108" s="5"/>
      <c r="J108" s="180"/>
      <c r="K108" s="179"/>
      <c r="L108" s="179"/>
      <c r="M108" s="179"/>
      <c r="N108" s="179"/>
      <c r="O108" s="179"/>
      <c r="P108" s="180"/>
      <c r="Q108" s="179"/>
      <c r="R108" s="179"/>
      <c r="S108" s="465" t="s">
        <v>783</v>
      </c>
      <c r="T108" s="444"/>
      <c r="U108" s="444"/>
      <c r="W108" s="3"/>
    </row>
    <row r="109" spans="1:27" s="4" customFormat="1" ht="14.4" x14ac:dyDescent="0.3">
      <c r="A109" s="5"/>
      <c r="B109" s="245" t="s">
        <v>766</v>
      </c>
      <c r="C109" s="245" t="s">
        <v>767</v>
      </c>
      <c r="D109" s="440" t="s">
        <v>768</v>
      </c>
      <c r="E109" s="808"/>
      <c r="F109" s="435"/>
      <c r="G109" s="436"/>
      <c r="H109" s="437"/>
      <c r="I109" s="436"/>
      <c r="J109" s="437"/>
      <c r="K109" s="436"/>
      <c r="L109" s="437"/>
      <c r="M109" s="806"/>
      <c r="N109" s="440" t="s">
        <v>769</v>
      </c>
      <c r="O109" s="179"/>
      <c r="P109" s="180"/>
      <c r="Q109" s="179"/>
      <c r="R109" s="179"/>
      <c r="S109" s="465" t="s">
        <v>785</v>
      </c>
      <c r="T109" s="444"/>
      <c r="U109" s="444"/>
      <c r="W109" s="3"/>
    </row>
    <row r="110" spans="1:27" s="4" customFormat="1" ht="14.4" x14ac:dyDescent="0.3">
      <c r="A110" s="5"/>
      <c r="B110" s="807" t="s">
        <v>784</v>
      </c>
      <c r="C110" s="640" t="s">
        <v>1056</v>
      </c>
      <c r="D110" s="809" t="s">
        <v>1057</v>
      </c>
      <c r="E110" s="810"/>
      <c r="F110" s="811"/>
      <c r="G110" s="812"/>
      <c r="H110" s="813"/>
      <c r="I110" s="637"/>
      <c r="J110" s="637"/>
      <c r="K110" s="637"/>
      <c r="L110" s="636"/>
      <c r="M110" s="638"/>
      <c r="N110" s="639">
        <v>141</v>
      </c>
      <c r="O110" s="179"/>
      <c r="P110" s="180"/>
      <c r="Q110" s="179"/>
      <c r="R110" s="179"/>
      <c r="S110" s="465"/>
      <c r="T110" s="814"/>
      <c r="U110" s="814"/>
      <c r="V110" s="815"/>
      <c r="W110" s="815"/>
      <c r="X110" s="815"/>
      <c r="Y110" s="815"/>
      <c r="Z110" s="816"/>
      <c r="AA110" s="817"/>
    </row>
    <row r="111" spans="1:27" s="4" customFormat="1" ht="14.4" x14ac:dyDescent="0.3">
      <c r="A111" s="5"/>
      <c r="B111" s="802"/>
      <c r="C111" s="818"/>
      <c r="D111" s="819"/>
      <c r="E111" s="820"/>
      <c r="F111" s="821"/>
      <c r="G111" s="822"/>
      <c r="H111" s="823"/>
      <c r="I111" s="823"/>
      <c r="J111" s="823"/>
      <c r="K111" s="823"/>
      <c r="L111" s="822"/>
      <c r="M111" s="822"/>
      <c r="N111" s="824"/>
      <c r="O111" s="179"/>
      <c r="P111" s="180"/>
      <c r="Q111" s="179"/>
      <c r="R111" s="179"/>
      <c r="S111" s="465"/>
      <c r="T111" s="814"/>
      <c r="U111" s="814"/>
      <c r="V111" s="815"/>
      <c r="W111" s="815"/>
      <c r="X111" s="815"/>
      <c r="Y111" s="815"/>
      <c r="Z111" s="816"/>
      <c r="AA111" s="817"/>
    </row>
    <row r="112" spans="1:27" s="4" customFormat="1" ht="19.8" customHeight="1" x14ac:dyDescent="0.3">
      <c r="A112" s="5"/>
      <c r="B112" s="802"/>
      <c r="C112" s="818"/>
      <c r="D112" s="819"/>
      <c r="E112" s="820"/>
      <c r="F112" s="821"/>
      <c r="G112" s="822"/>
      <c r="H112" s="823"/>
      <c r="I112" s="823"/>
      <c r="J112" s="823"/>
      <c r="K112" s="823"/>
      <c r="L112" s="822"/>
      <c r="M112" s="822"/>
      <c r="N112" s="824"/>
      <c r="O112" s="179"/>
      <c r="P112" s="180"/>
      <c r="Q112" s="179"/>
      <c r="R112" s="179"/>
      <c r="S112" s="465"/>
      <c r="T112" s="814"/>
      <c r="U112" s="814"/>
      <c r="V112" s="815"/>
      <c r="W112" s="815"/>
      <c r="X112" s="815"/>
      <c r="Y112" s="815"/>
      <c r="Z112" s="816"/>
      <c r="AA112" s="817"/>
    </row>
    <row r="113" spans="1:27" s="4" customFormat="1" ht="18.600000000000001" customHeight="1" x14ac:dyDescent="0.3">
      <c r="A113" s="5"/>
      <c r="B113" s="245" t="s">
        <v>766</v>
      </c>
      <c r="C113" s="245" t="s">
        <v>767</v>
      </c>
      <c r="D113" s="440" t="s">
        <v>768</v>
      </c>
      <c r="E113" s="808"/>
      <c r="F113" s="435"/>
      <c r="G113" s="436"/>
      <c r="H113" s="437"/>
      <c r="I113" s="436"/>
      <c r="J113" s="437"/>
      <c r="K113" s="436"/>
      <c r="L113" s="437"/>
      <c r="M113" s="806"/>
      <c r="N113" s="440" t="s">
        <v>769</v>
      </c>
      <c r="O113" s="179"/>
      <c r="P113" s="179"/>
      <c r="Q113" s="179"/>
      <c r="R113" s="180"/>
      <c r="S113" s="465" t="s">
        <v>786</v>
      </c>
      <c r="T113" s="814"/>
      <c r="U113" s="814"/>
      <c r="V113" s="815"/>
      <c r="W113" s="815"/>
      <c r="X113" s="815"/>
      <c r="Y113" s="815"/>
      <c r="AA113" s="817"/>
    </row>
    <row r="114" spans="1:27" s="4" customFormat="1" ht="14.4" x14ac:dyDescent="0.3">
      <c r="A114" s="5"/>
      <c r="B114" s="807" t="s">
        <v>784</v>
      </c>
      <c r="C114" s="640" t="s">
        <v>1056</v>
      </c>
      <c r="D114" s="809" t="s">
        <v>1058</v>
      </c>
      <c r="E114" s="810"/>
      <c r="F114" s="811"/>
      <c r="G114" s="812"/>
      <c r="H114" s="813"/>
      <c r="I114" s="637"/>
      <c r="J114" s="637"/>
      <c r="K114" s="637"/>
      <c r="L114" s="636"/>
      <c r="M114" s="638"/>
      <c r="N114" s="639">
        <v>129</v>
      </c>
      <c r="O114" s="179"/>
      <c r="P114" s="180"/>
      <c r="Q114" s="179"/>
      <c r="R114" s="179"/>
      <c r="S114" s="465" t="s">
        <v>787</v>
      </c>
      <c r="T114" s="814"/>
      <c r="U114" s="814"/>
      <c r="V114" s="815"/>
      <c r="W114" s="815"/>
      <c r="X114" s="815"/>
      <c r="Y114" s="815"/>
      <c r="AA114" s="817"/>
    </row>
    <row r="115" spans="1:27" s="4" customFormat="1" ht="14.4" x14ac:dyDescent="0.3">
      <c r="A115" s="5"/>
      <c r="B115" s="193"/>
      <c r="C115" s="5"/>
      <c r="D115" s="177"/>
      <c r="E115" s="112"/>
      <c r="F115" s="178"/>
      <c r="G115" s="179"/>
      <c r="H115" s="5"/>
      <c r="I115" s="5"/>
      <c r="J115" s="180"/>
      <c r="K115" s="179"/>
      <c r="L115" s="179"/>
      <c r="M115" s="179"/>
      <c r="N115" s="179"/>
      <c r="O115" s="179"/>
      <c r="P115" s="180"/>
      <c r="Q115" s="179"/>
      <c r="R115" s="179"/>
      <c r="S115" s="465" t="s">
        <v>788</v>
      </c>
      <c r="T115" s="444"/>
      <c r="U115" s="444"/>
      <c r="W115" s="3"/>
    </row>
    <row r="116" spans="1:27" s="4" customFormat="1" ht="14.4" x14ac:dyDescent="0.3">
      <c r="A116" s="5"/>
      <c r="B116" s="688" t="s">
        <v>770</v>
      </c>
      <c r="C116" s="5"/>
      <c r="D116" s="177"/>
      <c r="E116" s="112"/>
      <c r="F116" s="178"/>
      <c r="G116" s="179"/>
      <c r="H116" s="5"/>
      <c r="I116" s="5"/>
      <c r="J116" s="180"/>
      <c r="K116" s="179"/>
      <c r="L116" s="179"/>
      <c r="M116" s="179"/>
      <c r="N116" s="179"/>
      <c r="O116" s="179"/>
      <c r="P116" s="180"/>
      <c r="Q116" s="179"/>
      <c r="R116" s="179"/>
      <c r="S116" s="465" t="s">
        <v>789</v>
      </c>
      <c r="T116" s="814"/>
      <c r="U116" s="814"/>
      <c r="V116" s="815"/>
      <c r="W116" s="815"/>
      <c r="X116" s="815"/>
      <c r="Y116" s="815"/>
      <c r="Z116" s="816"/>
      <c r="AA116" s="817"/>
    </row>
    <row r="117" spans="1:27" s="4" customFormat="1" ht="31.8" customHeight="1" x14ac:dyDescent="0.3">
      <c r="A117" s="5"/>
      <c r="B117" s="439" t="s">
        <v>1059</v>
      </c>
      <c r="C117" s="177"/>
      <c r="D117" s="177"/>
      <c r="E117" s="112"/>
      <c r="F117" s="178"/>
      <c r="G117" s="179"/>
      <c r="H117" s="5"/>
      <c r="I117" s="5"/>
      <c r="J117" s="180"/>
      <c r="K117" s="179"/>
      <c r="L117" s="179"/>
      <c r="M117" s="179"/>
      <c r="N117" s="179"/>
      <c r="O117" s="179"/>
      <c r="P117" s="179"/>
      <c r="Q117" s="179"/>
      <c r="R117" s="180"/>
      <c r="S117" s="465" t="s">
        <v>790</v>
      </c>
      <c r="T117" s="444"/>
      <c r="U117" s="444"/>
      <c r="W117" s="3"/>
    </row>
    <row r="118" spans="1:27" s="4" customFormat="1" ht="14.4" x14ac:dyDescent="0.3">
      <c r="A118" s="5"/>
      <c r="B118" s="245" t="s">
        <v>766</v>
      </c>
      <c r="C118" s="247" t="s">
        <v>767</v>
      </c>
      <c r="D118" s="250" t="s">
        <v>768</v>
      </c>
      <c r="E118" s="434"/>
      <c r="F118" s="435"/>
      <c r="G118" s="436"/>
      <c r="H118" s="437"/>
      <c r="I118" s="436"/>
      <c r="J118" s="437"/>
      <c r="K118" s="436"/>
      <c r="L118" s="437"/>
      <c r="M118" s="436"/>
      <c r="N118" s="440" t="s">
        <v>769</v>
      </c>
      <c r="O118" s="179"/>
      <c r="P118" s="179"/>
      <c r="Q118" s="179"/>
      <c r="R118" s="180"/>
      <c r="S118" s="465" t="s">
        <v>791</v>
      </c>
      <c r="T118" s="814"/>
      <c r="U118" s="814"/>
      <c r="V118" s="815"/>
      <c r="W118" s="815"/>
      <c r="X118" s="815"/>
      <c r="Y118" s="815"/>
      <c r="Z118" s="816"/>
      <c r="AA118" s="817"/>
    </row>
    <row r="119" spans="1:27" s="4" customFormat="1" ht="14.4" x14ac:dyDescent="0.3">
      <c r="A119" s="5"/>
      <c r="B119" s="807" t="s">
        <v>784</v>
      </c>
      <c r="C119" s="640" t="s">
        <v>1060</v>
      </c>
      <c r="D119" s="634" t="s">
        <v>1061</v>
      </c>
      <c r="E119" s="641"/>
      <c r="F119" s="635"/>
      <c r="G119" s="636"/>
      <c r="H119" s="637"/>
      <c r="I119" s="637"/>
      <c r="J119" s="637"/>
      <c r="K119" s="637"/>
      <c r="L119" s="636"/>
      <c r="M119" s="638"/>
      <c r="N119" s="869">
        <v>4.7</v>
      </c>
      <c r="O119" s="179"/>
      <c r="P119" s="179"/>
      <c r="Q119" s="179"/>
      <c r="R119" s="180"/>
      <c r="S119" s="465" t="s">
        <v>792</v>
      </c>
      <c r="T119" s="814"/>
      <c r="U119" s="814"/>
      <c r="V119" s="815"/>
      <c r="W119" s="815"/>
      <c r="X119" s="815"/>
      <c r="Y119" s="815"/>
      <c r="Z119" s="816"/>
      <c r="AA119" s="817"/>
    </row>
    <row r="120" spans="1:27" s="4" customFormat="1" ht="14.4" x14ac:dyDescent="0.3">
      <c r="A120" s="5"/>
      <c r="B120" s="246"/>
      <c r="C120" s="818"/>
      <c r="D120" s="819"/>
      <c r="E120" s="820"/>
      <c r="F120" s="821"/>
      <c r="G120" s="822"/>
      <c r="H120" s="823"/>
      <c r="I120" s="823"/>
      <c r="J120" s="823"/>
      <c r="K120" s="823"/>
      <c r="L120" s="822"/>
      <c r="M120" s="822"/>
      <c r="N120" s="824"/>
      <c r="O120" s="179"/>
      <c r="P120" s="179"/>
      <c r="Q120" s="179"/>
      <c r="R120" s="180"/>
      <c r="S120" s="465" t="s">
        <v>775</v>
      </c>
      <c r="T120" s="814"/>
      <c r="U120" s="814"/>
      <c r="V120" s="815"/>
      <c r="W120" s="815"/>
      <c r="X120" s="815"/>
      <c r="Y120" s="815"/>
      <c r="Z120" s="816"/>
      <c r="AA120" s="817"/>
    </row>
    <row r="121" spans="1:27" s="4" customFormat="1" ht="14.4" x14ac:dyDescent="0.3">
      <c r="A121" s="5"/>
      <c r="B121" s="683"/>
      <c r="C121" s="5"/>
      <c r="D121" s="177"/>
      <c r="E121" s="112"/>
      <c r="F121" s="178"/>
      <c r="G121" s="179"/>
      <c r="H121" s="5"/>
      <c r="I121" s="5"/>
      <c r="J121" s="180"/>
      <c r="K121" s="179"/>
      <c r="L121" s="179"/>
      <c r="M121" s="179"/>
      <c r="N121" s="179"/>
      <c r="O121" s="179"/>
      <c r="P121" s="179"/>
      <c r="Q121" s="179"/>
      <c r="R121" s="180"/>
      <c r="S121" s="465" t="s">
        <v>793</v>
      </c>
      <c r="T121" s="814"/>
      <c r="U121" s="814"/>
      <c r="V121" s="815"/>
      <c r="W121" s="815"/>
      <c r="X121" s="815"/>
      <c r="Y121" s="815"/>
      <c r="Z121" s="816"/>
      <c r="AA121" s="817"/>
    </row>
    <row r="122" spans="1:27" s="4" customFormat="1" ht="14.4" x14ac:dyDescent="0.3">
      <c r="A122" s="5"/>
      <c r="B122" s="340" t="s">
        <v>1116</v>
      </c>
      <c r="C122" s="177"/>
      <c r="D122" s="177"/>
      <c r="E122" s="112"/>
      <c r="F122" s="178"/>
      <c r="G122" s="179"/>
      <c r="H122" s="5"/>
      <c r="I122" s="5"/>
      <c r="J122" s="180"/>
      <c r="K122" s="179"/>
      <c r="L122" s="179"/>
      <c r="M122" s="179"/>
      <c r="N122" s="179"/>
      <c r="O122" s="179"/>
      <c r="P122" s="179"/>
      <c r="Q122" s="179"/>
      <c r="R122" s="180"/>
      <c r="S122" s="465" t="s">
        <v>794</v>
      </c>
      <c r="T122" s="5"/>
      <c r="U122" s="444"/>
      <c r="W122" s="3"/>
    </row>
    <row r="123" spans="1:27" s="4" customFormat="1" ht="14.4" x14ac:dyDescent="0.3">
      <c r="A123" s="5"/>
      <c r="B123" s="193"/>
      <c r="C123" s="177"/>
      <c r="D123" s="177"/>
      <c r="E123" s="112"/>
      <c r="F123" s="178"/>
      <c r="G123" s="179"/>
      <c r="H123" s="5"/>
      <c r="I123" s="5"/>
      <c r="J123" s="180"/>
      <c r="K123" s="179"/>
      <c r="L123" s="179"/>
      <c r="M123" s="179"/>
      <c r="N123" s="179"/>
      <c r="O123" s="179"/>
      <c r="P123" s="179"/>
      <c r="Q123" s="179"/>
      <c r="R123" s="180"/>
      <c r="S123" s="465"/>
      <c r="T123" s="5"/>
      <c r="U123" s="444"/>
      <c r="W123" s="3"/>
    </row>
    <row r="124" spans="1:27" s="4" customFormat="1" ht="14.4" x14ac:dyDescent="0.3">
      <c r="A124" s="5"/>
      <c r="B124" s="439" t="s">
        <v>1084</v>
      </c>
      <c r="C124" s="177"/>
      <c r="D124" s="177"/>
      <c r="E124" s="112"/>
      <c r="F124" s="178"/>
      <c r="G124" s="179"/>
      <c r="H124" s="5"/>
      <c r="I124" s="5"/>
      <c r="J124" s="180"/>
      <c r="K124" s="179"/>
      <c r="L124" s="179"/>
      <c r="M124" s="179"/>
      <c r="N124" s="179"/>
      <c r="O124" s="179"/>
      <c r="P124" s="179"/>
      <c r="Q124" s="179"/>
      <c r="R124" s="180"/>
      <c r="S124" s="464"/>
      <c r="T124" s="444"/>
      <c r="U124" s="444"/>
      <c r="W124" s="3"/>
    </row>
    <row r="125" spans="1:27" s="4" customFormat="1" ht="14.4" x14ac:dyDescent="0.3">
      <c r="A125" s="5"/>
      <c r="B125" s="245" t="s">
        <v>766</v>
      </c>
      <c r="C125" s="247" t="s">
        <v>767</v>
      </c>
      <c r="D125" s="250" t="s">
        <v>768</v>
      </c>
      <c r="E125" s="434"/>
      <c r="F125" s="435"/>
      <c r="G125" s="436"/>
      <c r="H125" s="437"/>
      <c r="I125" s="436"/>
      <c r="J125" s="437"/>
      <c r="K125" s="436"/>
      <c r="L125" s="437"/>
      <c r="M125" s="436"/>
      <c r="N125" s="440" t="s">
        <v>769</v>
      </c>
      <c r="O125" s="179"/>
      <c r="P125" s="179"/>
      <c r="Q125" s="179"/>
      <c r="R125" s="180"/>
      <c r="S125" s="464"/>
      <c r="T125" s="814"/>
      <c r="U125" s="814"/>
      <c r="V125" s="815"/>
      <c r="W125" s="815"/>
      <c r="X125" s="815"/>
      <c r="Y125" s="815"/>
      <c r="Z125" s="816"/>
      <c r="AA125" s="817"/>
    </row>
    <row r="126" spans="1:27" s="4" customFormat="1" ht="14.4" x14ac:dyDescent="0.3">
      <c r="A126" s="5"/>
      <c r="B126" s="807" t="s">
        <v>784</v>
      </c>
      <c r="C126" s="640" t="s">
        <v>1117</v>
      </c>
      <c r="D126" s="634" t="s">
        <v>1118</v>
      </c>
      <c r="E126" s="641"/>
      <c r="F126" s="635"/>
      <c r="G126" s="636"/>
      <c r="H126" s="637"/>
      <c r="I126" s="637"/>
      <c r="J126" s="637"/>
      <c r="K126" s="637"/>
      <c r="L126" s="636"/>
      <c r="M126" s="638"/>
      <c r="N126" s="869">
        <v>3.35</v>
      </c>
      <c r="O126" s="179"/>
      <c r="P126" s="179"/>
      <c r="Q126" s="179"/>
      <c r="R126" s="180"/>
      <c r="S126" s="464"/>
      <c r="T126" s="814"/>
      <c r="U126" s="814"/>
      <c r="V126" s="815"/>
      <c r="W126" s="815"/>
      <c r="X126" s="815"/>
      <c r="Y126" s="815"/>
      <c r="Z126" s="816"/>
      <c r="AA126" s="817"/>
    </row>
    <row r="127" spans="1:27" s="4" customFormat="1" ht="14.4" x14ac:dyDescent="0.3">
      <c r="A127" s="5"/>
      <c r="B127" s="246"/>
      <c r="C127" s="818"/>
      <c r="D127" s="819"/>
      <c r="E127" s="820"/>
      <c r="F127" s="821"/>
      <c r="G127" s="822"/>
      <c r="H127" s="823"/>
      <c r="I127" s="823"/>
      <c r="J127" s="823"/>
      <c r="K127" s="823"/>
      <c r="L127" s="822"/>
      <c r="M127" s="822"/>
      <c r="N127" s="870"/>
      <c r="O127" s="814"/>
      <c r="P127" s="179"/>
      <c r="Q127" s="179"/>
      <c r="R127" s="180"/>
      <c r="S127" s="465"/>
      <c r="T127" s="814"/>
      <c r="U127" s="814"/>
      <c r="V127" s="815"/>
      <c r="W127" s="815"/>
      <c r="X127" s="815"/>
      <c r="Y127" s="815"/>
      <c r="Z127" s="816"/>
      <c r="AA127" s="817"/>
    </row>
    <row r="128" spans="1:27" s="4" customFormat="1" ht="14.4" x14ac:dyDescent="0.3">
      <c r="A128" s="5"/>
      <c r="B128" s="340" t="s">
        <v>1116</v>
      </c>
      <c r="C128" s="818"/>
      <c r="D128" s="819"/>
      <c r="E128" s="820"/>
      <c r="F128" s="821"/>
      <c r="G128" s="822"/>
      <c r="H128" s="823"/>
      <c r="I128" s="823"/>
      <c r="J128" s="823"/>
      <c r="K128" s="823"/>
      <c r="L128" s="822"/>
      <c r="M128" s="822"/>
      <c r="N128" s="824"/>
      <c r="O128" s="179"/>
      <c r="P128" s="179"/>
      <c r="Q128" s="179"/>
      <c r="R128" s="180"/>
      <c r="S128" s="465"/>
      <c r="T128" s="814"/>
      <c r="U128" s="814"/>
      <c r="V128" s="815"/>
      <c r="W128" s="815"/>
      <c r="X128" s="815"/>
      <c r="Y128" s="815"/>
      <c r="Z128" s="816"/>
      <c r="AA128" s="817"/>
    </row>
    <row r="129" spans="1:27" s="4" customFormat="1" ht="14.4" x14ac:dyDescent="0.3">
      <c r="A129" s="5"/>
      <c r="B129" s="246"/>
      <c r="C129" s="818"/>
      <c r="D129" s="819"/>
      <c r="E129" s="820"/>
      <c r="F129" s="821"/>
      <c r="G129" s="822"/>
      <c r="H129" s="823"/>
      <c r="I129" s="823"/>
      <c r="J129" s="823"/>
      <c r="K129" s="823"/>
      <c r="L129" s="822"/>
      <c r="M129" s="822"/>
      <c r="N129" s="824"/>
      <c r="O129" s="179"/>
      <c r="P129" s="179"/>
      <c r="Q129" s="179"/>
      <c r="R129" s="180"/>
      <c r="S129" s="465"/>
      <c r="T129" s="814"/>
      <c r="U129" s="814"/>
      <c r="V129" s="815"/>
      <c r="W129" s="815"/>
      <c r="X129" s="815"/>
      <c r="Y129" s="815"/>
      <c r="Z129" s="816"/>
      <c r="AA129" s="817"/>
    </row>
    <row r="130" spans="1:27" s="4" customFormat="1" ht="14.4" x14ac:dyDescent="0.3">
      <c r="A130" s="5"/>
      <c r="B130" s="439" t="s">
        <v>1119</v>
      </c>
      <c r="C130" s="177"/>
      <c r="D130" s="177"/>
      <c r="E130" s="112"/>
      <c r="F130" s="178"/>
      <c r="G130" s="179"/>
      <c r="H130" s="5"/>
      <c r="I130" s="5"/>
      <c r="J130" s="180"/>
      <c r="K130" s="179"/>
      <c r="L130" s="179"/>
      <c r="M130" s="179"/>
      <c r="N130" s="179"/>
      <c r="O130" s="179"/>
      <c r="P130" s="179"/>
      <c r="Q130" s="179"/>
      <c r="R130" s="180"/>
      <c r="S130" s="465"/>
      <c r="T130" s="5"/>
      <c r="U130" s="444"/>
      <c r="W130" s="3"/>
    </row>
    <row r="131" spans="1:27" s="4" customFormat="1" ht="14.4" x14ac:dyDescent="0.3">
      <c r="A131" s="5"/>
      <c r="B131" s="245" t="s">
        <v>766</v>
      </c>
      <c r="C131" s="247" t="s">
        <v>767</v>
      </c>
      <c r="D131" s="250" t="s">
        <v>768</v>
      </c>
      <c r="E131" s="434"/>
      <c r="F131" s="435"/>
      <c r="G131" s="436"/>
      <c r="H131" s="437"/>
      <c r="I131" s="436"/>
      <c r="J131" s="437"/>
      <c r="K131" s="436"/>
      <c r="L131" s="437"/>
      <c r="M131" s="436"/>
      <c r="N131" s="440" t="s">
        <v>769</v>
      </c>
      <c r="O131" s="179"/>
      <c r="P131" s="179"/>
      <c r="Q131" s="179"/>
      <c r="R131" s="180"/>
      <c r="S131" s="465"/>
      <c r="T131" s="5"/>
      <c r="U131" s="444"/>
      <c r="W131" s="3"/>
    </row>
    <row r="132" spans="1:27" s="4" customFormat="1" ht="14.4" x14ac:dyDescent="0.3">
      <c r="A132" s="5"/>
      <c r="B132" s="625" t="s">
        <v>784</v>
      </c>
      <c r="C132" s="640" t="s">
        <v>1120</v>
      </c>
      <c r="D132" s="634" t="s">
        <v>1121</v>
      </c>
      <c r="E132" s="641"/>
      <c r="F132" s="635"/>
      <c r="G132" s="636"/>
      <c r="H132" s="637"/>
      <c r="I132" s="637"/>
      <c r="J132" s="637"/>
      <c r="K132" s="637"/>
      <c r="L132" s="636"/>
      <c r="M132" s="638"/>
      <c r="N132" s="639">
        <v>741.54</v>
      </c>
      <c r="O132" s="179"/>
      <c r="P132" s="179"/>
      <c r="Q132" s="179"/>
      <c r="R132" s="180"/>
      <c r="S132" s="465"/>
      <c r="T132" s="5"/>
      <c r="U132" s="444"/>
      <c r="W132" s="3"/>
    </row>
    <row r="133" spans="1:27" s="4" customFormat="1" ht="14.4" x14ac:dyDescent="0.3">
      <c r="A133" s="5"/>
      <c r="B133" s="683" t="s">
        <v>777</v>
      </c>
      <c r="C133" s="5"/>
      <c r="D133" s="177"/>
      <c r="E133" s="112"/>
      <c r="F133" s="178"/>
      <c r="G133" s="179"/>
      <c r="H133" s="5"/>
      <c r="I133" s="5"/>
      <c r="J133" s="180"/>
      <c r="K133" s="179"/>
      <c r="L133" s="179"/>
      <c r="M133" s="179"/>
      <c r="N133" s="179"/>
      <c r="O133" s="179"/>
      <c r="P133" s="179"/>
      <c r="Q133" s="179"/>
      <c r="R133" s="180"/>
      <c r="S133" s="465"/>
      <c r="T133" s="5"/>
      <c r="U133" s="444"/>
      <c r="W133" s="3"/>
    </row>
    <row r="134" spans="1:27" s="4" customFormat="1" ht="14.4" x14ac:dyDescent="0.3">
      <c r="A134" s="5"/>
      <c r="B134" s="193"/>
      <c r="C134" s="5"/>
      <c r="D134" s="177"/>
      <c r="E134" s="112"/>
      <c r="F134" s="178"/>
      <c r="G134" s="179"/>
      <c r="H134" s="5"/>
      <c r="I134" s="5"/>
      <c r="J134" s="180"/>
      <c r="K134" s="179"/>
      <c r="L134" s="179"/>
      <c r="M134" s="179"/>
      <c r="N134" s="179"/>
      <c r="O134" s="179"/>
      <c r="P134" s="179"/>
      <c r="Q134" s="179"/>
      <c r="R134" s="180"/>
      <c r="S134" s="465"/>
      <c r="T134" s="5"/>
      <c r="U134" s="444"/>
      <c r="W134" s="3"/>
    </row>
    <row r="135" spans="1:27" s="4" customFormat="1" ht="14.4" x14ac:dyDescent="0.3">
      <c r="A135" s="5"/>
      <c r="B135" s="439" t="s">
        <v>1122</v>
      </c>
      <c r="C135" s="177"/>
      <c r="D135" s="177"/>
      <c r="E135" s="112"/>
      <c r="F135" s="178"/>
      <c r="G135" s="179"/>
      <c r="H135" s="5"/>
      <c r="I135" s="5"/>
      <c r="J135" s="180"/>
      <c r="K135" s="179"/>
      <c r="L135" s="179"/>
      <c r="M135" s="179"/>
      <c r="N135" s="179"/>
      <c r="O135" s="179"/>
      <c r="P135" s="179"/>
      <c r="Q135" s="179"/>
      <c r="R135" s="180"/>
      <c r="S135" s="465"/>
      <c r="T135" s="5"/>
      <c r="U135" s="444"/>
      <c r="W135" s="3"/>
    </row>
    <row r="136" spans="1:27" s="4" customFormat="1" ht="14.4" x14ac:dyDescent="0.3">
      <c r="A136" s="5"/>
      <c r="B136" s="245" t="s">
        <v>766</v>
      </c>
      <c r="C136" s="247" t="s">
        <v>767</v>
      </c>
      <c r="D136" s="250" t="s">
        <v>768</v>
      </c>
      <c r="E136" s="434"/>
      <c r="F136" s="435"/>
      <c r="G136" s="436"/>
      <c r="H136" s="437"/>
      <c r="I136" s="436"/>
      <c r="J136" s="437"/>
      <c r="K136" s="436"/>
      <c r="L136" s="437"/>
      <c r="M136" s="436"/>
      <c r="N136" s="440" t="s">
        <v>769</v>
      </c>
      <c r="O136" s="179"/>
      <c r="P136" s="179"/>
      <c r="Q136" s="179"/>
      <c r="R136" s="180"/>
      <c r="S136" s="465"/>
      <c r="T136" s="5"/>
      <c r="U136" s="444"/>
      <c r="W136" s="3"/>
    </row>
    <row r="137" spans="1:27" s="4" customFormat="1" ht="14.4" x14ac:dyDescent="0.3">
      <c r="A137" s="5"/>
      <c r="B137" s="625" t="s">
        <v>784</v>
      </c>
      <c r="C137" s="640" t="s">
        <v>1123</v>
      </c>
      <c r="D137" s="634" t="s">
        <v>1124</v>
      </c>
      <c r="E137" s="641"/>
      <c r="F137" s="635"/>
      <c r="G137" s="636"/>
      <c r="H137" s="637"/>
      <c r="I137" s="637"/>
      <c r="J137" s="637"/>
      <c r="K137" s="637"/>
      <c r="L137" s="636"/>
      <c r="M137" s="638"/>
      <c r="N137" s="639">
        <v>162.87</v>
      </c>
      <c r="O137" s="179"/>
      <c r="P137" s="179"/>
      <c r="Q137" s="179"/>
      <c r="R137" s="180"/>
      <c r="S137" s="465"/>
      <c r="T137" s="5"/>
      <c r="U137" s="444"/>
      <c r="W137" s="3"/>
    </row>
    <row r="138" spans="1:27" s="4" customFormat="1" ht="14.4" x14ac:dyDescent="0.3">
      <c r="A138" s="5"/>
      <c r="B138" s="683" t="s">
        <v>777</v>
      </c>
      <c r="C138" s="5"/>
      <c r="D138" s="177"/>
      <c r="E138" s="112"/>
      <c r="F138" s="178"/>
      <c r="G138" s="179"/>
      <c r="H138" s="5"/>
      <c r="I138" s="5"/>
      <c r="J138" s="180"/>
      <c r="K138" s="179"/>
      <c r="L138" s="179"/>
      <c r="M138" s="179"/>
      <c r="N138" s="179"/>
      <c r="O138" s="179"/>
      <c r="P138" s="179"/>
      <c r="Q138" s="179"/>
      <c r="R138" s="180"/>
      <c r="S138" s="465"/>
      <c r="T138" s="5"/>
      <c r="U138" s="444"/>
      <c r="W138" s="3"/>
    </row>
    <row r="139" spans="1:27" s="4" customFormat="1" ht="14.4" x14ac:dyDescent="0.3">
      <c r="A139" s="5"/>
      <c r="B139" s="194"/>
      <c r="C139" s="5"/>
      <c r="D139" s="177"/>
      <c r="E139" s="112"/>
      <c r="F139" s="178"/>
      <c r="G139" s="179"/>
      <c r="H139" s="5"/>
      <c r="I139" s="5"/>
      <c r="J139" s="180"/>
      <c r="K139" s="179"/>
      <c r="L139" s="179"/>
      <c r="M139" s="179"/>
      <c r="N139" s="179"/>
      <c r="O139" s="179"/>
      <c r="P139" s="179"/>
      <c r="Q139" s="179"/>
      <c r="R139" s="180"/>
      <c r="S139" s="465"/>
      <c r="T139" s="5"/>
      <c r="U139" s="444"/>
      <c r="W139" s="3"/>
    </row>
    <row r="140" spans="1:27" s="4" customFormat="1" ht="14.4" x14ac:dyDescent="0.3">
      <c r="A140" s="5"/>
      <c r="B140" s="439" t="s">
        <v>1125</v>
      </c>
      <c r="C140" s="177"/>
      <c r="D140" s="177"/>
      <c r="E140" s="112"/>
      <c r="F140" s="178"/>
      <c r="G140" s="179"/>
      <c r="H140" s="5"/>
      <c r="I140" s="5"/>
      <c r="J140" s="180"/>
      <c r="K140" s="179"/>
      <c r="L140" s="179"/>
      <c r="M140" s="179"/>
      <c r="N140" s="179"/>
      <c r="O140" s="179"/>
      <c r="P140" s="179"/>
      <c r="Q140" s="179"/>
      <c r="R140" s="180"/>
      <c r="S140" s="465"/>
      <c r="T140" s="5"/>
      <c r="U140" s="444"/>
      <c r="W140" s="3"/>
    </row>
    <row r="141" spans="1:27" s="4" customFormat="1" ht="14.4" x14ac:dyDescent="0.3">
      <c r="A141" s="5"/>
      <c r="B141" s="245" t="s">
        <v>766</v>
      </c>
      <c r="C141" s="247" t="s">
        <v>767</v>
      </c>
      <c r="D141" s="250" t="s">
        <v>768</v>
      </c>
      <c r="E141" s="434"/>
      <c r="F141" s="435"/>
      <c r="G141" s="436"/>
      <c r="H141" s="437"/>
      <c r="I141" s="436"/>
      <c r="J141" s="437"/>
      <c r="K141" s="436"/>
      <c r="L141" s="437"/>
      <c r="M141" s="436"/>
      <c r="N141" s="440" t="s">
        <v>769</v>
      </c>
      <c r="O141" s="179"/>
      <c r="P141" s="179"/>
      <c r="Q141" s="179"/>
      <c r="R141" s="180"/>
      <c r="S141" s="465"/>
      <c r="T141" s="5"/>
      <c r="U141" s="444"/>
      <c r="W141" s="3"/>
    </row>
    <row r="142" spans="1:27" s="4" customFormat="1" ht="14.4" x14ac:dyDescent="0.3">
      <c r="A142" s="5"/>
      <c r="B142" s="625" t="s">
        <v>784</v>
      </c>
      <c r="C142" s="640" t="s">
        <v>1126</v>
      </c>
      <c r="D142" s="634" t="s">
        <v>1127</v>
      </c>
      <c r="E142" s="641"/>
      <c r="F142" s="635"/>
      <c r="G142" s="636"/>
      <c r="H142" s="637"/>
      <c r="I142" s="637"/>
      <c r="J142" s="637"/>
      <c r="K142" s="637"/>
      <c r="L142" s="636"/>
      <c r="M142" s="638"/>
      <c r="N142" s="639">
        <v>270.02999999999997</v>
      </c>
      <c r="O142" s="179"/>
      <c r="P142" s="179"/>
      <c r="Q142" s="179"/>
      <c r="R142" s="180"/>
      <c r="S142" s="465"/>
      <c r="T142" s="5"/>
      <c r="U142" s="444"/>
      <c r="W142" s="3"/>
    </row>
    <row r="143" spans="1:27" s="4" customFormat="1" ht="14.4" x14ac:dyDescent="0.3">
      <c r="A143" s="5"/>
      <c r="B143" s="683" t="s">
        <v>777</v>
      </c>
      <c r="C143" s="5"/>
      <c r="D143" s="177"/>
      <c r="E143" s="112"/>
      <c r="F143" s="178"/>
      <c r="G143" s="179"/>
      <c r="H143" s="5"/>
      <c r="I143" s="5"/>
      <c r="J143" s="180"/>
      <c r="K143" s="179"/>
      <c r="L143" s="179"/>
      <c r="M143" s="179"/>
      <c r="N143" s="179"/>
      <c r="O143" s="179"/>
      <c r="P143" s="179"/>
      <c r="Q143" s="179"/>
      <c r="R143" s="180"/>
      <c r="S143" s="465"/>
      <c r="T143" s="5"/>
      <c r="U143" s="444"/>
      <c r="W143" s="3"/>
    </row>
    <row r="144" spans="1:27" s="4" customFormat="1" ht="14.4" x14ac:dyDescent="0.3">
      <c r="A144" s="5"/>
      <c r="B144" s="194"/>
      <c r="C144"/>
      <c r="D144" s="177"/>
      <c r="E144" s="112"/>
      <c r="F144" s="178"/>
      <c r="G144" s="179"/>
      <c r="H144" s="5"/>
      <c r="I144" s="5"/>
      <c r="J144" s="180"/>
      <c r="K144" s="179"/>
      <c r="L144" s="179"/>
      <c r="M144" s="179"/>
      <c r="N144" s="179"/>
      <c r="O144" s="179"/>
      <c r="P144" s="179"/>
      <c r="Q144" s="179"/>
      <c r="R144" s="180"/>
      <c r="S144" s="465"/>
      <c r="T144" s="5"/>
      <c r="U144" s="444"/>
      <c r="W144" s="3"/>
    </row>
    <row r="145" spans="1:23" s="4" customFormat="1" ht="14.4" x14ac:dyDescent="0.3">
      <c r="A145" s="5"/>
      <c r="B145" s="242" t="s">
        <v>795</v>
      </c>
      <c r="C145" s="5"/>
      <c r="D145" s="5"/>
      <c r="E145" s="5"/>
      <c r="F145" s="5"/>
      <c r="G145" s="5"/>
      <c r="H145" s="5"/>
      <c r="I145" s="5"/>
      <c r="J145" s="5"/>
      <c r="K145" s="5"/>
      <c r="L145" s="5"/>
      <c r="M145" s="5"/>
      <c r="N145" s="5"/>
      <c r="O145" s="5"/>
      <c r="P145" s="5"/>
      <c r="Q145" s="179"/>
      <c r="R145" s="5"/>
      <c r="S145" s="464"/>
      <c r="T145" s="5"/>
      <c r="U145" s="444"/>
      <c r="W145" s="3"/>
    </row>
    <row r="146" spans="1:23" s="4" customFormat="1" ht="14.4" x14ac:dyDescent="0.3">
      <c r="A146" s="5"/>
      <c r="B146" t="s">
        <v>799</v>
      </c>
      <c r="C146" s="5"/>
      <c r="D146" s="5"/>
      <c r="E146" s="5"/>
      <c r="F146" s="5"/>
      <c r="G146" s="442"/>
      <c r="H146" s="741"/>
      <c r="I146" s="445" t="s">
        <v>50</v>
      </c>
      <c r="J146" s="744"/>
      <c r="K146" s="179"/>
      <c r="L146" s="442"/>
      <c r="M146" s="437"/>
      <c r="N146" s="446" t="s">
        <v>55</v>
      </c>
      <c r="O146" s="443"/>
      <c r="P146" s="179"/>
      <c r="Q146" s="179"/>
      <c r="R146" s="5"/>
      <c r="S146" s="464"/>
      <c r="T146" s="5"/>
      <c r="U146" s="444"/>
      <c r="W146" s="3"/>
    </row>
    <row r="147" spans="1:23" s="4" customFormat="1" ht="57.6" x14ac:dyDescent="0.3">
      <c r="A147" s="5"/>
      <c r="B147" s="248" t="s">
        <v>796</v>
      </c>
      <c r="C147" s="248" t="s">
        <v>996</v>
      </c>
      <c r="D147" s="248" t="s">
        <v>997</v>
      </c>
      <c r="E147" s="248" t="s">
        <v>1002</v>
      </c>
      <c r="F147" s="5"/>
      <c r="G147" s="742" t="s">
        <v>797</v>
      </c>
      <c r="H147" s="743" t="s">
        <v>996</v>
      </c>
      <c r="I147" s="742" t="s">
        <v>997</v>
      </c>
      <c r="J147" s="248" t="s">
        <v>1002</v>
      </c>
      <c r="K147" s="179"/>
      <c r="L147" s="742" t="s">
        <v>798</v>
      </c>
      <c r="M147" s="743" t="s">
        <v>996</v>
      </c>
      <c r="N147" s="742" t="s">
        <v>997</v>
      </c>
      <c r="O147" s="742" t="s">
        <v>1002</v>
      </c>
      <c r="P147" s="179"/>
      <c r="Q147" s="179"/>
      <c r="R147" s="5"/>
      <c r="S147" s="464"/>
      <c r="T147" s="5"/>
      <c r="U147" s="444"/>
      <c r="W147" s="3"/>
    </row>
    <row r="148" spans="1:23" s="4" customFormat="1" ht="14.4" x14ac:dyDescent="0.3">
      <c r="A148" s="5"/>
      <c r="B148" s="642" t="s">
        <v>1147</v>
      </c>
      <c r="C148" s="643"/>
      <c r="D148" s="643">
        <v>0.92676056338028168</v>
      </c>
      <c r="E148" s="643"/>
      <c r="F148" s="5"/>
      <c r="G148" s="441">
        <v>490.22751893420599</v>
      </c>
      <c r="H148" s="644">
        <f t="shared" ref="H148:J163" si="1">C148*$G148</f>
        <v>0</v>
      </c>
      <c r="I148" s="639">
        <f t="shared" si="1"/>
        <v>454.32353163198246</v>
      </c>
      <c r="J148" s="639">
        <f t="shared" si="1"/>
        <v>0</v>
      </c>
      <c r="K148" s="179"/>
      <c r="L148" s="645">
        <f>G148*0.8</f>
        <v>392.18201514736484</v>
      </c>
      <c r="M148" s="644">
        <f t="shared" ref="M148:O154" si="2">C148*$L148</f>
        <v>0</v>
      </c>
      <c r="N148" s="639">
        <f t="shared" si="2"/>
        <v>363.458825305586</v>
      </c>
      <c r="O148" s="639">
        <f t="shared" si="2"/>
        <v>0</v>
      </c>
      <c r="P148" s="179"/>
      <c r="Q148" s="179"/>
      <c r="R148" s="5"/>
      <c r="S148" s="464"/>
      <c r="T148" s="5"/>
      <c r="U148" s="444"/>
      <c r="W148" s="3"/>
    </row>
    <row r="149" spans="1:23" s="4" customFormat="1" ht="14.4" x14ac:dyDescent="0.3">
      <c r="A149" s="5"/>
      <c r="B149" s="642" t="s">
        <v>1148</v>
      </c>
      <c r="C149" s="643"/>
      <c r="D149" s="643">
        <v>0.15774647887323945</v>
      </c>
      <c r="E149" s="643"/>
      <c r="F149" s="5"/>
      <c r="G149" s="441">
        <v>516.386144759285</v>
      </c>
      <c r="H149" s="644">
        <f t="shared" si="1"/>
        <v>0</v>
      </c>
      <c r="I149" s="639">
        <f t="shared" si="1"/>
        <v>81.458096074704116</v>
      </c>
      <c r="J149" s="639">
        <f t="shared" si="1"/>
        <v>0</v>
      </c>
      <c r="K149" s="179"/>
      <c r="L149" s="645">
        <f t="shared" ref="L149:L173" si="3">G149*0.8</f>
        <v>413.10891580742805</v>
      </c>
      <c r="M149" s="644">
        <f t="shared" si="2"/>
        <v>0</v>
      </c>
      <c r="N149" s="639">
        <f t="shared" si="2"/>
        <v>65.166476859763307</v>
      </c>
      <c r="O149" s="639">
        <f t="shared" si="2"/>
        <v>0</v>
      </c>
      <c r="P149" s="179"/>
      <c r="Q149" s="179"/>
      <c r="R149" s="5"/>
      <c r="S149" s="464"/>
      <c r="T149" s="5"/>
      <c r="U149" s="444"/>
      <c r="W149" s="3"/>
    </row>
    <row r="150" spans="1:23" s="4" customFormat="1" ht="14.4" x14ac:dyDescent="0.3">
      <c r="A150" s="5"/>
      <c r="B150" s="642" t="s">
        <v>974</v>
      </c>
      <c r="C150" s="643"/>
      <c r="D150" s="643">
        <v>9.014084507042254E-2</v>
      </c>
      <c r="E150" s="643"/>
      <c r="F150" s="5"/>
      <c r="G150" s="441">
        <v>473.90868342201799</v>
      </c>
      <c r="H150" s="644">
        <f t="shared" si="1"/>
        <v>0</v>
      </c>
      <c r="I150" s="639">
        <f t="shared" si="1"/>
        <v>42.718529209872045</v>
      </c>
      <c r="J150" s="639">
        <f t="shared" si="1"/>
        <v>0</v>
      </c>
      <c r="K150" s="179"/>
      <c r="L150" s="645">
        <f t="shared" si="3"/>
        <v>379.12694673761439</v>
      </c>
      <c r="M150" s="644">
        <f t="shared" si="2"/>
        <v>0</v>
      </c>
      <c r="N150" s="639">
        <f t="shared" si="2"/>
        <v>34.174823367897638</v>
      </c>
      <c r="O150" s="639">
        <f t="shared" si="2"/>
        <v>0</v>
      </c>
      <c r="P150" s="179"/>
      <c r="Q150" s="179"/>
      <c r="R150" s="5"/>
      <c r="S150" s="464"/>
      <c r="T150" s="5"/>
      <c r="U150" s="444"/>
      <c r="W150" s="3"/>
    </row>
    <row r="151" spans="1:23" s="4" customFormat="1" ht="14.4" x14ac:dyDescent="0.3">
      <c r="A151" s="5"/>
      <c r="B151" s="642" t="s">
        <v>975</v>
      </c>
      <c r="C151" s="643"/>
      <c r="D151" s="643">
        <v>0.81690140845070425</v>
      </c>
      <c r="E151" s="643"/>
      <c r="F151" s="5"/>
      <c r="G151" s="441">
        <v>3579</v>
      </c>
      <c r="H151" s="644">
        <f t="shared" si="1"/>
        <v>0</v>
      </c>
      <c r="I151" s="639">
        <f t="shared" si="1"/>
        <v>2923.6901408450703</v>
      </c>
      <c r="J151" s="639">
        <f t="shared" si="1"/>
        <v>0</v>
      </c>
      <c r="K151" s="179"/>
      <c r="L151" s="645">
        <f t="shared" si="3"/>
        <v>2863.2000000000003</v>
      </c>
      <c r="M151" s="644">
        <f t="shared" si="2"/>
        <v>0</v>
      </c>
      <c r="N151" s="639">
        <f t="shared" si="2"/>
        <v>2338.9521126760565</v>
      </c>
      <c r="O151" s="639">
        <f t="shared" si="2"/>
        <v>0</v>
      </c>
      <c r="P151" s="179"/>
      <c r="Q151" s="179"/>
      <c r="R151" s="5"/>
      <c r="S151" s="464"/>
      <c r="T151" s="5"/>
      <c r="U151" s="444"/>
      <c r="W151" s="3"/>
    </row>
    <row r="152" spans="1:23" s="4" customFormat="1" ht="14.4" x14ac:dyDescent="0.3">
      <c r="A152" s="5"/>
      <c r="B152" s="642" t="s">
        <v>976</v>
      </c>
      <c r="C152" s="643"/>
      <c r="D152" s="643">
        <v>7.0422535211267609E-2</v>
      </c>
      <c r="E152" s="643"/>
      <c r="F152" s="5"/>
      <c r="G152" s="441">
        <v>816.73365353348845</v>
      </c>
      <c r="H152" s="644">
        <f t="shared" si="1"/>
        <v>0</v>
      </c>
      <c r="I152" s="639">
        <f t="shared" si="1"/>
        <v>57.516454474189331</v>
      </c>
      <c r="J152" s="639">
        <f t="shared" si="1"/>
        <v>0</v>
      </c>
      <c r="K152" s="179"/>
      <c r="L152" s="645">
        <f t="shared" si="3"/>
        <v>653.38692282679085</v>
      </c>
      <c r="M152" s="644">
        <f t="shared" si="2"/>
        <v>0</v>
      </c>
      <c r="N152" s="639">
        <f t="shared" si="2"/>
        <v>46.01316357935147</v>
      </c>
      <c r="O152" s="639">
        <f t="shared" si="2"/>
        <v>0</v>
      </c>
      <c r="P152" s="179"/>
      <c r="Q152" s="179"/>
      <c r="R152" s="5"/>
      <c r="S152" s="464"/>
      <c r="T152" s="5"/>
      <c r="U152" s="444"/>
      <c r="W152" s="3"/>
    </row>
    <row r="153" spans="1:23" s="4" customFormat="1" ht="14.4" x14ac:dyDescent="0.3">
      <c r="A153" s="5"/>
      <c r="B153" s="642" t="s">
        <v>1149</v>
      </c>
      <c r="C153" s="643"/>
      <c r="D153" s="643">
        <v>6.7605633802816895E-2</v>
      </c>
      <c r="E153" s="643"/>
      <c r="F153" s="5"/>
      <c r="G153" s="441">
        <v>574.68768890605156</v>
      </c>
      <c r="H153" s="644">
        <f t="shared" si="1"/>
        <v>0</v>
      </c>
      <c r="I153" s="639">
        <f t="shared" si="1"/>
        <v>38.852125447169676</v>
      </c>
      <c r="J153" s="639">
        <f t="shared" si="1"/>
        <v>0</v>
      </c>
      <c r="K153" s="179"/>
      <c r="L153" s="645">
        <f t="shared" si="3"/>
        <v>459.7501511248413</v>
      </c>
      <c r="M153" s="644">
        <f t="shared" si="2"/>
        <v>0</v>
      </c>
      <c r="N153" s="639">
        <f t="shared" si="2"/>
        <v>31.081700357735745</v>
      </c>
      <c r="O153" s="639">
        <f t="shared" si="2"/>
        <v>0</v>
      </c>
      <c r="P153" s="179"/>
      <c r="Q153" s="179"/>
      <c r="R153" s="5"/>
      <c r="S153" s="464"/>
      <c r="T153" s="5"/>
      <c r="U153" s="444"/>
      <c r="W153" s="3"/>
    </row>
    <row r="154" spans="1:23" s="4" customFormat="1" ht="14.4" x14ac:dyDescent="0.3">
      <c r="A154" s="5"/>
      <c r="B154" s="642" t="s">
        <v>1150</v>
      </c>
      <c r="C154" s="643"/>
      <c r="D154" s="643">
        <v>0.13802816901408452</v>
      </c>
      <c r="E154" s="643"/>
      <c r="F154" s="5"/>
      <c r="G154" s="441">
        <v>574.68768890605156</v>
      </c>
      <c r="H154" s="644">
        <f t="shared" si="1"/>
        <v>0</v>
      </c>
      <c r="I154" s="639">
        <f t="shared" si="1"/>
        <v>79.323089454638108</v>
      </c>
      <c r="J154" s="639">
        <f t="shared" si="1"/>
        <v>0</v>
      </c>
      <c r="K154" s="179"/>
      <c r="L154" s="645">
        <f t="shared" si="3"/>
        <v>459.7501511248413</v>
      </c>
      <c r="M154" s="644">
        <f t="shared" si="2"/>
        <v>0</v>
      </c>
      <c r="N154" s="639">
        <f t="shared" si="2"/>
        <v>63.458471563710496</v>
      </c>
      <c r="O154" s="639">
        <f t="shared" si="2"/>
        <v>0</v>
      </c>
      <c r="P154" s="179"/>
      <c r="Q154" s="179"/>
      <c r="R154" s="5"/>
      <c r="S154" s="464"/>
      <c r="T154" s="5"/>
      <c r="U154" s="444"/>
      <c r="W154" s="3"/>
    </row>
    <row r="155" spans="1:23" s="4" customFormat="1" ht="14.4" x14ac:dyDescent="0.3">
      <c r="A155" s="5"/>
      <c r="B155" s="642" t="s">
        <v>977</v>
      </c>
      <c r="C155" s="643"/>
      <c r="D155" s="643">
        <v>8.7323943661971826E-2</v>
      </c>
      <c r="E155" s="643"/>
      <c r="F155" s="5"/>
      <c r="G155" s="441">
        <v>574.68768890605156</v>
      </c>
      <c r="H155" s="644">
        <f t="shared" si="1"/>
        <v>0</v>
      </c>
      <c r="I155" s="639">
        <f>D155*G155</f>
        <v>50.183995369260835</v>
      </c>
      <c r="J155" s="639">
        <f t="shared" si="1"/>
        <v>0</v>
      </c>
      <c r="K155" s="179"/>
      <c r="L155" s="645">
        <f t="shared" si="3"/>
        <v>459.7501511248413</v>
      </c>
      <c r="M155" s="644">
        <f t="shared" ref="M155:M156" si="4">C155*$L155</f>
        <v>0</v>
      </c>
      <c r="N155" s="644">
        <f t="shared" ref="N155:N156" si="5">D155*$L155</f>
        <v>40.147196295408676</v>
      </c>
      <c r="O155" s="644">
        <f t="shared" ref="O155:O156" si="6">E155*$L155</f>
        <v>0</v>
      </c>
      <c r="P155" s="179"/>
      <c r="Q155" s="179"/>
      <c r="R155" s="5"/>
      <c r="S155" s="464"/>
      <c r="T155" s="5"/>
      <c r="U155" s="444"/>
      <c r="W155" s="3"/>
    </row>
    <row r="156" spans="1:23" s="4" customFormat="1" ht="14.4" x14ac:dyDescent="0.3">
      <c r="A156" s="5"/>
      <c r="B156" s="642" t="s">
        <v>978</v>
      </c>
      <c r="C156" s="643"/>
      <c r="D156" s="643">
        <v>5.3521126760563378E-2</v>
      </c>
      <c r="E156" s="643"/>
      <c r="F156" s="5"/>
      <c r="G156" s="441">
        <v>574.68768890605156</v>
      </c>
      <c r="H156" s="644">
        <f t="shared" ref="H156:H173" si="7">C156*$G156</f>
        <v>0</v>
      </c>
      <c r="I156" s="639">
        <f t="shared" ref="I156:J173" si="8">D156*$G156</f>
        <v>30.757932645675996</v>
      </c>
      <c r="J156" s="639">
        <f t="shared" si="1"/>
        <v>0</v>
      </c>
      <c r="K156" s="179"/>
      <c r="L156" s="645">
        <f t="shared" si="3"/>
        <v>459.7501511248413</v>
      </c>
      <c r="M156" s="644">
        <f t="shared" si="4"/>
        <v>0</v>
      </c>
      <c r="N156" s="644">
        <f t="shared" si="5"/>
        <v>24.606346116540802</v>
      </c>
      <c r="O156" s="644">
        <f t="shared" si="6"/>
        <v>0</v>
      </c>
      <c r="P156" s="179"/>
      <c r="Q156" s="179"/>
      <c r="R156" s="5"/>
      <c r="S156" s="464"/>
      <c r="T156" s="5"/>
      <c r="U156" s="444"/>
      <c r="W156" s="3"/>
    </row>
    <row r="157" spans="1:23" s="4" customFormat="1" ht="14.4" x14ac:dyDescent="0.3">
      <c r="A157" s="5"/>
      <c r="B157" s="642" t="s">
        <v>979</v>
      </c>
      <c r="C157" s="643"/>
      <c r="D157" s="643">
        <v>0.12676056338028169</v>
      </c>
      <c r="E157" s="643"/>
      <c r="F157" s="5"/>
      <c r="G157" s="441">
        <v>816.73365353348845</v>
      </c>
      <c r="H157" s="644">
        <f t="shared" si="7"/>
        <v>0</v>
      </c>
      <c r="I157" s="639">
        <f t="shared" si="8"/>
        <v>103.52961805354079</v>
      </c>
      <c r="J157" s="639">
        <f t="shared" si="1"/>
        <v>0</v>
      </c>
      <c r="K157" s="179"/>
      <c r="L157" s="645">
        <f t="shared" si="3"/>
        <v>653.38692282679085</v>
      </c>
      <c r="M157" s="644">
        <f t="shared" ref="M157:M173" si="9">C157*$L157</f>
        <v>0</v>
      </c>
      <c r="N157" s="639">
        <f t="shared" ref="N157:N173" si="10">D157*$L157</f>
        <v>82.823694442832647</v>
      </c>
      <c r="O157" s="639">
        <f t="shared" ref="O157:O173" si="11">E157*$L157</f>
        <v>0</v>
      </c>
      <c r="P157" s="179"/>
      <c r="Q157" s="179"/>
      <c r="R157" s="5"/>
      <c r="S157" s="464"/>
      <c r="T157" s="5"/>
      <c r="U157" s="444"/>
      <c r="W157" s="3"/>
    </row>
    <row r="158" spans="1:23" s="4" customFormat="1" ht="14.4" x14ac:dyDescent="0.3">
      <c r="A158" s="5"/>
      <c r="B158" s="642" t="s">
        <v>980</v>
      </c>
      <c r="C158" s="643"/>
      <c r="D158" s="643">
        <v>0.52394366197183095</v>
      </c>
      <c r="E158" s="643"/>
      <c r="F158" s="5"/>
      <c r="G158" s="441">
        <v>889.89221305826447</v>
      </c>
      <c r="H158" s="644">
        <f t="shared" si="7"/>
        <v>0</v>
      </c>
      <c r="I158" s="639">
        <f t="shared" si="8"/>
        <v>466.2533848699639</v>
      </c>
      <c r="J158" s="639">
        <f t="shared" si="1"/>
        <v>0</v>
      </c>
      <c r="K158" s="179"/>
      <c r="L158" s="645">
        <f t="shared" si="3"/>
        <v>711.91377044661158</v>
      </c>
      <c r="M158" s="644">
        <f t="shared" si="9"/>
        <v>0</v>
      </c>
      <c r="N158" s="639">
        <f t="shared" si="10"/>
        <v>373.00270789597113</v>
      </c>
      <c r="O158" s="639">
        <f t="shared" si="11"/>
        <v>0</v>
      </c>
      <c r="P158" s="179"/>
      <c r="Q158" s="179"/>
      <c r="R158" s="5"/>
      <c r="S158" s="464"/>
      <c r="T158" s="5"/>
      <c r="U158" s="444"/>
      <c r="W158" s="3"/>
    </row>
    <row r="159" spans="1:23" s="4" customFormat="1" ht="14.4" x14ac:dyDescent="0.3">
      <c r="A159" s="5"/>
      <c r="B159" s="642" t="s">
        <v>981</v>
      </c>
      <c r="C159" s="643"/>
      <c r="D159" s="643">
        <v>0.26197183098591548</v>
      </c>
      <c r="E159" s="643"/>
      <c r="F159" s="5"/>
      <c r="G159" s="441">
        <v>675.74984624749516</v>
      </c>
      <c r="H159" s="644">
        <f t="shared" si="7"/>
        <v>0</v>
      </c>
      <c r="I159" s="639">
        <f t="shared" si="8"/>
        <v>177.02742450990718</v>
      </c>
      <c r="J159" s="639">
        <f t="shared" si="1"/>
        <v>0</v>
      </c>
      <c r="K159" s="179"/>
      <c r="L159" s="645">
        <f t="shared" si="3"/>
        <v>540.59987699799615</v>
      </c>
      <c r="M159" s="644">
        <f t="shared" si="9"/>
        <v>0</v>
      </c>
      <c r="N159" s="639">
        <f t="shared" si="10"/>
        <v>141.62193960792575</v>
      </c>
      <c r="O159" s="639">
        <f t="shared" si="11"/>
        <v>0</v>
      </c>
      <c r="P159" s="179"/>
      <c r="Q159" s="179"/>
      <c r="R159" s="5"/>
      <c r="S159" s="464"/>
      <c r="T159" s="5"/>
      <c r="U159" s="444"/>
      <c r="W159" s="3"/>
    </row>
    <row r="160" spans="1:23" s="4" customFormat="1" ht="14.4" x14ac:dyDescent="0.3">
      <c r="A160" s="5"/>
      <c r="B160" s="642" t="s">
        <v>982</v>
      </c>
      <c r="C160" s="643"/>
      <c r="D160" s="643">
        <v>0.19154929577464788</v>
      </c>
      <c r="E160" s="643"/>
      <c r="F160" s="5"/>
      <c r="G160" s="441">
        <v>1404.4744787340367</v>
      </c>
      <c r="H160" s="644">
        <f t="shared" si="7"/>
        <v>0</v>
      </c>
      <c r="I160" s="639">
        <f t="shared" si="8"/>
        <v>269.02609733497042</v>
      </c>
      <c r="J160" s="639">
        <f t="shared" si="1"/>
        <v>0</v>
      </c>
      <c r="K160" s="179"/>
      <c r="L160" s="645">
        <f t="shared" si="3"/>
        <v>1123.5795829872293</v>
      </c>
      <c r="M160" s="644">
        <f t="shared" si="9"/>
        <v>0</v>
      </c>
      <c r="N160" s="639">
        <f t="shared" si="10"/>
        <v>215.2208778679763</v>
      </c>
      <c r="O160" s="639">
        <f t="shared" si="11"/>
        <v>0</v>
      </c>
      <c r="P160" s="179"/>
      <c r="Q160" s="179"/>
      <c r="R160" s="5"/>
      <c r="S160" s="464"/>
      <c r="T160" s="5"/>
      <c r="U160" s="444"/>
      <c r="W160" s="3"/>
    </row>
    <row r="161" spans="1:28" s="4" customFormat="1" ht="14.4" x14ac:dyDescent="0.3">
      <c r="A161" s="5"/>
      <c r="B161" s="642" t="s">
        <v>983</v>
      </c>
      <c r="C161" s="643"/>
      <c r="D161" s="643">
        <v>6.1971830985915494E-2</v>
      </c>
      <c r="E161" s="643"/>
      <c r="F161" s="5"/>
      <c r="G161" s="441">
        <v>473.90868342201799</v>
      </c>
      <c r="H161" s="644">
        <f t="shared" si="7"/>
        <v>0</v>
      </c>
      <c r="I161" s="639">
        <f t="shared" si="8"/>
        <v>29.368988831787032</v>
      </c>
      <c r="J161" s="639">
        <f t="shared" si="1"/>
        <v>0</v>
      </c>
      <c r="K161" s="179"/>
      <c r="L161" s="645">
        <f t="shared" si="3"/>
        <v>379.12694673761439</v>
      </c>
      <c r="M161" s="644">
        <f t="shared" si="9"/>
        <v>0</v>
      </c>
      <c r="N161" s="639">
        <f t="shared" si="10"/>
        <v>23.495191065429623</v>
      </c>
      <c r="O161" s="639">
        <f t="shared" si="11"/>
        <v>0</v>
      </c>
      <c r="P161" s="179"/>
      <c r="Q161" s="179"/>
      <c r="R161" s="5"/>
      <c r="S161" s="464"/>
      <c r="T161" s="5"/>
      <c r="U161" s="444"/>
      <c r="W161" s="3"/>
    </row>
    <row r="162" spans="1:28" s="4" customFormat="1" ht="14.4" x14ac:dyDescent="0.3">
      <c r="A162" s="5"/>
      <c r="B162" s="642" t="s">
        <v>984</v>
      </c>
      <c r="C162" s="643"/>
      <c r="D162" s="643">
        <v>5.6338028169014086E-2</v>
      </c>
      <c r="E162" s="643"/>
      <c r="F162" s="5"/>
      <c r="G162" s="441">
        <v>473.90868342201799</v>
      </c>
      <c r="H162" s="644">
        <f t="shared" si="7"/>
        <v>0</v>
      </c>
      <c r="I162" s="639">
        <f t="shared" si="8"/>
        <v>26.699080756170027</v>
      </c>
      <c r="J162" s="639">
        <f t="shared" si="1"/>
        <v>0</v>
      </c>
      <c r="K162" s="179"/>
      <c r="L162" s="645">
        <f t="shared" si="3"/>
        <v>379.12694673761439</v>
      </c>
      <c r="M162" s="644">
        <f t="shared" si="9"/>
        <v>0</v>
      </c>
      <c r="N162" s="639">
        <f t="shared" si="10"/>
        <v>21.359264604936023</v>
      </c>
      <c r="O162" s="639">
        <f t="shared" si="11"/>
        <v>0</v>
      </c>
      <c r="P162" s="179"/>
      <c r="Q162" s="179"/>
      <c r="R162" s="5"/>
      <c r="S162" s="464"/>
      <c r="T162" s="5"/>
      <c r="U162" s="444"/>
      <c r="W162" s="3"/>
    </row>
    <row r="163" spans="1:28" s="4" customFormat="1" ht="14.4" x14ac:dyDescent="0.3">
      <c r="A163" s="5"/>
      <c r="B163" s="642" t="s">
        <v>985</v>
      </c>
      <c r="C163" s="643"/>
      <c r="D163" s="643">
        <v>0.95211267605633798</v>
      </c>
      <c r="E163" s="643"/>
      <c r="F163" s="5"/>
      <c r="G163" s="441">
        <v>473.90868342201799</v>
      </c>
      <c r="H163" s="644">
        <f t="shared" si="7"/>
        <v>0</v>
      </c>
      <c r="I163" s="639">
        <f t="shared" si="8"/>
        <v>451.21446477927344</v>
      </c>
      <c r="J163" s="639">
        <f t="shared" si="1"/>
        <v>0</v>
      </c>
      <c r="K163" s="179"/>
      <c r="L163" s="645">
        <f t="shared" si="3"/>
        <v>379.12694673761439</v>
      </c>
      <c r="M163" s="644">
        <f t="shared" si="9"/>
        <v>0</v>
      </c>
      <c r="N163" s="639">
        <f t="shared" si="10"/>
        <v>360.97157182341874</v>
      </c>
      <c r="O163" s="639">
        <f t="shared" si="11"/>
        <v>0</v>
      </c>
      <c r="P163" s="179"/>
      <c r="Q163" s="179"/>
      <c r="R163" s="5"/>
      <c r="S163" s="464"/>
      <c r="T163" s="5"/>
      <c r="U163" s="444"/>
      <c r="W163" s="3"/>
    </row>
    <row r="164" spans="1:28" s="4" customFormat="1" ht="14.4" x14ac:dyDescent="0.3">
      <c r="A164" s="5"/>
      <c r="B164" s="642" t="s">
        <v>986</v>
      </c>
      <c r="C164" s="643"/>
      <c r="D164" s="643">
        <v>0.13239436619718309</v>
      </c>
      <c r="E164" s="643"/>
      <c r="F164" s="5"/>
      <c r="G164" s="441">
        <v>473.90868342201799</v>
      </c>
      <c r="H164" s="644">
        <f t="shared" si="7"/>
        <v>0</v>
      </c>
      <c r="I164" s="639">
        <f t="shared" si="8"/>
        <v>62.74283977699956</v>
      </c>
      <c r="J164" s="639">
        <f t="shared" si="8"/>
        <v>0</v>
      </c>
      <c r="K164" s="179"/>
      <c r="L164" s="645">
        <f t="shared" si="3"/>
        <v>379.12694673761439</v>
      </c>
      <c r="M164" s="644">
        <f t="shared" si="9"/>
        <v>0</v>
      </c>
      <c r="N164" s="639">
        <f t="shared" si="10"/>
        <v>50.194271821599649</v>
      </c>
      <c r="O164" s="639">
        <f t="shared" si="11"/>
        <v>0</v>
      </c>
      <c r="P164" s="179"/>
      <c r="Q164" s="179"/>
      <c r="R164" s="5"/>
      <c r="S164" s="464"/>
      <c r="T164" s="5"/>
      <c r="U164" s="444"/>
      <c r="W164" s="3"/>
    </row>
    <row r="165" spans="1:28" s="4" customFormat="1" ht="14.4" x14ac:dyDescent="0.3">
      <c r="A165" s="5"/>
      <c r="B165" s="642" t="s">
        <v>987</v>
      </c>
      <c r="C165" s="643"/>
      <c r="D165" s="643">
        <v>7.8873239436619724E-2</v>
      </c>
      <c r="E165" s="643"/>
      <c r="F165" s="5"/>
      <c r="G165" s="441">
        <v>655.45281720014054</v>
      </c>
      <c r="H165" s="644">
        <f t="shared" si="7"/>
        <v>0</v>
      </c>
      <c r="I165" s="639">
        <f t="shared" si="8"/>
        <v>51.697686990433624</v>
      </c>
      <c r="J165" s="639">
        <f t="shared" si="8"/>
        <v>0</v>
      </c>
      <c r="K165" s="179"/>
      <c r="L165" s="645">
        <f t="shared" si="3"/>
        <v>524.36225376011248</v>
      </c>
      <c r="M165" s="644">
        <f t="shared" si="9"/>
        <v>0</v>
      </c>
      <c r="N165" s="639">
        <f t="shared" si="10"/>
        <v>41.358149592346905</v>
      </c>
      <c r="O165" s="639">
        <f t="shared" si="11"/>
        <v>0</v>
      </c>
      <c r="P165" s="179"/>
      <c r="Q165" s="179"/>
      <c r="R165" s="5"/>
      <c r="S165" s="464"/>
      <c r="T165" s="5"/>
      <c r="U165" s="444"/>
      <c r="W165" s="3"/>
    </row>
    <row r="166" spans="1:28" s="4" customFormat="1" ht="14.4" x14ac:dyDescent="0.3">
      <c r="A166" s="5"/>
      <c r="B166" s="642" t="s">
        <v>988</v>
      </c>
      <c r="C166" s="643"/>
      <c r="D166" s="643">
        <v>0.14084507042253522</v>
      </c>
      <c r="E166" s="643"/>
      <c r="F166" s="5"/>
      <c r="G166" s="441">
        <v>602.15171603748888</v>
      </c>
      <c r="H166" s="644">
        <f t="shared" si="7"/>
        <v>0</v>
      </c>
      <c r="I166" s="639">
        <f t="shared" si="8"/>
        <v>84.810100850350551</v>
      </c>
      <c r="J166" s="639">
        <f t="shared" si="8"/>
        <v>0</v>
      </c>
      <c r="K166" s="179"/>
      <c r="L166" s="645">
        <f t="shared" si="3"/>
        <v>481.72137282999114</v>
      </c>
      <c r="M166" s="644">
        <f t="shared" si="9"/>
        <v>0</v>
      </c>
      <c r="N166" s="639">
        <f t="shared" si="10"/>
        <v>67.848080680280447</v>
      </c>
      <c r="O166" s="639">
        <f t="shared" si="11"/>
        <v>0</v>
      </c>
      <c r="P166" s="179"/>
      <c r="Q166" s="179"/>
      <c r="R166" s="5"/>
      <c r="S166" s="464"/>
      <c r="T166" s="5"/>
      <c r="U166" s="444"/>
      <c r="W166" s="3"/>
    </row>
    <row r="167" spans="1:28" s="4" customFormat="1" ht="14.4" x14ac:dyDescent="0.3">
      <c r="A167" s="5"/>
      <c r="B167" s="642" t="s">
        <v>989</v>
      </c>
      <c r="C167" s="643"/>
      <c r="D167" s="643">
        <v>0.9746478873239437</v>
      </c>
      <c r="E167" s="643"/>
      <c r="F167" s="5"/>
      <c r="G167" s="441">
        <v>683.02467699238503</v>
      </c>
      <c r="H167" s="644">
        <f t="shared" si="7"/>
        <v>0</v>
      </c>
      <c r="I167" s="639">
        <f t="shared" si="8"/>
        <v>665.70855842074707</v>
      </c>
      <c r="J167" s="639">
        <f t="shared" si="8"/>
        <v>0</v>
      </c>
      <c r="K167" s="179"/>
      <c r="L167" s="645">
        <f t="shared" si="3"/>
        <v>546.41974159390804</v>
      </c>
      <c r="M167" s="644">
        <f t="shared" si="9"/>
        <v>0</v>
      </c>
      <c r="N167" s="639">
        <f t="shared" si="10"/>
        <v>532.56684673659777</v>
      </c>
      <c r="O167" s="639">
        <f t="shared" si="11"/>
        <v>0</v>
      </c>
      <c r="P167" s="179"/>
      <c r="Q167" s="179"/>
      <c r="R167" s="5"/>
      <c r="S167" s="464"/>
      <c r="T167" s="5"/>
      <c r="U167" s="444"/>
      <c r="W167" s="3"/>
    </row>
    <row r="168" spans="1:28" s="4" customFormat="1" ht="14.4" x14ac:dyDescent="0.3">
      <c r="A168" s="5"/>
      <c r="B168" s="642" t="s">
        <v>990</v>
      </c>
      <c r="C168" s="643"/>
      <c r="D168" s="643">
        <v>0.39</v>
      </c>
      <c r="E168" s="643"/>
      <c r="F168" s="5"/>
      <c r="G168" s="441">
        <v>55145</v>
      </c>
      <c r="H168" s="644">
        <f t="shared" si="7"/>
        <v>0</v>
      </c>
      <c r="I168" s="639">
        <f t="shared" si="8"/>
        <v>21506.55</v>
      </c>
      <c r="J168" s="639">
        <f t="shared" si="8"/>
        <v>0</v>
      </c>
      <c r="K168" s="179"/>
      <c r="L168" s="645">
        <f t="shared" si="3"/>
        <v>44116</v>
      </c>
      <c r="M168" s="644">
        <f t="shared" si="9"/>
        <v>0</v>
      </c>
      <c r="N168" s="639">
        <f t="shared" si="10"/>
        <v>17205.240000000002</v>
      </c>
      <c r="O168" s="639">
        <f t="shared" si="11"/>
        <v>0</v>
      </c>
      <c r="P168" s="179"/>
      <c r="Q168" s="179"/>
      <c r="R168" s="5"/>
      <c r="S168" s="464"/>
      <c r="T168" s="5"/>
      <c r="U168" s="444"/>
      <c r="W168" s="3"/>
    </row>
    <row r="169" spans="1:28" s="4" customFormat="1" ht="14.4" x14ac:dyDescent="0.3">
      <c r="A169" s="5"/>
      <c r="B169" s="642" t="s">
        <v>991</v>
      </c>
      <c r="C169" s="643"/>
      <c r="D169" s="643">
        <v>0</v>
      </c>
      <c r="E169" s="643"/>
      <c r="F169" s="5"/>
      <c r="G169" s="441">
        <v>675.74984624749516</v>
      </c>
      <c r="H169" s="644">
        <f t="shared" si="7"/>
        <v>0</v>
      </c>
      <c r="I169" s="639">
        <f t="shared" si="8"/>
        <v>0</v>
      </c>
      <c r="J169" s="639">
        <f t="shared" si="8"/>
        <v>0</v>
      </c>
      <c r="K169" s="179"/>
      <c r="L169" s="645">
        <f t="shared" si="3"/>
        <v>540.59987699799615</v>
      </c>
      <c r="M169" s="644">
        <f t="shared" si="9"/>
        <v>0</v>
      </c>
      <c r="N169" s="639">
        <f t="shared" si="10"/>
        <v>0</v>
      </c>
      <c r="O169" s="639">
        <f t="shared" si="11"/>
        <v>0</v>
      </c>
      <c r="P169" s="179"/>
      <c r="Q169" s="179"/>
      <c r="R169" s="5"/>
      <c r="S169" s="464"/>
      <c r="T169" s="5"/>
      <c r="U169" s="444"/>
      <c r="W169" s="3"/>
    </row>
    <row r="170" spans="1:28" s="4" customFormat="1" ht="14.4" x14ac:dyDescent="0.3">
      <c r="A170" s="5"/>
      <c r="B170" s="642" t="s">
        <v>992</v>
      </c>
      <c r="C170" s="643"/>
      <c r="D170" s="643">
        <v>0</v>
      </c>
      <c r="E170" s="643"/>
      <c r="F170" s="5"/>
      <c r="G170" s="441">
        <v>731.46201098864708</v>
      </c>
      <c r="H170" s="644">
        <f t="shared" si="7"/>
        <v>0</v>
      </c>
      <c r="I170" s="639">
        <f t="shared" si="8"/>
        <v>0</v>
      </c>
      <c r="J170" s="639">
        <f t="shared" si="8"/>
        <v>0</v>
      </c>
      <c r="K170" s="179"/>
      <c r="L170" s="645">
        <f t="shared" si="3"/>
        <v>585.16960879091766</v>
      </c>
      <c r="M170" s="644">
        <f t="shared" si="9"/>
        <v>0</v>
      </c>
      <c r="N170" s="639">
        <f t="shared" si="10"/>
        <v>0</v>
      </c>
      <c r="O170" s="639">
        <f t="shared" si="11"/>
        <v>0</v>
      </c>
      <c r="P170" s="179"/>
      <c r="Q170" s="179"/>
      <c r="R170" s="5"/>
      <c r="S170" s="464"/>
      <c r="T170" s="5"/>
      <c r="U170" s="444"/>
      <c r="W170" s="3"/>
      <c r="AB170" s="3"/>
    </row>
    <row r="171" spans="1:28" s="4" customFormat="1" ht="14.4" x14ac:dyDescent="0.3">
      <c r="A171" s="5"/>
      <c r="B171" s="642" t="s">
        <v>993</v>
      </c>
      <c r="C171" s="643"/>
      <c r="D171" s="643">
        <v>0</v>
      </c>
      <c r="E171" s="643"/>
      <c r="F171" s="5"/>
      <c r="G171" s="441">
        <v>816.73365353348845</v>
      </c>
      <c r="H171" s="644">
        <f t="shared" si="7"/>
        <v>0</v>
      </c>
      <c r="I171" s="639">
        <f t="shared" si="8"/>
        <v>0</v>
      </c>
      <c r="J171" s="639">
        <f t="shared" si="8"/>
        <v>0</v>
      </c>
      <c r="K171" s="179"/>
      <c r="L171" s="645">
        <f t="shared" si="3"/>
        <v>653.38692282679085</v>
      </c>
      <c r="M171" s="644">
        <f t="shared" si="9"/>
        <v>0</v>
      </c>
      <c r="N171" s="639">
        <f t="shared" si="10"/>
        <v>0</v>
      </c>
      <c r="O171" s="639">
        <f t="shared" si="11"/>
        <v>0</v>
      </c>
      <c r="P171" s="179"/>
      <c r="Q171" s="179"/>
      <c r="R171" s="5"/>
      <c r="S171" s="464"/>
      <c r="T171" s="5"/>
      <c r="U171" s="444"/>
      <c r="V171" s="3"/>
      <c r="AB171" s="3"/>
    </row>
    <row r="172" spans="1:28" s="4" customFormat="1" ht="14.4" x14ac:dyDescent="0.3">
      <c r="A172" s="5"/>
      <c r="B172" s="642" t="s">
        <v>994</v>
      </c>
      <c r="C172" s="643"/>
      <c r="D172" s="643">
        <v>0</v>
      </c>
      <c r="E172" s="643"/>
      <c r="F172" s="5"/>
      <c r="G172" s="441">
        <v>675.74984624749516</v>
      </c>
      <c r="H172" s="644">
        <f t="shared" si="7"/>
        <v>0</v>
      </c>
      <c r="I172" s="639">
        <f t="shared" si="8"/>
        <v>0</v>
      </c>
      <c r="J172" s="639">
        <f t="shared" si="8"/>
        <v>0</v>
      </c>
      <c r="K172" s="179"/>
      <c r="L172" s="645">
        <f t="shared" si="3"/>
        <v>540.59987699799615</v>
      </c>
      <c r="M172" s="644">
        <f t="shared" si="9"/>
        <v>0</v>
      </c>
      <c r="N172" s="639">
        <f t="shared" si="10"/>
        <v>0</v>
      </c>
      <c r="O172" s="639">
        <f t="shared" si="11"/>
        <v>0</v>
      </c>
      <c r="P172" s="179"/>
      <c r="Q172" s="179"/>
      <c r="R172" s="5"/>
      <c r="S172" s="464"/>
      <c r="T172" s="5"/>
      <c r="U172" s="444"/>
      <c r="V172" s="3"/>
      <c r="AB172" s="3"/>
    </row>
    <row r="173" spans="1:28" s="4" customFormat="1" ht="14.4" x14ac:dyDescent="0.3">
      <c r="A173" s="5"/>
      <c r="B173" s="642" t="s">
        <v>995</v>
      </c>
      <c r="C173" s="643"/>
      <c r="D173" s="643">
        <v>0</v>
      </c>
      <c r="E173" s="643"/>
      <c r="F173" s="5"/>
      <c r="G173" s="441">
        <v>424.59978620815002</v>
      </c>
      <c r="H173" s="644">
        <f t="shared" si="7"/>
        <v>0</v>
      </c>
      <c r="I173" s="639">
        <f t="shared" si="8"/>
        <v>0</v>
      </c>
      <c r="J173" s="639">
        <f t="shared" si="8"/>
        <v>0</v>
      </c>
      <c r="K173" s="179"/>
      <c r="L173" s="645">
        <f t="shared" si="3"/>
        <v>339.67982896652006</v>
      </c>
      <c r="M173" s="644">
        <f t="shared" si="9"/>
        <v>0</v>
      </c>
      <c r="N173" s="639">
        <f t="shared" si="10"/>
        <v>0</v>
      </c>
      <c r="O173" s="639">
        <f t="shared" si="11"/>
        <v>0</v>
      </c>
      <c r="P173" s="179"/>
      <c r="Q173" s="179"/>
      <c r="R173" s="5"/>
      <c r="S173" s="464"/>
      <c r="T173" s="5"/>
      <c r="U173" s="444"/>
      <c r="V173" s="3"/>
      <c r="AB173" s="3"/>
    </row>
    <row r="174" spans="1:28" s="4" customFormat="1" ht="14.4" x14ac:dyDescent="0.3">
      <c r="A174" s="5"/>
      <c r="B174" s="5"/>
      <c r="C174" s="876"/>
      <c r="D174" s="876"/>
      <c r="E174" s="876"/>
      <c r="F174" s="5"/>
      <c r="G174" s="444"/>
      <c r="H174" s="422">
        <f>SUM(H148:H173)</f>
        <v>0</v>
      </c>
      <c r="I174" s="423">
        <f>SUM(I156:I173)</f>
        <v>23925.386177819819</v>
      </c>
      <c r="J174" s="423">
        <f>SUM(J148:J173)</f>
        <v>0</v>
      </c>
      <c r="K174" s="179"/>
      <c r="L174" s="5"/>
      <c r="M174" s="422">
        <f>SUM(M156:M173)</f>
        <v>0</v>
      </c>
      <c r="N174" s="423">
        <f>SUM(N156:N173)</f>
        <v>19140.308942255859</v>
      </c>
      <c r="O174" s="423">
        <f>SUM(O156:O173)</f>
        <v>0</v>
      </c>
      <c r="P174" s="5"/>
      <c r="Q174" s="5"/>
      <c r="R174" s="5"/>
      <c r="S174" s="464"/>
      <c r="T174" s="5"/>
      <c r="U174" s="444"/>
      <c r="V174" s="3"/>
      <c r="AB174" s="3"/>
    </row>
    <row r="175" spans="1:28" s="4" customFormat="1" ht="14.4" x14ac:dyDescent="0.25">
      <c r="A175" s="5"/>
      <c r="B175" s="689" t="s">
        <v>998</v>
      </c>
      <c r="C175" s="5"/>
      <c r="D175" s="5"/>
      <c r="E175" s="5"/>
      <c r="F175" s="5"/>
      <c r="G175" s="5"/>
      <c r="H175" s="5"/>
      <c r="I175" s="5"/>
      <c r="J175" s="5"/>
      <c r="K175" s="5"/>
      <c r="L175" s="5"/>
      <c r="M175" s="5"/>
      <c r="N175" s="5"/>
      <c r="O175" s="5"/>
      <c r="P175" s="5"/>
      <c r="Q175" s="5"/>
      <c r="R175" s="5"/>
      <c r="S175" s="466"/>
      <c r="T175" s="5"/>
      <c r="U175" s="444"/>
      <c r="V175" s="3"/>
      <c r="AB175" s="3"/>
    </row>
    <row r="176" spans="1:28" s="4" customFormat="1" ht="14.4" x14ac:dyDescent="0.25">
      <c r="A176" s="5"/>
      <c r="B176" s="689" t="s">
        <v>1155</v>
      </c>
      <c r="C176" s="5"/>
      <c r="D176" s="5"/>
      <c r="E176" s="5"/>
      <c r="F176" s="5"/>
      <c r="G176" s="5"/>
      <c r="H176" s="5"/>
      <c r="I176" s="5"/>
      <c r="J176" s="5"/>
      <c r="K176" s="5"/>
      <c r="L176" s="5"/>
      <c r="M176" s="5"/>
      <c r="N176" s="5"/>
      <c r="O176" s="5"/>
      <c r="P176" s="5"/>
      <c r="Q176" s="5"/>
      <c r="R176" s="5"/>
      <c r="S176" s="5"/>
      <c r="T176" s="5"/>
      <c r="U176" s="444"/>
      <c r="V176" s="3"/>
      <c r="AB176" s="3"/>
    </row>
    <row r="177" spans="1:33" s="4" customFormat="1" ht="14.4" x14ac:dyDescent="0.3">
      <c r="A177" s="5"/>
      <c r="B177" t="s">
        <v>800</v>
      </c>
      <c r="C177" s="5"/>
      <c r="D177" s="5"/>
      <c r="E177" s="5"/>
      <c r="F177" s="5"/>
      <c r="G177" s="5"/>
      <c r="H177" s="5"/>
      <c r="I177" s="5"/>
      <c r="J177" s="5"/>
      <c r="K177" s="5"/>
      <c r="L177" s="5"/>
      <c r="M177" s="5"/>
      <c r="N177" s="5"/>
      <c r="O177" s="5"/>
      <c r="P177" s="5"/>
      <c r="Q177" s="5"/>
      <c r="R177" s="5"/>
      <c r="S177" s="5"/>
      <c r="T177" s="5"/>
      <c r="U177" s="444"/>
      <c r="V177" s="3"/>
      <c r="AB177" s="3"/>
    </row>
    <row r="178" spans="1:33" ht="13.8" x14ac:dyDescent="0.25">
      <c r="A178" s="192"/>
      <c r="B178" s="192"/>
      <c r="C178" s="321"/>
      <c r="D178" s="321"/>
      <c r="E178" s="321"/>
      <c r="F178" s="321"/>
      <c r="G178" s="321"/>
      <c r="H178" s="321"/>
      <c r="I178" s="192"/>
      <c r="J178" s="192"/>
      <c r="K178" s="192"/>
      <c r="L178" s="192"/>
      <c r="M178" s="192"/>
      <c r="N178" s="192"/>
      <c r="O178" s="192"/>
      <c r="P178" s="192"/>
      <c r="Q178" s="192"/>
      <c r="R178" s="192"/>
      <c r="S178" s="192"/>
      <c r="T178" s="192"/>
      <c r="U178" s="153"/>
      <c r="W178" s="4"/>
      <c r="X178" s="4"/>
      <c r="Y178" s="4"/>
      <c r="Z178" s="4"/>
      <c r="AA178" s="4"/>
      <c r="AC178" s="4"/>
      <c r="AD178" s="4"/>
      <c r="AE178" s="4"/>
      <c r="AF178" s="4"/>
      <c r="AG178" s="4"/>
    </row>
    <row r="179" spans="1:33" ht="13.8" x14ac:dyDescent="0.25">
      <c r="W179" s="4"/>
      <c r="X179" s="4"/>
      <c r="Y179" s="4"/>
      <c r="Z179" s="4"/>
      <c r="AA179" s="4"/>
    </row>
  </sheetData>
  <sheetProtection algorithmName="SHA-512" hashValue="6GmU/7F1hpkjzqXr/GBL5ukUlozKtv2FAex9XsKFOiPu6he2bbcmvyuOnvYLN/7i6Ls7Gxuei+skBjW0voaRzA==" saltValue="vhCoNVsi0s8Kxpyrah2XRg==" spinCount="100000" sheet="1" objects="1" scenarios="1"/>
  <protectedRanges>
    <protectedRange sqref="G148:G173 L148:L173 B148:E173" name="Range1"/>
  </protectedRanges>
  <hyperlinks>
    <hyperlink ref="B133" r:id="rId1" location="National-Tariff-Payment-System" xr:uid="{AB2CBFFE-3AD6-4F6E-9946-DBE217E0603D}"/>
    <hyperlink ref="B97" r:id="rId2" location="National-Tariff-Payment-System" xr:uid="{FEDA9A0D-058C-47F6-89BB-F5B1911E0DDB}"/>
    <hyperlink ref="B116" r:id="rId3" location="National-Tariff-Payment-System" xr:uid="{F6730A59-22A4-4824-B9C7-1BE6FF40B52D}"/>
    <hyperlink ref="B122" r:id="rId4" xr:uid="{77C7C6C4-2E1D-4921-993A-89BFE9BB7F69}"/>
    <hyperlink ref="B128" r:id="rId5" xr:uid="{46F31652-A6E2-41DC-9F88-6E6485688D8B}"/>
    <hyperlink ref="B138" r:id="rId6" location="National-Tariff-Payment-System" xr:uid="{68A273A0-5835-4ECE-94DF-6C38796E5966}"/>
    <hyperlink ref="B143" r:id="rId7" location="National-Tariff-Payment-System" xr:uid="{8363E3D2-2E5D-47BF-837C-FF176D027607}"/>
  </hyperlinks>
  <pageMargins left="0.70866141732283472" right="0.70866141732283472" top="0.74803149606299213" bottom="0.74803149606299213" header="0.31496062992125984" footer="0.31496062992125984"/>
  <pageSetup paperSize="9" scale="35" orientation="portrait" r:id="rId8"/>
  <ignoredErrors>
    <ignoredError sqref="L26 H18 H9 L18 O26:P26 S18 O18:P18" unlockedFormula="1"/>
  </ignoredError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85"/>
  <sheetViews>
    <sheetView showGridLines="0" zoomScale="80" zoomScaleNormal="80" zoomScaleSheetLayoutView="80" workbookViewId="0"/>
  </sheetViews>
  <sheetFormatPr defaultColWidth="8.77734375" defaultRowHeight="14.4" x14ac:dyDescent="0.3"/>
  <cols>
    <col min="1" max="1" width="3.5546875" customWidth="1"/>
    <col min="2" max="2" width="66.6640625" style="1" customWidth="1"/>
    <col min="3" max="3" width="11.5546875" style="1" customWidth="1"/>
    <col min="4" max="8" width="11.5546875" customWidth="1"/>
    <col min="9" max="9" width="44.33203125" customWidth="1"/>
    <col min="10" max="10" width="11.5546875" customWidth="1"/>
    <col min="11" max="11" width="1.33203125" customWidth="1"/>
  </cols>
  <sheetData>
    <row r="1" spans="2:10" ht="30" customHeight="1" x14ac:dyDescent="0.3">
      <c r="B1" s="528" t="str">
        <f>'Inputs and eligible population'!B1</f>
        <v>Quizartinib for induction, consolidation and maintenance treatment of newly diagnosed FLT3‑ITD‑positive acute myeloid leukaemia</v>
      </c>
      <c r="C1" s="144"/>
      <c r="D1" s="141"/>
      <c r="E1" s="141"/>
      <c r="F1" s="141"/>
      <c r="G1" s="141"/>
      <c r="H1" s="141"/>
      <c r="I1" s="141"/>
      <c r="J1" s="141"/>
    </row>
    <row r="2" spans="2:10" ht="30" customHeight="1" x14ac:dyDescent="0.3">
      <c r="B2" s="367" t="s">
        <v>16</v>
      </c>
      <c r="C2" s="141"/>
      <c r="E2" s="127" t="s">
        <v>742</v>
      </c>
      <c r="F2" s="127" t="s">
        <v>742</v>
      </c>
      <c r="G2" s="127" t="s">
        <v>742</v>
      </c>
      <c r="H2" s="127" t="s">
        <v>742</v>
      </c>
      <c r="I2" s="127" t="s">
        <v>742</v>
      </c>
      <c r="J2" s="141"/>
    </row>
    <row r="3" spans="2:10" x14ac:dyDescent="0.3">
      <c r="B3" s="148" t="s">
        <v>1031</v>
      </c>
      <c r="C3" s="130"/>
      <c r="D3" s="133" t="s">
        <v>742</v>
      </c>
      <c r="E3" s="133" t="s">
        <v>742</v>
      </c>
      <c r="F3" s="133" t="s">
        <v>742</v>
      </c>
      <c r="G3" s="133" t="s">
        <v>742</v>
      </c>
      <c r="H3" s="133" t="s">
        <v>742</v>
      </c>
      <c r="I3" s="133" t="s">
        <v>742</v>
      </c>
      <c r="J3" s="141"/>
    </row>
    <row r="4" spans="2:10" ht="43.2" x14ac:dyDescent="0.3">
      <c r="B4" s="256" t="s">
        <v>801</v>
      </c>
      <c r="C4" s="237" t="s">
        <v>802</v>
      </c>
      <c r="D4" s="268" t="s">
        <v>676</v>
      </c>
      <c r="E4" s="268" t="s">
        <v>677</v>
      </c>
      <c r="F4" s="269" t="s">
        <v>803</v>
      </c>
      <c r="G4" s="269" t="s">
        <v>804</v>
      </c>
      <c r="H4" s="268" t="s">
        <v>805</v>
      </c>
      <c r="J4" s="141"/>
    </row>
    <row r="5" spans="2:10" s="148" customFormat="1" x14ac:dyDescent="0.3">
      <c r="B5" s="167" t="s">
        <v>806</v>
      </c>
      <c r="C5" s="128">
        <f>'Inputs and eligible population'!F43</f>
        <v>402.09390452460838</v>
      </c>
      <c r="D5" s="128">
        <f>'Inputs and eligible population'!G43</f>
        <v>405.97081653445406</v>
      </c>
      <c r="E5" s="128">
        <f>'Inputs and eligible population'!H43</f>
        <v>409.88510898345328</v>
      </c>
      <c r="F5" s="128">
        <f>'Inputs and eligible population'!I43</f>
        <v>413.83714228660324</v>
      </c>
      <c r="G5" s="128">
        <f>'Inputs and eligible population'!J43</f>
        <v>417.82728033395318</v>
      </c>
      <c r="H5" s="128">
        <f>'Inputs and eligible population'!K43</f>
        <v>421.85589052411018</v>
      </c>
      <c r="I5"/>
      <c r="J5" s="141"/>
    </row>
    <row r="6" spans="2:10" ht="15.6" x14ac:dyDescent="0.3">
      <c r="B6" s="734" t="s">
        <v>996</v>
      </c>
      <c r="C6" s="510">
        <f>'Inputs and eligible population'!E72</f>
        <v>0</v>
      </c>
      <c r="D6" s="510">
        <f>'Inputs and eligible population'!F72</f>
        <v>0.15</v>
      </c>
      <c r="E6" s="510">
        <f>'Inputs and eligible population'!G72</f>
        <v>0.25</v>
      </c>
      <c r="F6" s="510">
        <f>'Inputs and eligible population'!H72</f>
        <v>0.3</v>
      </c>
      <c r="G6" s="510">
        <f>'Inputs and eligible population'!I72</f>
        <v>0.3</v>
      </c>
      <c r="H6" s="510">
        <f>'Inputs and eligible population'!J72</f>
        <v>0.3</v>
      </c>
      <c r="J6" s="141"/>
    </row>
    <row r="7" spans="2:10" ht="33" customHeight="1" x14ac:dyDescent="0.3">
      <c r="B7" s="167" t="s">
        <v>1032</v>
      </c>
      <c r="C7" s="128">
        <f>'Financial impact (cash)'!D14</f>
        <v>0</v>
      </c>
      <c r="D7" s="128">
        <f>'Financial impact (cash)'!E14</f>
        <v>60.895622480168107</v>
      </c>
      <c r="E7" s="128">
        <f>'Financial impact (cash)'!F14</f>
        <v>102.47127724586332</v>
      </c>
      <c r="F7" s="128">
        <f>'Financial impact (cash)'!G14</f>
        <v>124.15114268598097</v>
      </c>
      <c r="G7" s="128">
        <f>'Financial impact (cash)'!H14</f>
        <v>125.34818410018595</v>
      </c>
      <c r="H7" s="128">
        <f>'Financial impact (cash)'!I14</f>
        <v>126.55676715723305</v>
      </c>
      <c r="J7" s="133"/>
    </row>
    <row r="8" spans="2:10" s="803" customFormat="1" ht="33" customHeight="1" x14ac:dyDescent="0.3">
      <c r="B8" s="148" t="s">
        <v>1004</v>
      </c>
      <c r="C8" s="805"/>
      <c r="D8" s="805"/>
      <c r="E8" s="805"/>
      <c r="F8" s="805"/>
      <c r="G8" s="805"/>
      <c r="H8" s="805"/>
      <c r="J8" s="804"/>
    </row>
    <row r="9" spans="2:10" ht="43.2" x14ac:dyDescent="0.3">
      <c r="B9" s="256" t="s">
        <v>801</v>
      </c>
      <c r="C9" s="237" t="s">
        <v>802</v>
      </c>
      <c r="D9" s="268" t="s">
        <v>676</v>
      </c>
      <c r="E9" s="268" t="s">
        <v>677</v>
      </c>
      <c r="F9" s="269" t="s">
        <v>803</v>
      </c>
      <c r="G9" s="269" t="s">
        <v>804</v>
      </c>
      <c r="H9" s="268" t="s">
        <v>805</v>
      </c>
      <c r="J9" s="141"/>
    </row>
    <row r="10" spans="2:10" s="148" customFormat="1" x14ac:dyDescent="0.3">
      <c r="B10" s="167" t="s">
        <v>806</v>
      </c>
      <c r="C10" s="128">
        <f>'Inputs and eligible population'!F44</f>
        <v>150.03503900171955</v>
      </c>
      <c r="D10" s="128">
        <f>'Inputs and eligible population'!G44</f>
        <v>151.48164796061718</v>
      </c>
      <c r="E10" s="128">
        <f>'Inputs and eligible population'!H44</f>
        <v>152.94220484457213</v>
      </c>
      <c r="F10" s="128">
        <f>'Inputs and eligible population'!I44</f>
        <v>154.41684413679226</v>
      </c>
      <c r="G10" s="128">
        <f>'Inputs and eligible population'!J44</f>
        <v>155.90570161714672</v>
      </c>
      <c r="H10" s="128">
        <f>'Inputs and eligible population'!K44</f>
        <v>157.40891437466797</v>
      </c>
      <c r="I10"/>
      <c r="J10" s="141"/>
    </row>
    <row r="11" spans="2:10" ht="15.6" x14ac:dyDescent="0.3">
      <c r="B11" s="734" t="s">
        <v>996</v>
      </c>
      <c r="C11" s="510">
        <f>'Inputs and eligible population'!E78</f>
        <v>0</v>
      </c>
      <c r="D11" s="510">
        <f>'Inputs and eligible population'!F78</f>
        <v>0.25</v>
      </c>
      <c r="E11" s="510">
        <f>'Inputs and eligible population'!G78</f>
        <v>0.5</v>
      </c>
      <c r="F11" s="510">
        <f>'Inputs and eligible population'!H78</f>
        <v>0.5</v>
      </c>
      <c r="G11" s="510">
        <f>'Inputs and eligible population'!I78</f>
        <v>0.5</v>
      </c>
      <c r="H11" s="510">
        <f>'Inputs and eligible population'!J78</f>
        <v>0.5</v>
      </c>
      <c r="J11" s="141"/>
    </row>
    <row r="12" spans="2:10" ht="33" customHeight="1" x14ac:dyDescent="0.3">
      <c r="B12" s="167" t="s">
        <v>1045</v>
      </c>
      <c r="C12" s="128">
        <f>'Financial impact (cash)'!D19</f>
        <v>0</v>
      </c>
      <c r="D12" s="128">
        <f>'Financial impact (cash)'!E19</f>
        <v>37.870411990154295</v>
      </c>
      <c r="E12" s="128">
        <f>'Financial impact (cash)'!F19</f>
        <v>76.471102422286066</v>
      </c>
      <c r="F12" s="128">
        <f>'Financial impact (cash)'!G19</f>
        <v>77.208422068396132</v>
      </c>
      <c r="G12" s="128">
        <f>'Financial impact (cash)'!H19</f>
        <v>77.952850808573359</v>
      </c>
      <c r="H12" s="128">
        <f>'Financial impact (cash)'!I19</f>
        <v>78.704457187333986</v>
      </c>
      <c r="J12" s="133"/>
    </row>
    <row r="13" spans="2:10" ht="33" customHeight="1" x14ac:dyDescent="0.3">
      <c r="B13" s="918" t="s">
        <v>1159</v>
      </c>
      <c r="C13" s="128">
        <f>'Inputs and eligible population'!L84</f>
        <v>0</v>
      </c>
      <c r="D13" s="128" cm="1">
        <f t="array" ref="D13:H13">'Inputs and eligible population'!M84:Q84</f>
        <v>76.043787276229835</v>
      </c>
      <c r="E13" s="128">
        <v>140.70682845700634</v>
      </c>
      <c r="F13" s="128">
        <v>155.03451151333942</v>
      </c>
      <c r="G13" s="128">
        <v>156.52932442361529</v>
      </c>
      <c r="H13" s="128">
        <v>158.03855003216665</v>
      </c>
      <c r="J13" s="133"/>
    </row>
    <row r="14" spans="2:10" ht="14.55" customHeight="1" x14ac:dyDescent="0.3">
      <c r="B14" s="243"/>
      <c r="C14" s="243"/>
      <c r="D14" s="133"/>
      <c r="E14" s="133"/>
      <c r="F14" s="133"/>
      <c r="G14" s="133"/>
      <c r="H14" s="133"/>
      <c r="J14" s="133"/>
    </row>
    <row r="15" spans="2:10" ht="43.2" x14ac:dyDescent="0.3">
      <c r="B15" s="262" t="s">
        <v>1160</v>
      </c>
      <c r="C15" s="237" t="s">
        <v>802</v>
      </c>
      <c r="D15" s="268" t="s">
        <v>676</v>
      </c>
      <c r="E15" s="268" t="s">
        <v>677</v>
      </c>
      <c r="F15" s="269" t="s">
        <v>803</v>
      </c>
      <c r="G15" s="269" t="s">
        <v>804</v>
      </c>
      <c r="H15" s="268" t="s">
        <v>805</v>
      </c>
      <c r="J15" s="133"/>
    </row>
    <row r="16" spans="2:10" x14ac:dyDescent="0.3">
      <c r="B16" s="332" t="s">
        <v>1046</v>
      </c>
      <c r="C16" s="128">
        <f>C7</f>
        <v>0</v>
      </c>
      <c r="D16" s="128">
        <f t="shared" ref="D16:H16" si="0">D7</f>
        <v>60.895622480168107</v>
      </c>
      <c r="E16" s="128">
        <f t="shared" si="0"/>
        <v>102.47127724586332</v>
      </c>
      <c r="F16" s="128">
        <f t="shared" si="0"/>
        <v>124.15114268598097</v>
      </c>
      <c r="G16" s="128">
        <f t="shared" si="0"/>
        <v>125.34818410018595</v>
      </c>
      <c r="H16" s="128">
        <f t="shared" si="0"/>
        <v>126.55676715723305</v>
      </c>
      <c r="J16" s="133"/>
    </row>
    <row r="17" spans="2:10" x14ac:dyDescent="0.3">
      <c r="B17" s="738" t="s">
        <v>1047</v>
      </c>
      <c r="C17" s="128">
        <f>C5-C16-C18</f>
        <v>252.05886552288882</v>
      </c>
      <c r="D17" s="128">
        <f t="shared" ref="D17:H17" si="1">D5-D16-D18</f>
        <v>231.46395808382306</v>
      </c>
      <c r="E17" s="128">
        <f t="shared" si="1"/>
        <v>230.94272931530386</v>
      </c>
      <c r="F17" s="128">
        <f t="shared" si="1"/>
        <v>212.47757753222612</v>
      </c>
      <c r="G17" s="128">
        <f t="shared" si="1"/>
        <v>214.52624542519385</v>
      </c>
      <c r="H17" s="128">
        <f t="shared" si="1"/>
        <v>216.59466617954311</v>
      </c>
      <c r="J17" s="133"/>
    </row>
    <row r="18" spans="2:10" ht="28.8" x14ac:dyDescent="0.3">
      <c r="B18" s="738" t="s">
        <v>1048</v>
      </c>
      <c r="C18" s="128">
        <f>'Inputs and eligible population'!L79</f>
        <v>150.03503900171955</v>
      </c>
      <c r="D18" s="128">
        <f>'Inputs and eligible population'!M79</f>
        <v>113.61123597046289</v>
      </c>
      <c r="E18" s="128">
        <f>'Inputs and eligible population'!N79</f>
        <v>76.471102422286066</v>
      </c>
      <c r="F18" s="128">
        <f>'Inputs and eligible population'!O79</f>
        <v>77.208422068396132</v>
      </c>
      <c r="G18" s="128">
        <f>'Inputs and eligible population'!P79</f>
        <v>77.952850808573359</v>
      </c>
      <c r="H18" s="128">
        <f>'Inputs and eligible population'!Q79</f>
        <v>78.704457187333986</v>
      </c>
      <c r="J18" s="133"/>
    </row>
    <row r="19" spans="2:10" x14ac:dyDescent="0.3">
      <c r="B19" s="263"/>
      <c r="C19" s="181">
        <f t="shared" ref="C19:H19" si="2">SUM(C16:C18)</f>
        <v>402.09390452460838</v>
      </c>
      <c r="D19" s="181">
        <f t="shared" si="2"/>
        <v>405.97081653445406</v>
      </c>
      <c r="E19" s="181">
        <f t="shared" si="2"/>
        <v>409.88510898345328</v>
      </c>
      <c r="F19" s="181">
        <f t="shared" si="2"/>
        <v>413.83714228660324</v>
      </c>
      <c r="G19" s="181">
        <f t="shared" si="2"/>
        <v>417.82728033395318</v>
      </c>
      <c r="H19" s="181">
        <f t="shared" si="2"/>
        <v>421.85589052411012</v>
      </c>
      <c r="J19" s="133"/>
    </row>
    <row r="20" spans="2:10" x14ac:dyDescent="0.3">
      <c r="B20" s="243"/>
      <c r="C20" s="346"/>
      <c r="D20" s="346"/>
      <c r="E20" s="346"/>
      <c r="F20" s="346"/>
      <c r="G20" s="346"/>
      <c r="H20" s="346"/>
      <c r="J20" s="133"/>
    </row>
    <row r="21" spans="2:10" ht="43.2" x14ac:dyDescent="0.3">
      <c r="B21" s="262" t="s">
        <v>1161</v>
      </c>
      <c r="C21" s="237" t="s">
        <v>802</v>
      </c>
      <c r="D21" s="268" t="s">
        <v>676</v>
      </c>
      <c r="E21" s="268" t="s">
        <v>677</v>
      </c>
      <c r="F21" s="269" t="s">
        <v>803</v>
      </c>
      <c r="G21" s="269" t="s">
        <v>804</v>
      </c>
      <c r="H21" s="268" t="s">
        <v>805</v>
      </c>
      <c r="J21" s="133"/>
    </row>
    <row r="22" spans="2:10" x14ac:dyDescent="0.3">
      <c r="B22" s="332" t="s">
        <v>1046</v>
      </c>
      <c r="C22" s="128">
        <f>'Inputs and eligible population'!L84</f>
        <v>0</v>
      </c>
      <c r="D22" s="128">
        <f>'Inputs and eligible population'!M84</f>
        <v>76.043787276229835</v>
      </c>
      <c r="E22" s="128">
        <f>'Inputs and eligible population'!N84</f>
        <v>140.70682845700634</v>
      </c>
      <c r="F22" s="128">
        <f>'Inputs and eligible population'!O84</f>
        <v>155.03451151333942</v>
      </c>
      <c r="G22" s="128">
        <f>'Inputs and eligible population'!P84</f>
        <v>156.52932442361529</v>
      </c>
      <c r="H22" s="128">
        <f>'Inputs and eligible population'!Q84</f>
        <v>158.03855003216665</v>
      </c>
      <c r="J22" s="133"/>
    </row>
    <row r="23" spans="2:10" x14ac:dyDescent="0.3">
      <c r="B23" s="738" t="s">
        <v>1047</v>
      </c>
      <c r="C23" s="128">
        <f>'Inputs and eligible population'!L85</f>
        <v>252.05886552288882</v>
      </c>
      <c r="D23" s="128">
        <f>'Inputs and eligible population'!M85</f>
        <v>216.31579328776132</v>
      </c>
      <c r="E23" s="128">
        <f>'Inputs and eligible population'!N85</f>
        <v>192.70717810416085</v>
      </c>
      <c r="F23" s="128">
        <f>'Inputs and eligible population'!O85</f>
        <v>181.5942087048677</v>
      </c>
      <c r="G23" s="128">
        <f>'Inputs and eligible population'!P85</f>
        <v>183.34510510176449</v>
      </c>
      <c r="H23" s="128">
        <f>'Inputs and eligible population'!Q85</f>
        <v>185.11288330460951</v>
      </c>
      <c r="J23" s="133"/>
    </row>
    <row r="24" spans="2:10" ht="28.8" x14ac:dyDescent="0.3">
      <c r="B24" s="738" t="s">
        <v>1048</v>
      </c>
      <c r="C24" s="128">
        <f>'Inputs and eligible population'!L86</f>
        <v>150.03503900171955</v>
      </c>
      <c r="D24" s="128">
        <f>'Inputs and eligible population'!M86</f>
        <v>113.61123597046289</v>
      </c>
      <c r="E24" s="128">
        <f>'Inputs and eligible population'!N86</f>
        <v>76.471102422286066</v>
      </c>
      <c r="F24" s="128">
        <f>'Inputs and eligible population'!O86</f>
        <v>77.208422068396132</v>
      </c>
      <c r="G24" s="128">
        <f>'Inputs and eligible population'!P86</f>
        <v>77.952850808573359</v>
      </c>
      <c r="H24" s="128">
        <f>'Inputs and eligible population'!Q86</f>
        <v>78.704457187333986</v>
      </c>
      <c r="J24" s="133"/>
    </row>
    <row r="25" spans="2:10" x14ac:dyDescent="0.3">
      <c r="B25" s="263"/>
      <c r="C25" s="181">
        <f t="shared" ref="C25:H25" si="3">SUM(C22:C24)</f>
        <v>402.09390452460838</v>
      </c>
      <c r="D25" s="181">
        <f t="shared" si="3"/>
        <v>405.970816534454</v>
      </c>
      <c r="E25" s="181">
        <f t="shared" si="3"/>
        <v>409.88510898345328</v>
      </c>
      <c r="F25" s="181">
        <f t="shared" si="3"/>
        <v>413.8371422866033</v>
      </c>
      <c r="G25" s="181">
        <f t="shared" si="3"/>
        <v>417.82728033395318</v>
      </c>
      <c r="H25" s="181">
        <f t="shared" si="3"/>
        <v>421.85589052411012</v>
      </c>
      <c r="J25" s="133"/>
    </row>
    <row r="26" spans="2:10" x14ac:dyDescent="0.3">
      <c r="B26" s="243"/>
      <c r="C26" s="346"/>
      <c r="D26" s="346"/>
      <c r="E26" s="346"/>
      <c r="F26" s="346"/>
      <c r="G26" s="346"/>
      <c r="H26" s="346"/>
      <c r="J26" s="133"/>
    </row>
    <row r="27" spans="2:10" ht="15" thickBot="1" x14ac:dyDescent="0.35">
      <c r="B27" s="488"/>
      <c r="C27" s="488"/>
      <c r="D27" s="489"/>
      <c r="E27" s="489"/>
      <c r="F27" s="489"/>
      <c r="G27" s="489"/>
      <c r="H27" s="489"/>
      <c r="I27" s="490"/>
      <c r="J27" s="133"/>
    </row>
    <row r="28" spans="2:10" x14ac:dyDescent="0.3">
      <c r="B28" s="265"/>
      <c r="C28" s="265"/>
      <c r="D28" s="322"/>
      <c r="E28" s="322"/>
      <c r="F28" s="322"/>
      <c r="G28" s="322"/>
      <c r="H28" s="322"/>
      <c r="I28" s="133"/>
      <c r="J28" s="133"/>
    </row>
    <row r="29" spans="2:10" ht="43.2" x14ac:dyDescent="0.3">
      <c r="B29" s="258" t="s">
        <v>807</v>
      </c>
      <c r="C29" s="237" t="s">
        <v>802</v>
      </c>
      <c r="D29" s="268" t="s">
        <v>676</v>
      </c>
      <c r="E29" s="268" t="s">
        <v>677</v>
      </c>
      <c r="F29" s="269" t="s">
        <v>803</v>
      </c>
      <c r="G29" s="269" t="s">
        <v>804</v>
      </c>
      <c r="H29" s="268" t="s">
        <v>805</v>
      </c>
      <c r="I29" s="133"/>
      <c r="J29" s="133"/>
    </row>
    <row r="30" spans="2:10" x14ac:dyDescent="0.3">
      <c r="B30" s="291" t="s">
        <v>808</v>
      </c>
      <c r="C30" s="690" t="s">
        <v>809</v>
      </c>
      <c r="D30" s="690" t="s">
        <v>809</v>
      </c>
      <c r="E30" s="690" t="s">
        <v>809</v>
      </c>
      <c r="F30" s="690" t="s">
        <v>809</v>
      </c>
      <c r="G30" s="690" t="s">
        <v>809</v>
      </c>
      <c r="H30" s="690" t="s">
        <v>809</v>
      </c>
      <c r="I30" s="133"/>
      <c r="J30" s="133"/>
    </row>
    <row r="31" spans="2:10" x14ac:dyDescent="0.3">
      <c r="B31" s="264" t="s">
        <v>810</v>
      </c>
      <c r="C31" s="877">
        <f>'Financial impact (cash)'!D43</f>
        <v>558.11687846872906</v>
      </c>
      <c r="D31" s="251">
        <f>'Financial impact (cash)'!E43</f>
        <v>422.62360046497008</v>
      </c>
      <c r="E31" s="251">
        <f>'Financial impact (cash)'!F43</f>
        <v>284.46563723357718</v>
      </c>
      <c r="F31" s="251">
        <f>'Financial impact (cash)'!G43</f>
        <v>287.20840013788722</v>
      </c>
      <c r="G31" s="251">
        <f>'Financial impact (cash)'!H43</f>
        <v>289.97760823403974</v>
      </c>
      <c r="H31" s="251">
        <f>'Financial impact (cash)'!I43</f>
        <v>292.7735165014829</v>
      </c>
      <c r="I31" s="133"/>
      <c r="J31" s="133"/>
    </row>
    <row r="32" spans="2:10" x14ac:dyDescent="0.3">
      <c r="C32" s="78"/>
      <c r="D32" s="195">
        <f>D31-$C$31</f>
        <v>-135.49327800375897</v>
      </c>
      <c r="E32" s="195">
        <f>E31-$C$31</f>
        <v>-273.65124123515187</v>
      </c>
      <c r="F32" s="195">
        <f>F31-$C$31</f>
        <v>-270.90847833084183</v>
      </c>
      <c r="G32" s="195">
        <f>G31-$C$31</f>
        <v>-268.13927023468932</v>
      </c>
      <c r="H32" s="195">
        <f>H31-$C$31</f>
        <v>-265.34336196724615</v>
      </c>
      <c r="I32" s="447" t="s">
        <v>811</v>
      </c>
      <c r="J32" s="133"/>
    </row>
    <row r="33" spans="1:10" x14ac:dyDescent="0.3">
      <c r="C33" s="88"/>
      <c r="D33" s="195">
        <f>D31-C31</f>
        <v>-135.49327800375897</v>
      </c>
      <c r="E33" s="195">
        <f>E31-D31</f>
        <v>-138.1579632313929</v>
      </c>
      <c r="F33" s="195">
        <f>F31-E31</f>
        <v>2.742762904310041</v>
      </c>
      <c r="G33" s="195">
        <f>G31-F31</f>
        <v>2.7692080961525107</v>
      </c>
      <c r="H33" s="195">
        <f>H31-G31</f>
        <v>2.795908267443167</v>
      </c>
      <c r="I33" s="447" t="s">
        <v>812</v>
      </c>
      <c r="J33" s="133"/>
    </row>
    <row r="34" spans="1:10" x14ac:dyDescent="0.3">
      <c r="B34" s="265"/>
      <c r="C34" s="265"/>
      <c r="D34" s="391"/>
      <c r="E34" s="391"/>
      <c r="F34" s="391"/>
      <c r="G34" s="391"/>
      <c r="H34" s="391"/>
      <c r="J34" s="133"/>
    </row>
    <row r="35" spans="1:10" x14ac:dyDescent="0.3">
      <c r="B35" t="s">
        <v>813</v>
      </c>
      <c r="C35" s="265"/>
      <c r="D35" s="391"/>
      <c r="E35" s="391"/>
      <c r="F35" s="391"/>
      <c r="G35" s="391"/>
      <c r="H35" s="391"/>
      <c r="J35" s="133"/>
    </row>
    <row r="36" spans="1:10" x14ac:dyDescent="0.3">
      <c r="B36" s="604" t="s">
        <v>50</v>
      </c>
      <c r="C36" s="265"/>
      <c r="D36" s="391"/>
      <c r="E36" s="391"/>
      <c r="F36" s="391"/>
      <c r="G36" s="391"/>
      <c r="H36" s="391"/>
      <c r="J36" s="133"/>
    </row>
    <row r="37" spans="1:10" x14ac:dyDescent="0.3">
      <c r="B37" s="265"/>
      <c r="C37" s="265"/>
      <c r="D37" s="391"/>
      <c r="E37" s="391"/>
      <c r="F37" s="391"/>
      <c r="G37" s="391"/>
      <c r="H37" s="391"/>
      <c r="J37" s="133"/>
    </row>
    <row r="38" spans="1:10" ht="43.2" x14ac:dyDescent="0.3">
      <c r="A38" s="391"/>
      <c r="B38" s="258" t="s">
        <v>814</v>
      </c>
      <c r="C38" s="237" t="s">
        <v>802</v>
      </c>
      <c r="D38" s="268" t="s">
        <v>676</v>
      </c>
      <c r="E38" s="268" t="s">
        <v>677</v>
      </c>
      <c r="F38" s="269" t="s">
        <v>803</v>
      </c>
      <c r="G38" s="269" t="s">
        <v>804</v>
      </c>
      <c r="H38" s="268" t="s">
        <v>805</v>
      </c>
      <c r="J38" s="133"/>
    </row>
    <row r="39" spans="1:10" x14ac:dyDescent="0.3">
      <c r="A39" s="391"/>
      <c r="B39" s="291" t="s">
        <v>815</v>
      </c>
      <c r="C39" s="690" t="s">
        <v>809</v>
      </c>
      <c r="D39" s="690" t="s">
        <v>809</v>
      </c>
      <c r="E39" s="690" t="s">
        <v>809</v>
      </c>
      <c r="F39" s="690" t="s">
        <v>809</v>
      </c>
      <c r="G39" s="690" t="s">
        <v>809</v>
      </c>
      <c r="H39" s="690" t="s">
        <v>809</v>
      </c>
      <c r="J39" s="133"/>
    </row>
    <row r="40" spans="1:10" x14ac:dyDescent="0.3">
      <c r="A40" s="391"/>
      <c r="B40" s="264" t="s">
        <v>816</v>
      </c>
      <c r="C40" s="877">
        <f>IF($B$36="national prices",'Capacity (national prices)'!L25,IF($B$36="local prices",'Capacity (local prices)'!L25,0))</f>
        <v>7821.0402296473167</v>
      </c>
      <c r="D40" s="251">
        <f>IF($B$36="national prices",'Capacity (national prices)'!M25,IF($B$36="local prices",'Capacity (local prices)'!M25,0))</f>
        <v>7044.9863498224022</v>
      </c>
      <c r="E40" s="251">
        <f>IF($B$36="national prices",'Capacity (national prices)'!N25,IF($B$36="local prices",'Capacity (local prices)'!N25,0))</f>
        <v>6819.97717931846</v>
      </c>
      <c r="F40" s="251">
        <f>IF($B$36="national prices",'Capacity (national prices)'!O25,IF($B$36="local prices",'Capacity (local prices)'!O25,0))</f>
        <v>6313.5328057842298</v>
      </c>
      <c r="G40" s="251">
        <f>IF($B$36="national prices",'Capacity (national prices)'!P25,IF($B$36="local prices",'Capacity (local prices)'!P25,0))</f>
        <v>6374.4066735147999</v>
      </c>
      <c r="H40" s="251">
        <f>IF($B$36="national prices",'Capacity (national prices)'!Q25,IF($B$36="local prices",'Capacity (local prices)'!Q25,0))</f>
        <v>6435.8674753576115</v>
      </c>
      <c r="J40" s="133"/>
    </row>
    <row r="41" spans="1:10" x14ac:dyDescent="0.3">
      <c r="A41" s="391"/>
      <c r="C41" s="78"/>
      <c r="D41" s="195">
        <f>D40-$C$40</f>
        <v>-776.05387982491447</v>
      </c>
      <c r="E41" s="195">
        <f>E40-$C$40</f>
        <v>-1001.0630503288567</v>
      </c>
      <c r="F41" s="195">
        <f>F40-$C$40</f>
        <v>-1507.5074238630868</v>
      </c>
      <c r="G41" s="195">
        <f>G40-$C$40</f>
        <v>-1446.6335561325168</v>
      </c>
      <c r="H41" s="195">
        <f>H40-$C$40</f>
        <v>-1385.1727542897052</v>
      </c>
      <c r="I41" s="447" t="s">
        <v>811</v>
      </c>
      <c r="J41" s="133"/>
    </row>
    <row r="42" spans="1:10" x14ac:dyDescent="0.3">
      <c r="A42" s="391"/>
      <c r="C42" s="88"/>
      <c r="D42" s="195">
        <f>D40-C40</f>
        <v>-776.05387982491447</v>
      </c>
      <c r="E42" s="195">
        <f>E40-D40</f>
        <v>-225.00917050394219</v>
      </c>
      <c r="F42" s="195">
        <f>F40-E40</f>
        <v>-506.44437353423018</v>
      </c>
      <c r="G42" s="195">
        <f>G40-F40</f>
        <v>60.873867730570055</v>
      </c>
      <c r="H42" s="195">
        <f>H40-G40</f>
        <v>61.460801842811634</v>
      </c>
      <c r="I42" s="447" t="s">
        <v>812</v>
      </c>
      <c r="J42" s="133"/>
    </row>
    <row r="43" spans="1:10" x14ac:dyDescent="0.3">
      <c r="A43" s="391"/>
      <c r="B43" s="391"/>
      <c r="C43" s="391"/>
      <c r="D43" s="391"/>
      <c r="E43" s="391"/>
      <c r="F43" s="391"/>
      <c r="G43" s="391"/>
      <c r="H43" s="391"/>
      <c r="J43" s="133"/>
    </row>
    <row r="44" spans="1:10" ht="43.2" x14ac:dyDescent="0.3">
      <c r="A44" s="391"/>
      <c r="B44" s="258" t="s">
        <v>817</v>
      </c>
      <c r="C44" s="237" t="s">
        <v>802</v>
      </c>
      <c r="D44" s="268" t="s">
        <v>676</v>
      </c>
      <c r="E44" s="268" t="s">
        <v>677</v>
      </c>
      <c r="F44" s="269" t="s">
        <v>803</v>
      </c>
      <c r="G44" s="269" t="s">
        <v>804</v>
      </c>
      <c r="H44" s="268" t="s">
        <v>805</v>
      </c>
      <c r="J44" s="133"/>
    </row>
    <row r="45" spans="1:10" x14ac:dyDescent="0.3">
      <c r="B45" s="291"/>
      <c r="C45" s="690" t="s">
        <v>809</v>
      </c>
      <c r="D45" s="690" t="s">
        <v>809</v>
      </c>
      <c r="E45" s="690" t="s">
        <v>809</v>
      </c>
      <c r="F45" s="690" t="s">
        <v>809</v>
      </c>
      <c r="G45" s="690" t="s">
        <v>809</v>
      </c>
      <c r="H45" s="690" t="s">
        <v>809</v>
      </c>
      <c r="I45" s="133"/>
      <c r="J45" s="133"/>
    </row>
    <row r="46" spans="1:10" x14ac:dyDescent="0.3">
      <c r="B46" s="484" t="s">
        <v>818</v>
      </c>
      <c r="C46" s="503">
        <f>C31+C40</f>
        <v>8379.1571081160455</v>
      </c>
      <c r="D46" s="503">
        <f t="shared" ref="D46:H46" si="4">D31+D40</f>
        <v>7467.6099502873722</v>
      </c>
      <c r="E46" s="503">
        <f t="shared" si="4"/>
        <v>7104.4428165520376</v>
      </c>
      <c r="F46" s="503">
        <f t="shared" si="4"/>
        <v>6600.7412059221169</v>
      </c>
      <c r="G46" s="503">
        <f t="shared" si="4"/>
        <v>6664.3842817488394</v>
      </c>
      <c r="H46" s="503">
        <f t="shared" si="4"/>
        <v>6728.6409918590944</v>
      </c>
      <c r="I46" s="133"/>
      <c r="J46" s="133"/>
    </row>
    <row r="47" spans="1:10" x14ac:dyDescent="0.3">
      <c r="B47" s="483"/>
      <c r="C47" s="485"/>
      <c r="D47" s="486">
        <f>D46-$C$46</f>
        <v>-911.54715782867333</v>
      </c>
      <c r="E47" s="486">
        <f t="shared" ref="E47:H47" si="5">E46-$C$46</f>
        <v>-1274.7142915640079</v>
      </c>
      <c r="F47" s="486">
        <f t="shared" si="5"/>
        <v>-1778.4159021939286</v>
      </c>
      <c r="G47" s="486">
        <f t="shared" si="5"/>
        <v>-1714.7728263672061</v>
      </c>
      <c r="H47" s="486">
        <f t="shared" si="5"/>
        <v>-1650.5161162569511</v>
      </c>
      <c r="I47" s="447" t="s">
        <v>811</v>
      </c>
      <c r="J47" s="133"/>
    </row>
    <row r="48" spans="1:10" x14ac:dyDescent="0.3">
      <c r="B48" s="483"/>
      <c r="C48" s="485"/>
      <c r="D48" s="487">
        <f>D46-C46</f>
        <v>-911.54715782867333</v>
      </c>
      <c r="E48" s="487">
        <f>E46-D46</f>
        <v>-363.16713373533457</v>
      </c>
      <c r="F48" s="487">
        <f>F46-E46</f>
        <v>-503.70161062992065</v>
      </c>
      <c r="G48" s="487">
        <f>G46-F46</f>
        <v>63.643075826722452</v>
      </c>
      <c r="H48" s="487">
        <f>H46-G46</f>
        <v>64.256710110254971</v>
      </c>
      <c r="I48" s="447" t="s">
        <v>812</v>
      </c>
      <c r="J48" s="133"/>
    </row>
    <row r="49" spans="2:10" ht="15" thickBot="1" x14ac:dyDescent="0.35">
      <c r="B49" s="488"/>
      <c r="C49" s="488"/>
      <c r="D49" s="489"/>
      <c r="E49" s="489"/>
      <c r="F49" s="489"/>
      <c r="G49" s="489"/>
      <c r="H49" s="489"/>
      <c r="I49" s="490"/>
      <c r="J49" s="133"/>
    </row>
    <row r="50" spans="2:10" x14ac:dyDescent="0.3">
      <c r="B50" s="265"/>
      <c r="C50" s="265"/>
      <c r="D50" s="322"/>
      <c r="E50" s="322"/>
      <c r="F50" s="322"/>
      <c r="G50" s="322"/>
      <c r="H50" s="322"/>
      <c r="I50" s="133"/>
      <c r="J50" s="133"/>
    </row>
    <row r="51" spans="2:10" ht="43.2" x14ac:dyDescent="0.3">
      <c r="B51" s="258" t="s">
        <v>819</v>
      </c>
      <c r="C51" s="476"/>
      <c r="D51" s="268" t="s">
        <v>676</v>
      </c>
      <c r="E51" s="268" t="s">
        <v>677</v>
      </c>
      <c r="F51" s="269" t="s">
        <v>803</v>
      </c>
      <c r="G51" s="269" t="s">
        <v>804</v>
      </c>
      <c r="H51" s="268" t="s">
        <v>805</v>
      </c>
      <c r="I51" s="133"/>
      <c r="J51" s="133"/>
    </row>
    <row r="52" spans="2:10" x14ac:dyDescent="0.3">
      <c r="B52" s="479"/>
      <c r="C52" s="477"/>
      <c r="D52" s="478"/>
      <c r="E52" s="478"/>
      <c r="F52" s="478"/>
      <c r="G52" s="478"/>
      <c r="H52" s="478"/>
      <c r="I52" s="133"/>
      <c r="J52" s="133"/>
    </row>
    <row r="53" spans="2:10" x14ac:dyDescent="0.3">
      <c r="B53" s="258" t="s">
        <v>820</v>
      </c>
      <c r="C53" s="257"/>
      <c r="D53" s="253"/>
      <c r="E53" s="253"/>
      <c r="F53" s="253"/>
      <c r="G53" s="253"/>
      <c r="H53" s="254"/>
      <c r="I53" s="133"/>
      <c r="J53" s="133"/>
    </row>
    <row r="54" spans="2:10" x14ac:dyDescent="0.3">
      <c r="B54" s="602" t="s">
        <v>853</v>
      </c>
      <c r="C54" s="601"/>
      <c r="D54" s="603">
        <f>'Capacity (local prices)'!E43</f>
        <v>0</v>
      </c>
      <c r="E54" s="603">
        <f>'Capacity (local prices)'!F43</f>
        <v>0</v>
      </c>
      <c r="F54" s="603">
        <f>'Capacity (local prices)'!G43</f>
        <v>0</v>
      </c>
      <c r="G54" s="603">
        <f>'Capacity (local prices)'!H43</f>
        <v>0</v>
      </c>
      <c r="H54" s="603">
        <f>'Capacity (local prices)'!I43</f>
        <v>0</v>
      </c>
      <c r="I54" s="133"/>
      <c r="J54" s="133"/>
    </row>
    <row r="55" spans="2:10" x14ac:dyDescent="0.3">
      <c r="B55" s="602" t="s">
        <v>1071</v>
      </c>
      <c r="C55" s="601"/>
      <c r="D55" s="603">
        <f>'Capacity (local prices)'!E60</f>
        <v>-315.06589622037029</v>
      </c>
      <c r="E55" s="603">
        <f>'Capacity (local prices)'!F60</f>
        <v>-636.32805141209974</v>
      </c>
      <c r="F55" s="603">
        <f>'Capacity (local prices)'!G60</f>
        <v>-629.95023647324774</v>
      </c>
      <c r="G55" s="603">
        <f>'Capacity (local prices)'!H60</f>
        <v>-623.51092787071468</v>
      </c>
      <c r="H55" s="603">
        <f>'Capacity (local prices)'!I60</f>
        <v>-617.00953269443528</v>
      </c>
      <c r="I55" s="133"/>
      <c r="J55" s="133"/>
    </row>
    <row r="56" spans="2:10" x14ac:dyDescent="0.3">
      <c r="B56" s="260" t="s">
        <v>1104</v>
      </c>
      <c r="C56" s="261"/>
      <c r="D56" s="181">
        <f>'Capacity (local prices)'!E77</f>
        <v>-315.06589622037029</v>
      </c>
      <c r="E56" s="181">
        <f>'Capacity (local prices)'!F77</f>
        <v>-636.32805141209974</v>
      </c>
      <c r="F56" s="181">
        <f>'Capacity (local prices)'!G77</f>
        <v>-629.95023647324774</v>
      </c>
      <c r="G56" s="181">
        <f>'Capacity (local prices)'!H77</f>
        <v>-623.51092787071468</v>
      </c>
      <c r="H56" s="181">
        <f>'Capacity (local prices)'!I77</f>
        <v>-617.00953269443528</v>
      </c>
      <c r="I56" s="133"/>
      <c r="J56" s="133"/>
    </row>
    <row r="57" spans="2:10" x14ac:dyDescent="0.3">
      <c r="I57" s="133"/>
      <c r="J57" s="133"/>
    </row>
    <row r="58" spans="2:10" x14ac:dyDescent="0.3">
      <c r="B58" s="258" t="s">
        <v>821</v>
      </c>
      <c r="C58" s="259"/>
      <c r="D58" s="253"/>
      <c r="E58" s="253"/>
      <c r="F58" s="253"/>
      <c r="G58" s="253"/>
      <c r="H58" s="254"/>
      <c r="I58" s="133"/>
      <c r="J58" s="133"/>
    </row>
    <row r="59" spans="2:10" x14ac:dyDescent="0.3">
      <c r="B59" s="260" t="s">
        <v>1105</v>
      </c>
      <c r="C59" s="261"/>
      <c r="D59" s="181">
        <f>'Capacity (local prices)'!E94</f>
        <v>-68.26427751441355</v>
      </c>
      <c r="E59" s="181">
        <f>'Capacity (local prices)'!F94</f>
        <v>-137.87107780595494</v>
      </c>
      <c r="F59" s="181">
        <f>'Capacity (local prices)'!G94</f>
        <v>-136.48921790253698</v>
      </c>
      <c r="G59" s="181">
        <f>'Capacity (local prices)'!H94</f>
        <v>-135.09403437198816</v>
      </c>
      <c r="H59" s="181">
        <f>'Capacity (local prices)'!I94</f>
        <v>-133.68539875046093</v>
      </c>
      <c r="I59" s="133"/>
      <c r="J59" s="133"/>
    </row>
    <row r="60" spans="2:10" x14ac:dyDescent="0.3">
      <c r="B60" s="260" t="s">
        <v>1107</v>
      </c>
      <c r="C60" s="261"/>
      <c r="D60" s="181">
        <f>'Capacity (local prices)'!E111</f>
        <v>0</v>
      </c>
      <c r="E60" s="181">
        <f>'Capacity (local prices)'!F129</f>
        <v>0</v>
      </c>
      <c r="F60" s="181">
        <f>'Capacity (local prices)'!G129</f>
        <v>0</v>
      </c>
      <c r="G60" s="181">
        <f>'Capacity (local prices)'!H129</f>
        <v>0</v>
      </c>
      <c r="H60" s="181">
        <f>'Capacity (local prices)'!I129</f>
        <v>0</v>
      </c>
      <c r="I60" s="133"/>
      <c r="J60" s="133"/>
    </row>
    <row r="61" spans="2:10" x14ac:dyDescent="0.3">
      <c r="B61" s="260" t="s">
        <v>1108</v>
      </c>
      <c r="C61" s="261"/>
      <c r="D61" s="181">
        <f>'Capacity (local prices)'!E128</f>
        <v>0</v>
      </c>
      <c r="E61" s="181">
        <f>'Capacity (local prices)'!F128</f>
        <v>0</v>
      </c>
      <c r="F61" s="181">
        <f>'Capacity (local prices)'!G128</f>
        <v>0</v>
      </c>
      <c r="G61" s="181">
        <f>'Capacity (local prices)'!H128</f>
        <v>0</v>
      </c>
      <c r="H61" s="181">
        <f>'Capacity (local prices)'!I128</f>
        <v>0</v>
      </c>
      <c r="I61" s="133"/>
      <c r="J61" s="133"/>
    </row>
    <row r="62" spans="2:10" x14ac:dyDescent="0.3">
      <c r="I62" s="133"/>
      <c r="J62" s="133"/>
    </row>
    <row r="63" spans="2:10" x14ac:dyDescent="0.3">
      <c r="B63" s="258" t="s">
        <v>822</v>
      </c>
      <c r="C63" s="259"/>
      <c r="D63" s="253"/>
      <c r="E63" s="253"/>
      <c r="F63" s="253"/>
      <c r="G63" s="253"/>
      <c r="H63" s="254"/>
      <c r="I63" s="133"/>
      <c r="J63" s="133"/>
    </row>
    <row r="64" spans="2:10" x14ac:dyDescent="0.3">
      <c r="B64" s="329" t="s">
        <v>910</v>
      </c>
      <c r="C64" s="266"/>
      <c r="D64" s="366">
        <f>'Capacity (local prices)'!E145</f>
        <v>-10.502196540679009</v>
      </c>
      <c r="E64" s="366">
        <f>'Capacity (local prices)'!F145</f>
        <v>-21.210935047069988</v>
      </c>
      <c r="F64" s="366">
        <f>'Capacity (local prices)'!G145</f>
        <v>-20.998341215774921</v>
      </c>
      <c r="G64" s="366">
        <f>'Capacity (local prices)'!H145</f>
        <v>-20.783697595690487</v>
      </c>
      <c r="H64" s="366">
        <f>'Capacity (local prices)'!I145</f>
        <v>-20.56698442314784</v>
      </c>
      <c r="I64" s="133"/>
      <c r="J64" s="133"/>
    </row>
    <row r="65" spans="2:10" x14ac:dyDescent="0.3">
      <c r="I65" s="133"/>
      <c r="J65" s="133"/>
    </row>
    <row r="66" spans="2:10" x14ac:dyDescent="0.3">
      <c r="B66" s="258" t="s">
        <v>823</v>
      </c>
      <c r="C66" s="259"/>
      <c r="D66" s="253"/>
      <c r="E66" s="253"/>
      <c r="F66" s="253"/>
      <c r="G66" s="253"/>
      <c r="H66" s="254"/>
      <c r="I66" s="133"/>
      <c r="J66" s="133"/>
    </row>
    <row r="67" spans="2:10" x14ac:dyDescent="0.3">
      <c r="B67" s="329" t="s">
        <v>824</v>
      </c>
      <c r="C67" s="266"/>
      <c r="D67" s="366">
        <f>'Capacity (local prices)'!E162</f>
        <v>-1297.8030873648743</v>
      </c>
      <c r="E67" s="366">
        <f>'Capacity (local prices)'!F162</f>
        <v>-1297.8030873648743</v>
      </c>
      <c r="F67" s="366">
        <f>'Capacity (local prices)'!G162</f>
        <v>-1297.8030873648743</v>
      </c>
      <c r="G67" s="366">
        <f>'Capacity (local prices)'!H162</f>
        <v>-1297.8030873648743</v>
      </c>
      <c r="H67" s="366">
        <f>'Capacity (local prices)'!I162</f>
        <v>-1297.8030873648743</v>
      </c>
      <c r="I67" s="133"/>
      <c r="J67" s="133"/>
    </row>
    <row r="68" spans="2:10" x14ac:dyDescent="0.3">
      <c r="I68" s="133"/>
      <c r="J68" s="133"/>
    </row>
    <row r="69" spans="2:10" x14ac:dyDescent="0.3">
      <c r="B69" s="258" t="s">
        <v>825</v>
      </c>
      <c r="C69" s="259"/>
      <c r="D69" s="253"/>
      <c r="E69" s="253"/>
      <c r="F69" s="253"/>
      <c r="G69" s="253"/>
      <c r="H69" s="254"/>
      <c r="I69" s="133"/>
      <c r="J69" s="133"/>
    </row>
    <row r="70" spans="2:10" x14ac:dyDescent="0.3">
      <c r="B70" s="260" t="s">
        <v>1110</v>
      </c>
      <c r="C70" s="261"/>
      <c r="D70" s="366">
        <f>'Capacity (local prices)'!E179</f>
        <v>0</v>
      </c>
      <c r="E70" s="366">
        <f>'Capacity (local prices)'!F179</f>
        <v>0</v>
      </c>
      <c r="F70" s="366">
        <f>'Capacity (local prices)'!G179</f>
        <v>0</v>
      </c>
      <c r="G70" s="366">
        <f>'Capacity (local prices)'!H179</f>
        <v>0</v>
      </c>
      <c r="H70" s="366">
        <f>'Capacity (local prices)'!I179</f>
        <v>0</v>
      </c>
      <c r="I70" s="133"/>
      <c r="J70" s="133"/>
    </row>
    <row r="71" spans="2:10" x14ac:dyDescent="0.3">
      <c r="B71" s="260" t="s">
        <v>1111</v>
      </c>
      <c r="C71" s="261"/>
      <c r="D71" s="366">
        <f>'Capacity (local prices)'!E196</f>
        <v>-144.93031226137026</v>
      </c>
      <c r="E71" s="366">
        <f>'Capacity (local prices)'!F196</f>
        <v>-292.71090364956586</v>
      </c>
      <c r="F71" s="366">
        <f>'Capacity (local prices)'!G196</f>
        <v>-289.77710877769391</v>
      </c>
      <c r="G71" s="366">
        <f>'Capacity (local prices)'!H196</f>
        <v>-286.81502682052871</v>
      </c>
      <c r="H71" s="366">
        <f>'Capacity (local prices)'!I196</f>
        <v>-283.82438503944019</v>
      </c>
      <c r="I71" s="133"/>
      <c r="J71" s="133"/>
    </row>
    <row r="72" spans="2:10" x14ac:dyDescent="0.3">
      <c r="B72" s="260" t="s">
        <v>1083</v>
      </c>
      <c r="C72" s="261"/>
      <c r="D72" s="366">
        <f>'Capacity (local prices)'!E213</f>
        <v>0</v>
      </c>
      <c r="E72" s="366">
        <f>'Capacity (local prices)'!F213</f>
        <v>0</v>
      </c>
      <c r="F72" s="366">
        <f>'Capacity (local prices)'!G213</f>
        <v>0</v>
      </c>
      <c r="G72" s="366">
        <f>'Capacity (local prices)'!H213</f>
        <v>0</v>
      </c>
      <c r="H72" s="366">
        <f>'Capacity (local prices)'!I213</f>
        <v>0</v>
      </c>
      <c r="I72" s="133"/>
      <c r="J72" s="133"/>
    </row>
    <row r="73" spans="2:10" x14ac:dyDescent="0.3">
      <c r="B73" s="260" t="s">
        <v>1112</v>
      </c>
      <c r="C73" s="261"/>
      <c r="D73" s="366">
        <f>'Capacity (local prices)'!E230</f>
        <v>0</v>
      </c>
      <c r="E73" s="366">
        <f>'Capacity (local prices)'!F230</f>
        <v>0</v>
      </c>
      <c r="F73" s="366">
        <f>'Capacity (local prices)'!G230</f>
        <v>0</v>
      </c>
      <c r="G73" s="366">
        <f>'Capacity (local prices)'!H230</f>
        <v>0</v>
      </c>
      <c r="H73" s="366">
        <f>'Capacity (local prices)'!I230</f>
        <v>0</v>
      </c>
      <c r="I73" s="133"/>
      <c r="J73" s="133"/>
    </row>
    <row r="74" spans="2:10" x14ac:dyDescent="0.3">
      <c r="B74" s="872"/>
      <c r="C74" s="872"/>
      <c r="D74" s="873"/>
      <c r="E74" s="873"/>
      <c r="F74" s="873"/>
      <c r="G74" s="873"/>
      <c r="H74" s="873"/>
      <c r="I74" s="133"/>
      <c r="J74" s="133"/>
    </row>
    <row r="75" spans="2:10" x14ac:dyDescent="0.3">
      <c r="B75" s="258" t="s">
        <v>1128</v>
      </c>
      <c r="C75" s="259"/>
      <c r="D75" s="253"/>
      <c r="E75" s="253"/>
      <c r="F75" s="253"/>
      <c r="G75" s="253"/>
      <c r="H75" s="254"/>
      <c r="I75" s="133"/>
      <c r="J75" s="133"/>
    </row>
    <row r="76" spans="2:10" x14ac:dyDescent="0.3">
      <c r="B76" s="260" t="s">
        <v>1114</v>
      </c>
      <c r="C76" s="261"/>
      <c r="D76" s="366">
        <f>'Capacity (local prices)'!E247</f>
        <v>0</v>
      </c>
      <c r="E76" s="366">
        <f>'Capacity (local prices)'!F247</f>
        <v>0</v>
      </c>
      <c r="F76" s="366">
        <f>'Capacity (local prices)'!G247</f>
        <v>0</v>
      </c>
      <c r="G76" s="366">
        <f>'Capacity (local prices)'!H247</f>
        <v>0</v>
      </c>
      <c r="H76" s="366">
        <f>'Capacity (local prices)'!I247</f>
        <v>0</v>
      </c>
      <c r="I76" s="133"/>
      <c r="J76" s="133"/>
    </row>
    <row r="77" spans="2:10" x14ac:dyDescent="0.3">
      <c r="B77" s="260" t="s">
        <v>1086</v>
      </c>
      <c r="C77" s="261"/>
      <c r="D77" s="366">
        <f>'Capacity (local prices)'!E264</f>
        <v>0</v>
      </c>
      <c r="E77" s="366">
        <f>'Capacity (local prices)'!F264</f>
        <v>0</v>
      </c>
      <c r="F77" s="366">
        <f>'Capacity (local prices)'!G264</f>
        <v>0</v>
      </c>
      <c r="G77" s="366">
        <f>'Capacity (local prices)'!H264</f>
        <v>0</v>
      </c>
      <c r="H77" s="366">
        <f>'Capacity (local prices)'!I264</f>
        <v>0</v>
      </c>
      <c r="I77" s="133"/>
      <c r="J77" s="133"/>
    </row>
    <row r="78" spans="2:10" x14ac:dyDescent="0.3">
      <c r="I78" s="133"/>
      <c r="J78" s="133"/>
    </row>
    <row r="79" spans="2:10" x14ac:dyDescent="0.3">
      <c r="B79" s="258" t="s">
        <v>826</v>
      </c>
      <c r="C79" s="257"/>
      <c r="D79" s="253"/>
      <c r="E79" s="253"/>
      <c r="F79" s="253"/>
      <c r="G79" s="253"/>
      <c r="H79" s="254"/>
      <c r="I79" s="133"/>
      <c r="J79" s="133"/>
    </row>
    <row r="80" spans="2:10" x14ac:dyDescent="0.3">
      <c r="B80" s="260" t="s">
        <v>827</v>
      </c>
      <c r="C80" s="261"/>
      <c r="D80" s="366">
        <f>'Capacity (local prices)'!E296</f>
        <v>-129.74501617492569</v>
      </c>
      <c r="E80" s="181">
        <f>'Capacity (local prices)'!F296</f>
        <v>-133.02868400409398</v>
      </c>
      <c r="F80" s="181">
        <f>'Capacity (local prices)'!G296</f>
        <v>-249.35653951188056</v>
      </c>
      <c r="G80" s="181">
        <f>'Capacity (local prices)'!H296</f>
        <v>-236.45022033095711</v>
      </c>
      <c r="H80" s="181">
        <f>'Capacity (local prices)'!I296</f>
        <v>-223.41946090542388</v>
      </c>
      <c r="I80" s="133"/>
      <c r="J80" s="133"/>
    </row>
    <row r="81" spans="2:14" x14ac:dyDescent="0.3">
      <c r="B81" s="265"/>
      <c r="C81" s="265"/>
      <c r="D81" s="252"/>
      <c r="E81" s="252"/>
      <c r="F81" s="252"/>
      <c r="G81" s="252"/>
      <c r="H81" s="252"/>
      <c r="I81" s="133"/>
      <c r="J81" s="133"/>
    </row>
    <row r="83" spans="2:14" x14ac:dyDescent="0.3">
      <c r="D83" s="932"/>
      <c r="E83" s="933"/>
      <c r="F83" s="933"/>
      <c r="G83" s="933"/>
      <c r="H83" s="933"/>
      <c r="I83" s="933"/>
      <c r="J83" s="933"/>
      <c r="K83" s="933"/>
      <c r="L83" s="933"/>
      <c r="M83" s="933"/>
      <c r="N83" s="933"/>
    </row>
    <row r="84" spans="2:14" x14ac:dyDescent="0.3">
      <c r="D84" s="933"/>
      <c r="E84" s="933"/>
      <c r="F84" s="933"/>
      <c r="G84" s="933"/>
      <c r="H84" s="933"/>
      <c r="I84" s="933"/>
      <c r="J84" s="933"/>
      <c r="K84" s="933"/>
      <c r="L84" s="933"/>
      <c r="M84" s="933"/>
      <c r="N84" s="933"/>
    </row>
    <row r="85" spans="2:14" x14ac:dyDescent="0.3">
      <c r="D85" s="932"/>
      <c r="E85" s="933"/>
      <c r="F85" s="933"/>
      <c r="G85" s="933"/>
      <c r="H85" s="933"/>
      <c r="I85" s="933"/>
      <c r="J85" s="933"/>
      <c r="K85" s="933"/>
      <c r="L85" s="933"/>
      <c r="M85" s="933"/>
      <c r="N85" s="933"/>
    </row>
  </sheetData>
  <sheetProtection algorithmName="SHA-512" hashValue="gf8t+3q7IRx7mO1AePrl1QY7dkB0DTTFooKg48Ln0HfUnIQNhO/HBgKdvBc5vUHpK2MjtIyuZmSUKUNUre/A1g==" saltValue="C+eSrLo55tX/JWV/OiXXPQ==" spinCount="100000" sheet="1" objects="1" scenarios="1"/>
  <mergeCells count="2">
    <mergeCell ref="D83:N84"/>
    <mergeCell ref="D85:N85"/>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AH50"/>
  <sheetViews>
    <sheetView showGridLines="0" zoomScale="80" zoomScaleNormal="80" zoomScaleSheetLayoutView="80" workbookViewId="0"/>
  </sheetViews>
  <sheetFormatPr defaultColWidth="8.77734375" defaultRowHeight="14.4" x14ac:dyDescent="0.3"/>
  <cols>
    <col min="1" max="1" width="3.5546875" customWidth="1"/>
    <col min="2" max="2" width="79.21875" style="1" customWidth="1"/>
    <col min="3" max="3" width="17.21875" customWidth="1"/>
    <col min="4" max="8" width="11.5546875" customWidth="1"/>
    <col min="9" max="9" width="10.33203125" customWidth="1"/>
    <col min="10" max="12" width="11.33203125" bestFit="1" customWidth="1"/>
    <col min="13" max="13" width="58.77734375" customWidth="1"/>
    <col min="14" max="14" width="1.5546875" customWidth="1"/>
    <col min="15" max="20" width="10.77734375" customWidth="1"/>
    <col min="22" max="35" width="8.77734375" customWidth="1"/>
  </cols>
  <sheetData>
    <row r="1" spans="2:34" ht="30" customHeight="1" x14ac:dyDescent="0.3">
      <c r="B1" s="528" t="str">
        <f>'Inputs and eligible population'!B1</f>
        <v>Quizartinib for induction, consolidation and maintenance treatment of newly diagnosed FLT3‑ITD‑positive acute myeloid leukaemia</v>
      </c>
      <c r="C1" s="127"/>
      <c r="D1" s="127"/>
      <c r="E1" s="127"/>
      <c r="F1" s="127"/>
      <c r="G1" s="127"/>
      <c r="H1" s="127"/>
      <c r="I1" s="127"/>
      <c r="J1" s="127"/>
      <c r="K1" s="127"/>
      <c r="L1" s="127"/>
      <c r="M1" s="127"/>
      <c r="N1" s="127"/>
      <c r="O1" s="127"/>
      <c r="P1" s="127"/>
      <c r="Q1" s="127"/>
      <c r="R1" s="127"/>
      <c r="S1" s="127"/>
      <c r="T1" s="127"/>
    </row>
    <row r="2" spans="2:34" ht="38.1" customHeight="1" x14ac:dyDescent="0.3">
      <c r="B2" s="364" t="s">
        <v>828</v>
      </c>
      <c r="C2" s="127" t="s">
        <v>742</v>
      </c>
      <c r="D2" s="127" t="s">
        <v>742</v>
      </c>
      <c r="E2" s="127" t="s">
        <v>742</v>
      </c>
      <c r="F2" s="127" t="s">
        <v>742</v>
      </c>
      <c r="G2" s="127" t="s">
        <v>742</v>
      </c>
      <c r="H2" s="127"/>
      <c r="I2" s="127" t="s">
        <v>742</v>
      </c>
      <c r="J2" s="127" t="s">
        <v>742</v>
      </c>
      <c r="K2" s="133"/>
      <c r="L2" s="127"/>
      <c r="M2" s="127"/>
      <c r="N2" s="127"/>
      <c r="O2" s="127"/>
      <c r="P2" s="127"/>
      <c r="Q2" s="127"/>
      <c r="R2" s="127"/>
      <c r="S2" s="127"/>
      <c r="T2" s="127"/>
    </row>
    <row r="3" spans="2:34" x14ac:dyDescent="0.3">
      <c r="B3" s="130" t="s">
        <v>742</v>
      </c>
      <c r="C3" s="133" t="s">
        <v>742</v>
      </c>
      <c r="D3" s="133" t="s">
        <v>742</v>
      </c>
      <c r="E3" s="133" t="s">
        <v>742</v>
      </c>
      <c r="F3" s="133" t="s">
        <v>742</v>
      </c>
      <c r="G3" s="133" t="s">
        <v>742</v>
      </c>
      <c r="H3" s="133" t="s">
        <v>742</v>
      </c>
      <c r="I3" s="133" t="s">
        <v>742</v>
      </c>
      <c r="J3" s="133" t="s">
        <v>742</v>
      </c>
      <c r="K3" s="133"/>
      <c r="L3" s="133"/>
      <c r="M3" s="133"/>
      <c r="N3" s="133"/>
      <c r="O3" s="133"/>
      <c r="P3" s="133"/>
      <c r="Q3" s="133"/>
      <c r="R3" s="133"/>
      <c r="S3" s="133"/>
      <c r="T3" s="133"/>
    </row>
    <row r="4" spans="2:34" s="241" customFormat="1" x14ac:dyDescent="0.3">
      <c r="B4" s="246" t="s">
        <v>829</v>
      </c>
      <c r="F4" s="133"/>
      <c r="G4" s="133"/>
      <c r="H4" s="133"/>
      <c r="I4" s="133"/>
      <c r="J4" s="133" t="s">
        <v>742</v>
      </c>
      <c r="K4" s="133"/>
      <c r="L4" s="133"/>
      <c r="M4" s="133"/>
      <c r="N4" s="133"/>
      <c r="O4" s="133"/>
      <c r="P4" s="133"/>
      <c r="Q4" s="133"/>
      <c r="R4" s="133"/>
      <c r="S4" s="133"/>
      <c r="T4" s="133"/>
    </row>
    <row r="5" spans="2:34" s="241" customFormat="1" x14ac:dyDescent="0.3">
      <c r="B5" s="246" t="s">
        <v>830</v>
      </c>
      <c r="F5" s="133"/>
      <c r="G5" s="133"/>
      <c r="H5" s="133"/>
      <c r="I5" s="133"/>
      <c r="J5" s="133"/>
      <c r="K5" s="133"/>
      <c r="L5" s="133"/>
      <c r="M5" s="133"/>
      <c r="N5" s="133"/>
      <c r="O5" s="133"/>
      <c r="P5" s="133"/>
      <c r="Q5" s="133"/>
      <c r="R5" s="133"/>
      <c r="S5" s="133"/>
      <c r="T5" s="133"/>
    </row>
    <row r="6" spans="2:34" s="241" customFormat="1" x14ac:dyDescent="0.3">
      <c r="B6" s="246"/>
      <c r="C6" s="133" t="s">
        <v>742</v>
      </c>
      <c r="D6" s="133" t="s">
        <v>742</v>
      </c>
      <c r="E6" s="133"/>
      <c r="F6" s="133"/>
      <c r="G6" s="133"/>
      <c r="H6" s="133"/>
      <c r="I6" s="133" t="s">
        <v>742</v>
      </c>
      <c r="J6" s="133" t="s">
        <v>742</v>
      </c>
      <c r="K6" s="133"/>
      <c r="L6" s="133"/>
      <c r="M6" s="133"/>
      <c r="N6" s="133"/>
      <c r="O6" s="133"/>
      <c r="P6" s="133"/>
      <c r="Q6" s="133"/>
      <c r="R6" s="133"/>
      <c r="S6" s="133"/>
      <c r="T6" s="133"/>
    </row>
    <row r="7" spans="2:34" s="241" customFormat="1" ht="43.2" x14ac:dyDescent="0.3">
      <c r="B7" s="256" t="s">
        <v>806</v>
      </c>
      <c r="C7" s="267"/>
      <c r="D7" s="402" t="s">
        <v>831</v>
      </c>
      <c r="E7" s="268" t="s">
        <v>676</v>
      </c>
      <c r="F7" s="268" t="s">
        <v>677</v>
      </c>
      <c r="G7" s="269" t="s">
        <v>803</v>
      </c>
      <c r="H7" s="269" t="s">
        <v>804</v>
      </c>
      <c r="I7" s="268" t="s">
        <v>805</v>
      </c>
      <c r="K7" s="133"/>
      <c r="L7" s="133"/>
      <c r="N7" s="133"/>
      <c r="O7" s="133"/>
      <c r="P7" s="133"/>
      <c r="Q7" s="133"/>
      <c r="R7" s="133"/>
      <c r="S7" s="133"/>
      <c r="T7" s="133"/>
    </row>
    <row r="8" spans="2:34" s="148" customFormat="1" x14ac:dyDescent="0.3">
      <c r="B8" s="790" t="s">
        <v>806</v>
      </c>
      <c r="C8" s="791"/>
      <c r="D8" s="181">
        <f>'Inputs and eligible population'!F43</f>
        <v>402.09390452460838</v>
      </c>
      <c r="E8" s="181">
        <f>'Inputs and eligible population'!G43</f>
        <v>405.97081653445406</v>
      </c>
      <c r="F8" s="181">
        <f>'Inputs and eligible population'!H43</f>
        <v>409.88510898345328</v>
      </c>
      <c r="G8" s="181">
        <f>'Inputs and eligible population'!I43</f>
        <v>413.83714228660324</v>
      </c>
      <c r="H8" s="181">
        <f>'Inputs and eligible population'!J43</f>
        <v>417.82728033395318</v>
      </c>
      <c r="I8" s="181">
        <f>'Inputs and eligible population'!K43</f>
        <v>421.85589052411018</v>
      </c>
      <c r="K8" s="133"/>
      <c r="L8" s="133"/>
    </row>
    <row r="9" spans="2:34" s="148" customFormat="1" x14ac:dyDescent="0.3">
      <c r="B9" s="224" t="s">
        <v>1033</v>
      </c>
      <c r="C9" s="182"/>
      <c r="D9" s="366">
        <f>'Inputs and eligible population'!F44</f>
        <v>150.03503900171955</v>
      </c>
      <c r="E9" s="366">
        <f>'Inputs and eligible population'!G44</f>
        <v>151.48164796061718</v>
      </c>
      <c r="F9" s="366">
        <f>'Inputs and eligible population'!H44</f>
        <v>152.94220484457213</v>
      </c>
      <c r="G9" s="366">
        <f>'Inputs and eligible population'!I44</f>
        <v>154.41684413679226</v>
      </c>
      <c r="H9" s="366">
        <f>'Inputs and eligible population'!J44</f>
        <v>155.90570161714672</v>
      </c>
      <c r="I9" s="366">
        <f>'Inputs and eligible population'!K44</f>
        <v>157.40891437466797</v>
      </c>
      <c r="K9" s="133"/>
      <c r="L9" s="133"/>
    </row>
    <row r="10" spans="2:34" s="241" customFormat="1" x14ac:dyDescent="0.3">
      <c r="B10" s="243" t="s">
        <v>742</v>
      </c>
      <c r="C10" s="133" t="s">
        <v>742</v>
      </c>
      <c r="D10" s="133" t="s">
        <v>742</v>
      </c>
      <c r="E10" s="133" t="s">
        <v>742</v>
      </c>
      <c r="F10" s="133" t="s">
        <v>742</v>
      </c>
      <c r="G10" s="133" t="s">
        <v>742</v>
      </c>
      <c r="H10" s="133"/>
      <c r="I10" s="133"/>
      <c r="K10" s="133"/>
      <c r="L10" s="133"/>
      <c r="N10" s="133"/>
      <c r="O10" s="133"/>
      <c r="P10" s="133"/>
      <c r="Q10" s="133"/>
      <c r="R10" s="133"/>
      <c r="S10" s="133"/>
      <c r="T10" s="133"/>
      <c r="AD10" s="270"/>
      <c r="AE10" s="270"/>
      <c r="AF10" s="270"/>
      <c r="AG10" s="270"/>
      <c r="AH10" s="270"/>
    </row>
    <row r="11" spans="2:34" s="241" customFormat="1" x14ac:dyDescent="0.3">
      <c r="B11" s="325" t="s">
        <v>808</v>
      </c>
      <c r="C11" s="326"/>
      <c r="D11" s="327"/>
      <c r="E11" s="327"/>
      <c r="F11" s="327"/>
      <c r="G11" s="327"/>
      <c r="H11" s="327"/>
      <c r="I11" s="328"/>
      <c r="K11" s="133"/>
      <c r="L11" s="133"/>
      <c r="N11" s="133"/>
      <c r="O11" s="133"/>
      <c r="P11" s="133"/>
      <c r="Q11" s="133"/>
      <c r="R11" s="133"/>
      <c r="S11" s="133"/>
      <c r="T11" s="133"/>
    </row>
    <row r="12" spans="2:34" s="241" customFormat="1" x14ac:dyDescent="0.3">
      <c r="B12" s="243"/>
      <c r="C12" s="133"/>
      <c r="D12" s="133"/>
      <c r="E12" s="133"/>
      <c r="F12" s="133"/>
      <c r="G12" s="133"/>
      <c r="H12" s="133"/>
      <c r="I12" s="133"/>
      <c r="N12" s="133"/>
      <c r="O12" s="133"/>
      <c r="P12" s="133"/>
      <c r="Q12" s="133"/>
      <c r="R12" s="133"/>
      <c r="S12" s="133"/>
      <c r="T12" s="133"/>
      <c r="AD12" s="270"/>
      <c r="AE12" s="270"/>
      <c r="AF12" s="270"/>
      <c r="AG12" s="270"/>
      <c r="AH12" s="270"/>
    </row>
    <row r="13" spans="2:34" s="241" customFormat="1" x14ac:dyDescent="0.3">
      <c r="B13" s="794" t="s">
        <v>1134</v>
      </c>
      <c r="C13" s="789"/>
      <c r="D13" s="183"/>
      <c r="E13" s="183"/>
      <c r="F13" s="183"/>
      <c r="G13" s="183"/>
      <c r="H13" s="183"/>
      <c r="I13" s="184"/>
      <c r="N13" s="133"/>
      <c r="O13" s="133"/>
      <c r="P13" s="133"/>
      <c r="Q13" s="133"/>
      <c r="R13" s="133"/>
      <c r="S13" s="133"/>
      <c r="T13" s="133"/>
    </row>
    <row r="14" spans="2:34" s="241" customFormat="1" x14ac:dyDescent="0.3">
      <c r="B14" s="795" t="s">
        <v>962</v>
      </c>
      <c r="C14" s="335"/>
      <c r="D14" s="792">
        <f>'Inputs and eligible population'!L72</f>
        <v>0</v>
      </c>
      <c r="E14" s="272">
        <f>'Inputs and eligible population'!M72</f>
        <v>60.895622480168107</v>
      </c>
      <c r="F14" s="272">
        <f>'Inputs and eligible population'!N72</f>
        <v>102.47127724586332</v>
      </c>
      <c r="G14" s="272">
        <f>'Inputs and eligible population'!O72</f>
        <v>124.15114268598097</v>
      </c>
      <c r="H14" s="272">
        <f>'Inputs and eligible population'!P72</f>
        <v>125.34818410018595</v>
      </c>
      <c r="I14" s="272">
        <f>'Inputs and eligible population'!Q72</f>
        <v>126.55676715723305</v>
      </c>
      <c r="N14" s="133"/>
      <c r="O14" s="133"/>
      <c r="P14" s="133"/>
      <c r="Q14" s="133"/>
      <c r="R14" s="133"/>
      <c r="S14" s="133"/>
      <c r="T14" s="133"/>
      <c r="V14" s="270"/>
      <c r="W14" s="270"/>
      <c r="X14" s="270"/>
      <c r="Y14" s="270"/>
      <c r="Z14" s="270"/>
      <c r="AA14" s="270"/>
      <c r="AC14" s="270"/>
      <c r="AD14" s="270"/>
      <c r="AE14" s="270"/>
      <c r="AF14" s="270"/>
      <c r="AG14" s="270"/>
      <c r="AH14" s="270"/>
    </row>
    <row r="15" spans="2:34" s="241" customFormat="1" x14ac:dyDescent="0.3">
      <c r="B15" s="334" t="s">
        <v>963</v>
      </c>
      <c r="C15" s="335"/>
      <c r="D15" s="272">
        <f>'Inputs and eligible population'!L73</f>
        <v>402.09390452460838</v>
      </c>
      <c r="E15" s="272">
        <f>'Inputs and eligible population'!M73</f>
        <v>345.07519405428593</v>
      </c>
      <c r="F15" s="272">
        <f>'Inputs and eligible population'!N73</f>
        <v>307.41383173758993</v>
      </c>
      <c r="G15" s="272">
        <f>'Inputs and eligible population'!O73</f>
        <v>289.68599960062227</v>
      </c>
      <c r="H15" s="272">
        <f>'Inputs and eligible population'!P73</f>
        <v>292.47909623376722</v>
      </c>
      <c r="I15" s="272">
        <f>'Inputs and eligible population'!Q73</f>
        <v>295.2991233668771</v>
      </c>
      <c r="N15" s="133"/>
      <c r="O15" s="133"/>
      <c r="P15" s="133"/>
      <c r="Q15" s="133"/>
      <c r="R15" s="133"/>
      <c r="S15" s="133"/>
      <c r="T15" s="133"/>
      <c r="V15" s="270"/>
      <c r="W15" s="270"/>
      <c r="X15" s="270"/>
      <c r="Y15" s="270"/>
      <c r="Z15" s="270"/>
      <c r="AA15" s="270"/>
      <c r="AC15" s="270"/>
      <c r="AD15" s="270"/>
      <c r="AE15" s="270"/>
      <c r="AF15" s="270"/>
      <c r="AG15" s="270"/>
      <c r="AH15" s="270"/>
    </row>
    <row r="16" spans="2:34" s="241" customFormat="1" x14ac:dyDescent="0.3">
      <c r="B16" s="793"/>
      <c r="C16" s="185"/>
      <c r="D16" s="186">
        <f t="shared" ref="D16:I16" si="0">SUM(D14:D15)</f>
        <v>402.09390452460838</v>
      </c>
      <c r="E16" s="186">
        <f t="shared" si="0"/>
        <v>405.97081653445406</v>
      </c>
      <c r="F16" s="186">
        <f t="shared" si="0"/>
        <v>409.88510898345328</v>
      </c>
      <c r="G16" s="186">
        <f t="shared" si="0"/>
        <v>413.83714228660324</v>
      </c>
      <c r="H16" s="186">
        <f t="shared" si="0"/>
        <v>417.82728033395318</v>
      </c>
      <c r="I16" s="186">
        <f t="shared" si="0"/>
        <v>421.85589052411012</v>
      </c>
      <c r="N16" s="133"/>
      <c r="O16" s="133"/>
      <c r="P16" s="133"/>
      <c r="Q16" s="133"/>
      <c r="R16" s="133"/>
      <c r="S16" s="133"/>
      <c r="T16" s="133"/>
      <c r="V16" s="270"/>
      <c r="W16" s="270"/>
      <c r="X16" s="270"/>
      <c r="Y16" s="270"/>
      <c r="Z16" s="270"/>
      <c r="AA16" s="270"/>
      <c r="AC16" s="270"/>
      <c r="AD16" s="270"/>
      <c r="AE16" s="270"/>
      <c r="AF16" s="270"/>
      <c r="AG16" s="270"/>
      <c r="AH16" s="270"/>
    </row>
    <row r="17" spans="1:34" s="880" customFormat="1" x14ac:dyDescent="0.3">
      <c r="B17" s="879"/>
      <c r="C17" s="804"/>
      <c r="D17" s="804"/>
      <c r="E17" s="804"/>
      <c r="F17" s="804"/>
      <c r="G17" s="804"/>
      <c r="H17" s="804"/>
      <c r="I17" s="804"/>
      <c r="N17" s="804"/>
      <c r="O17" s="804"/>
      <c r="P17" s="804"/>
      <c r="Q17" s="804"/>
      <c r="R17" s="804"/>
      <c r="S17" s="804"/>
      <c r="T17" s="804"/>
      <c r="AD17" s="881"/>
      <c r="AE17" s="881"/>
      <c r="AF17" s="881"/>
      <c r="AG17" s="881"/>
      <c r="AH17" s="881"/>
    </row>
    <row r="18" spans="1:34" s="241" customFormat="1" x14ac:dyDescent="0.3">
      <c r="B18" s="276" t="s">
        <v>1135</v>
      </c>
      <c r="C18" s="271"/>
      <c r="D18" s="183"/>
      <c r="E18" s="183"/>
      <c r="F18" s="183"/>
      <c r="G18" s="183"/>
      <c r="H18" s="183"/>
      <c r="I18" s="184"/>
      <c r="N18" s="133"/>
      <c r="O18" s="133"/>
      <c r="P18" s="133"/>
      <c r="Q18" s="133"/>
      <c r="R18" s="133"/>
      <c r="S18" s="133"/>
      <c r="T18" s="133"/>
    </row>
    <row r="19" spans="1:34" s="241" customFormat="1" x14ac:dyDescent="0.3">
      <c r="B19" s="334" t="s">
        <v>1005</v>
      </c>
      <c r="C19" s="335"/>
      <c r="D19" s="272">
        <f>'Inputs and eligible population'!L78</f>
        <v>0</v>
      </c>
      <c r="E19" s="272">
        <f>'Inputs and eligible population'!M78</f>
        <v>37.870411990154295</v>
      </c>
      <c r="F19" s="272">
        <f>'Inputs and eligible population'!N78</f>
        <v>76.471102422286066</v>
      </c>
      <c r="G19" s="272">
        <f>'Inputs and eligible population'!O78</f>
        <v>77.208422068396132</v>
      </c>
      <c r="H19" s="272">
        <f>'Inputs and eligible population'!P78</f>
        <v>77.952850808573359</v>
      </c>
      <c r="I19" s="272">
        <f>'Inputs and eligible population'!Q78</f>
        <v>78.704457187333986</v>
      </c>
      <c r="N19" s="133"/>
      <c r="O19" s="133"/>
      <c r="P19" s="133"/>
      <c r="Q19" s="133"/>
      <c r="R19" s="133"/>
      <c r="S19" s="133"/>
      <c r="T19" s="133"/>
      <c r="V19" s="270"/>
      <c r="W19" s="270"/>
      <c r="X19" s="270"/>
      <c r="Y19" s="270"/>
      <c r="Z19" s="270"/>
      <c r="AA19" s="270"/>
      <c r="AC19" s="270"/>
      <c r="AD19" s="270"/>
      <c r="AE19" s="270"/>
      <c r="AF19" s="270"/>
      <c r="AG19" s="270"/>
      <c r="AH19" s="270"/>
    </row>
    <row r="20" spans="1:34" s="241" customFormat="1" x14ac:dyDescent="0.3">
      <c r="B20" s="334" t="s">
        <v>1006</v>
      </c>
      <c r="C20" s="335"/>
      <c r="D20" s="272">
        <f>'Inputs and eligible population'!L79</f>
        <v>150.03503900171955</v>
      </c>
      <c r="E20" s="272">
        <f>'Inputs and eligible population'!M79</f>
        <v>113.61123597046289</v>
      </c>
      <c r="F20" s="272">
        <f>'Inputs and eligible population'!N79</f>
        <v>76.471102422286066</v>
      </c>
      <c r="G20" s="272">
        <f>'Inputs and eligible population'!O79</f>
        <v>77.208422068396132</v>
      </c>
      <c r="H20" s="272">
        <f>'Inputs and eligible population'!P79</f>
        <v>77.952850808573359</v>
      </c>
      <c r="I20" s="272">
        <f>'Inputs and eligible population'!Q79</f>
        <v>78.704457187333986</v>
      </c>
      <c r="N20" s="133"/>
      <c r="O20" s="133"/>
      <c r="P20" s="133"/>
      <c r="Q20" s="133"/>
      <c r="R20" s="133"/>
      <c r="S20" s="133"/>
      <c r="T20" s="133"/>
      <c r="V20" s="270"/>
      <c r="W20" s="270"/>
      <c r="X20" s="270"/>
      <c r="Y20" s="270"/>
      <c r="Z20" s="270"/>
      <c r="AA20" s="270"/>
      <c r="AC20" s="270"/>
      <c r="AD20" s="270"/>
      <c r="AE20" s="270"/>
      <c r="AF20" s="270"/>
      <c r="AG20" s="270"/>
      <c r="AH20" s="270"/>
    </row>
    <row r="21" spans="1:34" s="241" customFormat="1" x14ac:dyDescent="0.3">
      <c r="B21" s="793"/>
      <c r="C21" s="185"/>
      <c r="D21" s="186">
        <f t="shared" ref="D21:I21" si="1">SUM(D19:D20)</f>
        <v>150.03503900171955</v>
      </c>
      <c r="E21" s="186">
        <f t="shared" si="1"/>
        <v>151.48164796061718</v>
      </c>
      <c r="F21" s="186">
        <f t="shared" si="1"/>
        <v>152.94220484457213</v>
      </c>
      <c r="G21" s="186">
        <f t="shared" si="1"/>
        <v>154.41684413679226</v>
      </c>
      <c r="H21" s="186">
        <f t="shared" si="1"/>
        <v>155.90570161714672</v>
      </c>
      <c r="I21" s="186">
        <f t="shared" si="1"/>
        <v>157.40891437466797</v>
      </c>
      <c r="N21" s="133"/>
      <c r="O21" s="133"/>
      <c r="P21" s="133"/>
      <c r="Q21" s="133"/>
      <c r="R21" s="133"/>
      <c r="S21" s="133"/>
      <c r="T21" s="133"/>
      <c r="V21" s="270"/>
      <c r="W21" s="270"/>
      <c r="X21" s="270"/>
      <c r="Y21" s="270"/>
      <c r="Z21" s="270"/>
      <c r="AA21" s="270"/>
      <c r="AC21" s="270"/>
      <c r="AD21" s="270"/>
      <c r="AE21" s="270"/>
      <c r="AF21" s="270"/>
      <c r="AG21" s="270"/>
      <c r="AH21" s="270"/>
    </row>
    <row r="22" spans="1:34" s="241" customFormat="1" x14ac:dyDescent="0.3">
      <c r="A22" s="880"/>
      <c r="B22" s="883"/>
      <c r="C22" s="882"/>
      <c r="D22" s="897"/>
      <c r="E22" s="897"/>
      <c r="F22" s="897"/>
      <c r="G22" s="897"/>
      <c r="H22" s="897"/>
      <c r="I22" s="897"/>
      <c r="N22" s="133"/>
      <c r="O22" s="133"/>
      <c r="P22" s="133"/>
      <c r="Q22" s="133"/>
      <c r="R22" s="133"/>
      <c r="S22" s="133"/>
      <c r="T22" s="133"/>
      <c r="V22" s="270"/>
      <c r="W22" s="270"/>
      <c r="X22" s="270"/>
      <c r="Y22" s="270"/>
      <c r="Z22" s="270"/>
      <c r="AA22" s="270"/>
      <c r="AC22" s="270"/>
      <c r="AD22" s="270"/>
      <c r="AE22" s="270"/>
      <c r="AF22" s="270"/>
      <c r="AG22" s="270"/>
      <c r="AH22" s="270"/>
    </row>
    <row r="23" spans="1:34" s="241" customFormat="1" x14ac:dyDescent="0.3">
      <c r="B23" s="276" t="s">
        <v>1158</v>
      </c>
      <c r="C23" s="271"/>
      <c r="D23" s="183"/>
      <c r="E23" s="183"/>
      <c r="F23" s="183"/>
      <c r="G23" s="183"/>
      <c r="H23" s="183"/>
      <c r="I23" s="184"/>
      <c r="N23" s="133"/>
      <c r="O23" s="133"/>
      <c r="P23" s="133"/>
      <c r="Q23" s="133"/>
      <c r="R23" s="133"/>
      <c r="S23" s="133"/>
      <c r="T23" s="133"/>
    </row>
    <row r="24" spans="1:34" s="241" customFormat="1" x14ac:dyDescent="0.3">
      <c r="B24" s="334" t="s">
        <v>1005</v>
      </c>
      <c r="C24" s="335"/>
      <c r="D24" s="272">
        <f>'Inputs and eligible population'!L84</f>
        <v>0</v>
      </c>
      <c r="E24" s="272">
        <f>'Inputs and eligible population'!M84</f>
        <v>76.043787276229835</v>
      </c>
      <c r="F24" s="272">
        <f>'Inputs and eligible population'!N84</f>
        <v>140.70682845700634</v>
      </c>
      <c r="G24" s="272">
        <f>'Inputs and eligible population'!O84</f>
        <v>155.03451151333942</v>
      </c>
      <c r="H24" s="272">
        <f>'Inputs and eligible population'!P84</f>
        <v>156.52932442361529</v>
      </c>
      <c r="I24" s="272">
        <f>'Inputs and eligible population'!Q84</f>
        <v>158.03855003216665</v>
      </c>
      <c r="N24" s="133"/>
      <c r="O24" s="133"/>
      <c r="P24" s="133"/>
      <c r="Q24" s="133"/>
      <c r="R24" s="133"/>
      <c r="S24" s="133"/>
      <c r="T24" s="133"/>
      <c r="V24" s="270"/>
      <c r="W24" s="270"/>
      <c r="X24" s="270"/>
      <c r="Y24" s="270"/>
      <c r="Z24" s="270"/>
      <c r="AA24" s="270"/>
      <c r="AC24" s="270"/>
      <c r="AD24" s="270"/>
      <c r="AE24" s="270"/>
      <c r="AF24" s="270"/>
      <c r="AG24" s="270"/>
      <c r="AH24" s="270"/>
    </row>
    <row r="25" spans="1:34" s="241" customFormat="1" x14ac:dyDescent="0.3">
      <c r="B25" s="334" t="s">
        <v>997</v>
      </c>
      <c r="C25" s="335"/>
      <c r="D25" s="272">
        <f>'Inputs and eligible population'!L85</f>
        <v>252.05886552288882</v>
      </c>
      <c r="E25" s="272">
        <f>'Inputs and eligible population'!M85</f>
        <v>216.31579328776132</v>
      </c>
      <c r="F25" s="272">
        <f>'Inputs and eligible population'!N85</f>
        <v>192.70717810416085</v>
      </c>
      <c r="G25" s="272">
        <f>'Inputs and eligible population'!O85</f>
        <v>181.5942087048677</v>
      </c>
      <c r="H25" s="272">
        <f>'Inputs and eligible population'!P85</f>
        <v>183.34510510176449</v>
      </c>
      <c r="I25" s="272">
        <f>'Inputs and eligible population'!Q85</f>
        <v>185.11288330460951</v>
      </c>
      <c r="N25" s="133"/>
      <c r="O25" s="133"/>
      <c r="P25" s="133"/>
      <c r="Q25" s="133"/>
      <c r="R25" s="133"/>
      <c r="S25" s="133"/>
      <c r="T25" s="133"/>
      <c r="V25" s="270"/>
      <c r="W25" s="270"/>
      <c r="X25" s="270"/>
      <c r="Y25" s="270"/>
      <c r="Z25" s="270"/>
      <c r="AA25" s="270"/>
      <c r="AC25" s="270"/>
      <c r="AD25" s="270"/>
      <c r="AE25" s="270"/>
      <c r="AF25" s="270"/>
      <c r="AG25" s="270"/>
      <c r="AH25" s="270"/>
    </row>
    <row r="26" spans="1:34" s="241" customFormat="1" x14ac:dyDescent="0.3">
      <c r="B26" s="334" t="s">
        <v>1006</v>
      </c>
      <c r="C26" s="335"/>
      <c r="D26" s="272">
        <f>'Inputs and eligible population'!L86</f>
        <v>150.03503900171955</v>
      </c>
      <c r="E26" s="272">
        <f>'Inputs and eligible population'!M86</f>
        <v>113.61123597046289</v>
      </c>
      <c r="F26" s="272">
        <f>'Inputs and eligible population'!N86</f>
        <v>76.471102422286066</v>
      </c>
      <c r="G26" s="272">
        <f>'Inputs and eligible population'!O86</f>
        <v>77.208422068396132</v>
      </c>
      <c r="H26" s="272">
        <f>'Inputs and eligible population'!P86</f>
        <v>77.952850808573359</v>
      </c>
      <c r="I26" s="272">
        <f>'Inputs and eligible population'!Q86</f>
        <v>78.704457187333986</v>
      </c>
      <c r="N26" s="133"/>
      <c r="O26" s="133"/>
      <c r="P26" s="133"/>
      <c r="Q26" s="133"/>
      <c r="R26" s="133"/>
      <c r="S26" s="133"/>
      <c r="T26" s="133"/>
      <c r="V26" s="270"/>
      <c r="W26" s="270"/>
      <c r="X26" s="270"/>
      <c r="Y26" s="270"/>
      <c r="Z26" s="270"/>
      <c r="AA26" s="270"/>
      <c r="AC26" s="270"/>
      <c r="AD26" s="270"/>
      <c r="AE26" s="270"/>
      <c r="AF26" s="270"/>
      <c r="AG26" s="270"/>
      <c r="AH26" s="270"/>
    </row>
    <row r="27" spans="1:34" s="241" customFormat="1" x14ac:dyDescent="0.3">
      <c r="B27" s="793"/>
      <c r="C27" s="185"/>
      <c r="D27" s="186">
        <f t="shared" ref="D27:I27" si="2">SUM(D24:D26)</f>
        <v>402.09390452460838</v>
      </c>
      <c r="E27" s="186">
        <f t="shared" si="2"/>
        <v>405.970816534454</v>
      </c>
      <c r="F27" s="186">
        <f t="shared" si="2"/>
        <v>409.88510898345328</v>
      </c>
      <c r="G27" s="186">
        <f t="shared" si="2"/>
        <v>413.8371422866033</v>
      </c>
      <c r="H27" s="186">
        <f t="shared" si="2"/>
        <v>417.82728033395318</v>
      </c>
      <c r="I27" s="186">
        <f t="shared" si="2"/>
        <v>421.85589052411012</v>
      </c>
      <c r="N27" s="133"/>
      <c r="O27" s="133"/>
      <c r="P27" s="133"/>
      <c r="Q27" s="133"/>
      <c r="R27" s="133"/>
      <c r="S27" s="133"/>
      <c r="T27" s="133"/>
      <c r="V27" s="270"/>
      <c r="W27" s="270"/>
      <c r="X27" s="270"/>
      <c r="Y27" s="270"/>
      <c r="Z27" s="270"/>
      <c r="AA27" s="270"/>
      <c r="AC27" s="270"/>
      <c r="AD27" s="270"/>
      <c r="AE27" s="270"/>
      <c r="AF27" s="270"/>
      <c r="AG27" s="270"/>
      <c r="AH27" s="270"/>
    </row>
    <row r="28" spans="1:34" s="241" customFormat="1" x14ac:dyDescent="0.3">
      <c r="A28" s="880"/>
      <c r="B28" s="883"/>
      <c r="C28" s="882"/>
      <c r="D28" s="917"/>
      <c r="E28" s="917"/>
      <c r="F28" s="917"/>
      <c r="G28" s="917"/>
      <c r="H28" s="917"/>
      <c r="I28" s="917"/>
      <c r="N28" s="133"/>
      <c r="O28" s="133"/>
      <c r="P28" s="133"/>
      <c r="Q28" s="133"/>
      <c r="R28" s="133"/>
      <c r="S28" s="133"/>
      <c r="T28" s="133"/>
      <c r="V28" s="270"/>
      <c r="W28" s="270"/>
      <c r="X28" s="270"/>
      <c r="Y28" s="270"/>
      <c r="Z28" s="270"/>
      <c r="AA28" s="270"/>
      <c r="AC28" s="270"/>
      <c r="AD28" s="270"/>
      <c r="AE28" s="270"/>
      <c r="AF28" s="270"/>
      <c r="AG28" s="270"/>
      <c r="AH28" s="270"/>
    </row>
    <row r="29" spans="1:34" s="880" customFormat="1" x14ac:dyDescent="0.3">
      <c r="B29" s="879"/>
      <c r="C29" s="804"/>
      <c r="D29" s="804"/>
      <c r="E29" s="804"/>
      <c r="F29" s="804"/>
      <c r="G29" s="804"/>
      <c r="H29" s="804"/>
      <c r="I29" s="804"/>
      <c r="N29" s="804"/>
      <c r="O29" s="804"/>
      <c r="P29" s="804"/>
      <c r="Q29" s="804"/>
      <c r="R29" s="804"/>
      <c r="S29" s="804"/>
      <c r="T29" s="804"/>
      <c r="AD29" s="881"/>
      <c r="AE29" s="881"/>
      <c r="AF29" s="881"/>
      <c r="AG29" s="881"/>
      <c r="AH29" s="881"/>
    </row>
    <row r="30" spans="1:34" s="241" customFormat="1" x14ac:dyDescent="0.3">
      <c r="B30" s="278"/>
      <c r="C30" s="133"/>
      <c r="D30" s="133"/>
      <c r="E30" s="133"/>
      <c r="F30" s="133"/>
      <c r="G30" s="133"/>
      <c r="H30" s="133"/>
      <c r="I30" s="133"/>
      <c r="N30" s="133"/>
      <c r="O30" s="133"/>
      <c r="P30" s="133"/>
      <c r="Q30" s="133"/>
      <c r="R30" s="133"/>
      <c r="S30" s="133"/>
      <c r="T30" s="133"/>
      <c r="AD30" s="270"/>
      <c r="AE30" s="270"/>
      <c r="AF30" s="270"/>
      <c r="AG30" s="270"/>
      <c r="AH30" s="270"/>
    </row>
    <row r="31" spans="1:34" s="241" customFormat="1" x14ac:dyDescent="0.3">
      <c r="B31" s="279" t="s">
        <v>832</v>
      </c>
      <c r="C31" s="273" t="s">
        <v>833</v>
      </c>
      <c r="D31" s="690" t="s">
        <v>809</v>
      </c>
      <c r="E31" s="690" t="s">
        <v>809</v>
      </c>
      <c r="F31" s="690" t="s">
        <v>809</v>
      </c>
      <c r="G31" s="690" t="s">
        <v>809</v>
      </c>
      <c r="H31" s="690" t="s">
        <v>809</v>
      </c>
      <c r="I31" s="690" t="s">
        <v>809</v>
      </c>
      <c r="N31" s="133"/>
      <c r="O31" s="133"/>
      <c r="P31" s="133"/>
      <c r="Q31" s="133"/>
      <c r="R31" s="133"/>
      <c r="S31" s="133"/>
      <c r="T31" s="133"/>
      <c r="AD31" s="270"/>
      <c r="AE31" s="270"/>
      <c r="AF31" s="270"/>
      <c r="AG31" s="270"/>
      <c r="AH31" s="270"/>
    </row>
    <row r="32" spans="1:34" s="241" customFormat="1" ht="15.6" x14ac:dyDescent="0.3">
      <c r="B32" s="734" t="s">
        <v>954</v>
      </c>
      <c r="C32" s="274">
        <f>'Unit costs'!S13</f>
        <v>0</v>
      </c>
      <c r="D32" s="274">
        <f t="shared" ref="D32:I32" si="3">D14*$C32/1000</f>
        <v>0</v>
      </c>
      <c r="E32" s="274">
        <f t="shared" si="3"/>
        <v>0</v>
      </c>
      <c r="F32" s="274">
        <f t="shared" si="3"/>
        <v>0</v>
      </c>
      <c r="G32" s="274">
        <f t="shared" si="3"/>
        <v>0</v>
      </c>
      <c r="H32" s="274">
        <f t="shared" si="3"/>
        <v>0</v>
      </c>
      <c r="I32" s="274">
        <f t="shared" si="3"/>
        <v>0</v>
      </c>
      <c r="N32" s="133"/>
      <c r="O32" s="133"/>
      <c r="P32" s="133"/>
      <c r="Q32" s="133"/>
      <c r="R32" s="133"/>
      <c r="S32" s="133"/>
      <c r="T32" s="133"/>
      <c r="AD32" s="270"/>
      <c r="AE32" s="270"/>
      <c r="AF32" s="270"/>
      <c r="AG32" s="270"/>
      <c r="AH32" s="270"/>
    </row>
    <row r="33" spans="2:34" s="241" customFormat="1" x14ac:dyDescent="0.3">
      <c r="B33" s="333" t="s">
        <v>955</v>
      </c>
      <c r="C33" s="274">
        <f>'Unit costs'!S21</f>
        <v>0</v>
      </c>
      <c r="D33" s="274">
        <f t="shared" ref="D33:I33" si="4">D14*$C33/1000</f>
        <v>0</v>
      </c>
      <c r="E33" s="274">
        <f t="shared" si="4"/>
        <v>0</v>
      </c>
      <c r="F33" s="274">
        <f t="shared" si="4"/>
        <v>0</v>
      </c>
      <c r="G33" s="274">
        <f t="shared" si="4"/>
        <v>0</v>
      </c>
      <c r="H33" s="274">
        <f t="shared" si="4"/>
        <v>0</v>
      </c>
      <c r="I33" s="274">
        <f t="shared" si="4"/>
        <v>0</v>
      </c>
      <c r="N33" s="133"/>
      <c r="O33" s="133"/>
      <c r="P33" s="133"/>
      <c r="Q33" s="133"/>
      <c r="R33" s="133"/>
      <c r="S33" s="133"/>
      <c r="T33" s="133"/>
      <c r="AD33" s="270"/>
      <c r="AE33" s="270"/>
      <c r="AF33" s="270"/>
      <c r="AG33" s="270"/>
      <c r="AH33" s="270"/>
    </row>
    <row r="34" spans="2:34" s="241" customFormat="1" ht="15.6" x14ac:dyDescent="0.3">
      <c r="B34" s="734" t="s">
        <v>1034</v>
      </c>
      <c r="C34" s="274">
        <f>'Unit costs'!S29</f>
        <v>0</v>
      </c>
      <c r="D34" s="274">
        <f>D24*$C34/1000</f>
        <v>0</v>
      </c>
      <c r="E34" s="274">
        <f t="shared" ref="E34:I34" si="5">E24*$C34/1000</f>
        <v>0</v>
      </c>
      <c r="F34" s="274">
        <f t="shared" si="5"/>
        <v>0</v>
      </c>
      <c r="G34" s="274">
        <f t="shared" si="5"/>
        <v>0</v>
      </c>
      <c r="H34" s="274">
        <f t="shared" si="5"/>
        <v>0</v>
      </c>
      <c r="I34" s="274">
        <f t="shared" si="5"/>
        <v>0</v>
      </c>
      <c r="N34" s="133"/>
      <c r="O34" s="133"/>
      <c r="P34" s="133"/>
      <c r="Q34" s="133"/>
      <c r="R34" s="133"/>
      <c r="S34" s="133"/>
      <c r="T34" s="133"/>
      <c r="AD34" s="270"/>
      <c r="AE34" s="270"/>
      <c r="AF34" s="270"/>
      <c r="AG34" s="270"/>
      <c r="AH34" s="270"/>
    </row>
    <row r="35" spans="2:34" s="241" customFormat="1" ht="15.6" x14ac:dyDescent="0.3">
      <c r="B35" s="734" t="s">
        <v>1035</v>
      </c>
      <c r="C35" s="274">
        <f>'Unit costs'!S35</f>
        <v>0</v>
      </c>
      <c r="D35" s="274">
        <f>D24*$C35/1000</f>
        <v>0</v>
      </c>
      <c r="E35" s="274">
        <f>D24*$C35/1000</f>
        <v>0</v>
      </c>
      <c r="F35" s="274">
        <f>E24*$C35/1000</f>
        <v>0</v>
      </c>
      <c r="G35" s="274">
        <f t="shared" ref="G35:I35" si="6">F24*$C35/1000</f>
        <v>0</v>
      </c>
      <c r="H35" s="274">
        <f t="shared" si="6"/>
        <v>0</v>
      </c>
      <c r="I35" s="274">
        <f t="shared" si="6"/>
        <v>0</v>
      </c>
      <c r="N35" s="133"/>
      <c r="O35" s="133"/>
      <c r="P35" s="133"/>
      <c r="Q35" s="133"/>
      <c r="R35" s="133"/>
      <c r="S35" s="133"/>
      <c r="T35" s="133"/>
      <c r="AD35" s="270"/>
      <c r="AE35" s="270"/>
      <c r="AF35" s="270"/>
      <c r="AG35" s="270"/>
      <c r="AH35" s="270"/>
    </row>
    <row r="36" spans="2:34" s="241" customFormat="1" ht="15.6" x14ac:dyDescent="0.3">
      <c r="B36" s="734" t="s">
        <v>1036</v>
      </c>
      <c r="C36" s="274">
        <f>'Unit costs'!S41</f>
        <v>0</v>
      </c>
      <c r="D36" s="274">
        <f>D24*$C36/1000</f>
        <v>0</v>
      </c>
      <c r="E36" s="274">
        <f>D24*$C36/1000</f>
        <v>0</v>
      </c>
      <c r="F36" s="274">
        <f>D24*$C36/1000</f>
        <v>0</v>
      </c>
      <c r="G36" s="274">
        <f>E24*$C36/1000</f>
        <v>0</v>
      </c>
      <c r="H36" s="274">
        <f t="shared" ref="H36:I36" si="7">F24*$C36/1000</f>
        <v>0</v>
      </c>
      <c r="I36" s="274">
        <f t="shared" si="7"/>
        <v>0</v>
      </c>
      <c r="N36" s="133"/>
      <c r="O36" s="133"/>
      <c r="P36" s="133"/>
      <c r="Q36" s="133"/>
      <c r="R36" s="133"/>
      <c r="S36" s="133"/>
      <c r="T36" s="133"/>
      <c r="AD36" s="270"/>
      <c r="AE36" s="270"/>
      <c r="AF36" s="270"/>
      <c r="AG36" s="270"/>
      <c r="AH36" s="270"/>
    </row>
    <row r="37" spans="2:34" s="241" customFormat="1" ht="15.6" x14ac:dyDescent="0.3">
      <c r="B37" s="734" t="s">
        <v>957</v>
      </c>
      <c r="C37" s="274">
        <f>'Unit costs'!S51</f>
        <v>0</v>
      </c>
      <c r="D37" s="274">
        <f t="shared" ref="D37:I37" si="8">D15*$C37/1000</f>
        <v>0</v>
      </c>
      <c r="E37" s="274">
        <f t="shared" si="8"/>
        <v>0</v>
      </c>
      <c r="F37" s="274">
        <f t="shared" si="8"/>
        <v>0</v>
      </c>
      <c r="G37" s="274">
        <f t="shared" si="8"/>
        <v>0</v>
      </c>
      <c r="H37" s="274">
        <f t="shared" si="8"/>
        <v>0</v>
      </c>
      <c r="I37" s="274">
        <f t="shared" si="8"/>
        <v>0</v>
      </c>
      <c r="N37" s="133"/>
      <c r="O37" s="133"/>
      <c r="P37" s="133"/>
      <c r="Q37" s="133"/>
      <c r="R37" s="133"/>
      <c r="S37" s="133"/>
      <c r="T37" s="133"/>
      <c r="AD37" s="270"/>
      <c r="AE37" s="270"/>
      <c r="AF37" s="270"/>
      <c r="AG37" s="270"/>
      <c r="AH37" s="270"/>
    </row>
    <row r="38" spans="2:34" s="241" customFormat="1" ht="15.6" x14ac:dyDescent="0.3">
      <c r="B38" s="734" t="s">
        <v>956</v>
      </c>
      <c r="C38" s="274">
        <f>'Unit costs'!S59</f>
        <v>0</v>
      </c>
      <c r="D38" s="274">
        <f t="shared" ref="D38:I38" si="9">D15*$C38/1000</f>
        <v>0</v>
      </c>
      <c r="E38" s="274">
        <f t="shared" si="9"/>
        <v>0</v>
      </c>
      <c r="F38" s="274">
        <f t="shared" si="9"/>
        <v>0</v>
      </c>
      <c r="G38" s="274">
        <f t="shared" si="9"/>
        <v>0</v>
      </c>
      <c r="H38" s="274">
        <f t="shared" si="9"/>
        <v>0</v>
      </c>
      <c r="I38" s="274">
        <f t="shared" si="9"/>
        <v>0</v>
      </c>
      <c r="N38" s="133"/>
      <c r="O38" s="133"/>
      <c r="P38" s="133"/>
      <c r="Q38" s="133"/>
      <c r="R38" s="133"/>
      <c r="S38" s="133"/>
      <c r="T38" s="133"/>
      <c r="AD38" s="270"/>
      <c r="AE38" s="270"/>
      <c r="AF38" s="270"/>
      <c r="AG38" s="270"/>
      <c r="AH38" s="270"/>
    </row>
    <row r="39" spans="2:34" s="241" customFormat="1" ht="15.6" x14ac:dyDescent="0.3">
      <c r="B39" s="734" t="s">
        <v>1038</v>
      </c>
      <c r="C39" s="274">
        <f>'Unit costs'!S66</f>
        <v>0</v>
      </c>
      <c r="D39" s="274">
        <f>D25*$C39/1000</f>
        <v>0</v>
      </c>
      <c r="E39" s="274">
        <f t="shared" ref="E39:I39" si="10">E25*$C39/1000</f>
        <v>0</v>
      </c>
      <c r="F39" s="274">
        <f t="shared" si="10"/>
        <v>0</v>
      </c>
      <c r="G39" s="274">
        <f t="shared" si="10"/>
        <v>0</v>
      </c>
      <c r="H39" s="274">
        <f t="shared" si="10"/>
        <v>0</v>
      </c>
      <c r="I39" s="274">
        <f t="shared" si="10"/>
        <v>0</v>
      </c>
      <c r="N39" s="133"/>
      <c r="O39" s="133"/>
      <c r="P39" s="133"/>
      <c r="Q39" s="133"/>
      <c r="R39" s="133"/>
      <c r="S39" s="133"/>
      <c r="T39" s="133"/>
      <c r="AD39" s="270"/>
      <c r="AE39" s="270"/>
      <c r="AF39" s="270"/>
      <c r="AG39" s="270"/>
      <c r="AH39" s="270"/>
    </row>
    <row r="40" spans="2:34" s="241" customFormat="1" ht="15.6" x14ac:dyDescent="0.3">
      <c r="B40" s="734" t="s">
        <v>1039</v>
      </c>
      <c r="C40" s="274">
        <f>'Unit costs'!S72</f>
        <v>0</v>
      </c>
      <c r="D40" s="274">
        <f>D25*$C40/1000</f>
        <v>0</v>
      </c>
      <c r="E40" s="274">
        <f>D25*$C40/1000</f>
        <v>0</v>
      </c>
      <c r="F40" s="274">
        <f>E25*$C40/1000</f>
        <v>0</v>
      </c>
      <c r="G40" s="274">
        <f t="shared" ref="G40:I40" si="11">F25*$C40/1000</f>
        <v>0</v>
      </c>
      <c r="H40" s="274">
        <f t="shared" si="11"/>
        <v>0</v>
      </c>
      <c r="I40" s="274">
        <f t="shared" si="11"/>
        <v>0</v>
      </c>
      <c r="N40" s="133"/>
      <c r="O40" s="133"/>
      <c r="P40" s="133"/>
      <c r="Q40" s="133"/>
      <c r="R40" s="133"/>
      <c r="S40" s="133"/>
      <c r="T40" s="133"/>
      <c r="AD40" s="270"/>
      <c r="AE40" s="270"/>
      <c r="AF40" s="270"/>
      <c r="AG40" s="270"/>
      <c r="AH40" s="270"/>
    </row>
    <row r="41" spans="2:34" s="241" customFormat="1" ht="15.6" x14ac:dyDescent="0.3">
      <c r="B41" s="734" t="s">
        <v>1040</v>
      </c>
      <c r="C41" s="274">
        <f>'Unit costs'!S78</f>
        <v>0</v>
      </c>
      <c r="D41" s="274">
        <f>D25*$C41/1000</f>
        <v>0</v>
      </c>
      <c r="E41" s="274">
        <f>D25*$C41/1000</f>
        <v>0</v>
      </c>
      <c r="F41" s="274">
        <f>D25*$C41/1000</f>
        <v>0</v>
      </c>
      <c r="G41" s="274">
        <f>E25*$C41/1000</f>
        <v>0</v>
      </c>
      <c r="H41" s="274">
        <f t="shared" ref="H41:I41" si="12">F25*$C41/1000</f>
        <v>0</v>
      </c>
      <c r="I41" s="274">
        <f t="shared" si="12"/>
        <v>0</v>
      </c>
      <c r="N41" s="133"/>
      <c r="O41" s="133"/>
      <c r="P41" s="133"/>
      <c r="Q41" s="133"/>
      <c r="R41" s="133"/>
      <c r="S41" s="133"/>
      <c r="T41" s="133"/>
      <c r="AD41" s="270"/>
      <c r="AE41" s="270"/>
      <c r="AF41" s="270"/>
      <c r="AG41" s="270"/>
      <c r="AH41" s="270"/>
    </row>
    <row r="42" spans="2:34" s="241" customFormat="1" ht="15.6" x14ac:dyDescent="0.3">
      <c r="B42" s="734" t="s">
        <v>1042</v>
      </c>
      <c r="C42" s="274">
        <f>'Unit costs'!S86</f>
        <v>3719.9102435153995</v>
      </c>
      <c r="D42" s="274">
        <f>D26*$C42/1000</f>
        <v>558.11687846872906</v>
      </c>
      <c r="E42" s="274">
        <f t="shared" ref="E42:I42" si="13">E26*$C42/1000</f>
        <v>422.62360046497008</v>
      </c>
      <c r="F42" s="274">
        <f t="shared" si="13"/>
        <v>284.46563723357718</v>
      </c>
      <c r="G42" s="274">
        <f t="shared" si="13"/>
        <v>287.20840013788722</v>
      </c>
      <c r="H42" s="274">
        <f t="shared" si="13"/>
        <v>289.97760823403974</v>
      </c>
      <c r="I42" s="274">
        <f t="shared" si="13"/>
        <v>292.7735165014829</v>
      </c>
      <c r="N42" s="133"/>
      <c r="O42" s="133"/>
      <c r="P42" s="133"/>
      <c r="Q42" s="133"/>
      <c r="R42" s="133"/>
      <c r="S42" s="133"/>
      <c r="T42" s="133"/>
      <c r="AD42" s="270"/>
      <c r="AE42" s="270"/>
      <c r="AF42" s="270"/>
      <c r="AG42" s="270"/>
      <c r="AH42" s="270"/>
    </row>
    <row r="43" spans="2:34" s="241" customFormat="1" x14ac:dyDescent="0.3">
      <c r="B43" s="277" t="s">
        <v>834</v>
      </c>
      <c r="C43" s="647"/>
      <c r="D43" s="187">
        <f t="shared" ref="D43:I43" si="14">SUM(D32:D42)</f>
        <v>558.11687846872906</v>
      </c>
      <c r="E43" s="187">
        <f t="shared" si="14"/>
        <v>422.62360046497008</v>
      </c>
      <c r="F43" s="187">
        <f t="shared" si="14"/>
        <v>284.46563723357718</v>
      </c>
      <c r="G43" s="187">
        <f t="shared" si="14"/>
        <v>287.20840013788722</v>
      </c>
      <c r="H43" s="188">
        <f t="shared" si="14"/>
        <v>289.97760823403974</v>
      </c>
      <c r="I43" s="187">
        <f t="shared" si="14"/>
        <v>292.7735165014829</v>
      </c>
      <c r="J43" s="343"/>
      <c r="N43" s="133"/>
      <c r="O43" s="133"/>
      <c r="P43" s="133"/>
      <c r="Q43" s="133"/>
      <c r="R43" s="133"/>
      <c r="S43" s="133"/>
      <c r="T43" s="133"/>
      <c r="AD43" s="270"/>
      <c r="AE43" s="270"/>
      <c r="AF43" s="270"/>
      <c r="AG43" s="270"/>
      <c r="AH43" s="270"/>
    </row>
    <row r="44" spans="2:34" s="241" customFormat="1" x14ac:dyDescent="0.3">
      <c r="B44" s="278"/>
      <c r="C44" s="133"/>
      <c r="D44" s="133"/>
      <c r="E44" s="133"/>
      <c r="F44" s="133"/>
      <c r="G44" s="133"/>
      <c r="H44" s="133"/>
      <c r="I44" s="133"/>
      <c r="N44" s="133"/>
      <c r="O44" s="133"/>
      <c r="P44" s="133"/>
      <c r="Q44" s="133"/>
      <c r="R44" s="133"/>
      <c r="S44" s="133"/>
      <c r="T44" s="133"/>
      <c r="AD44" s="270"/>
      <c r="AE44" s="270"/>
      <c r="AF44" s="270"/>
      <c r="AG44" s="270"/>
      <c r="AH44" s="270"/>
    </row>
    <row r="45" spans="2:34" s="241" customFormat="1" x14ac:dyDescent="0.3">
      <c r="B45" s="365"/>
      <c r="C45" s="275"/>
      <c r="D45" s="342" t="s">
        <v>811</v>
      </c>
      <c r="E45" s="187">
        <f>E43-$D$43</f>
        <v>-135.49327800375897</v>
      </c>
      <c r="F45" s="187">
        <f t="shared" ref="F45:I45" si="15">F43-$D$43</f>
        <v>-273.65124123515187</v>
      </c>
      <c r="G45" s="187">
        <f t="shared" si="15"/>
        <v>-270.90847833084183</v>
      </c>
      <c r="H45" s="187">
        <f t="shared" si="15"/>
        <v>-268.13927023468932</v>
      </c>
      <c r="I45" s="187">
        <f t="shared" si="15"/>
        <v>-265.34336196724615</v>
      </c>
      <c r="N45" s="133"/>
      <c r="O45" s="133"/>
      <c r="P45" s="133"/>
      <c r="Q45" s="133"/>
      <c r="R45" s="133"/>
      <c r="S45" s="133"/>
      <c r="T45" s="133"/>
      <c r="AD45" s="270"/>
      <c r="AE45" s="270"/>
      <c r="AF45" s="270"/>
      <c r="AG45" s="270"/>
      <c r="AH45" s="270"/>
    </row>
    <row r="46" spans="2:34" s="241" customFormat="1" x14ac:dyDescent="0.3">
      <c r="B46" s="365"/>
      <c r="C46" s="275"/>
      <c r="D46" s="281" t="s">
        <v>835</v>
      </c>
      <c r="E46" s="187">
        <f>E45</f>
        <v>-135.49327800375897</v>
      </c>
      <c r="F46" s="189">
        <f>F45-E45</f>
        <v>-138.1579632313929</v>
      </c>
      <c r="G46" s="189">
        <f t="shared" ref="G46:I46" si="16">G45-F45</f>
        <v>2.742762904310041</v>
      </c>
      <c r="H46" s="189">
        <f t="shared" si="16"/>
        <v>2.7692080961525107</v>
      </c>
      <c r="I46" s="189">
        <f t="shared" si="16"/>
        <v>2.795908267443167</v>
      </c>
      <c r="J46" s="133"/>
      <c r="K46" s="133"/>
      <c r="L46" s="133"/>
      <c r="M46" s="133"/>
      <c r="N46" s="133"/>
      <c r="O46" s="133"/>
      <c r="P46" s="133"/>
      <c r="Q46" s="133"/>
      <c r="R46" s="133"/>
      <c r="S46" s="133"/>
      <c r="T46" s="133"/>
      <c r="AD46" s="270"/>
      <c r="AE46" s="270"/>
      <c r="AF46" s="270"/>
      <c r="AG46" s="270"/>
      <c r="AH46" s="270"/>
    </row>
    <row r="48" spans="2:34" x14ac:dyDescent="0.3">
      <c r="J48" s="241"/>
      <c r="K48" s="241"/>
    </row>
    <row r="49" spans="10:11" x14ac:dyDescent="0.3">
      <c r="J49" s="241"/>
      <c r="K49" s="241"/>
    </row>
    <row r="50" spans="10:11" x14ac:dyDescent="0.3">
      <c r="J50" s="241"/>
      <c r="K50" s="241"/>
    </row>
  </sheetData>
  <sheetProtection algorithmName="SHA-512" hashValue="/GCT587j/kaUg7K2AN1ocdHzQTLKBGrIkLwjncWhaMJP1pGDqoEk+AH/2t/QrLsmf9kDq2BHuMWAsghuYCPRTA==" saltValue="pFpmcoS2tWChZY7QmNBO2Q=="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302"/>
  <sheetViews>
    <sheetView showGridLines="0" zoomScale="80" zoomScaleNormal="80" zoomScaleSheetLayoutView="30" workbookViewId="0"/>
  </sheetViews>
  <sheetFormatPr defaultColWidth="8.77734375" defaultRowHeight="14.4" x14ac:dyDescent="0.3"/>
  <cols>
    <col min="1" max="1" width="3.5546875" customWidth="1"/>
    <col min="2" max="2" width="103.21875" style="1" customWidth="1"/>
    <col min="3" max="3" width="13.77734375" customWidth="1"/>
    <col min="4" max="9" width="12.5546875" customWidth="1"/>
    <col min="10" max="10" width="1.77734375" customWidth="1"/>
    <col min="11" max="18" width="11.5546875" customWidth="1"/>
    <col min="19" max="19" width="11.33203125" customWidth="1"/>
    <col min="20" max="20" width="11.5546875" customWidth="1"/>
    <col min="21" max="26" width="10.77734375" customWidth="1"/>
    <col min="28" max="41" width="0" hidden="1" customWidth="1"/>
  </cols>
  <sheetData>
    <row r="1" spans="1:40" ht="30" customHeight="1" x14ac:dyDescent="0.3">
      <c r="B1" s="528" t="str">
        <f>'Inputs and eligible population'!B1</f>
        <v>Quizartinib for induction, consolidation and maintenance treatment of newly diagnosed FLT3‑ITD‑positive acute myeloid leukaemia</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3">
      <c r="B2" s="213" t="s">
        <v>836</v>
      </c>
      <c r="C2" s="127" t="s">
        <v>742</v>
      </c>
      <c r="D2" s="127" t="s">
        <v>742</v>
      </c>
      <c r="E2" s="482"/>
      <c r="F2" s="127" t="s">
        <v>742</v>
      </c>
      <c r="G2" s="127" t="s">
        <v>742</v>
      </c>
      <c r="H2" s="127" t="s">
        <v>742</v>
      </c>
      <c r="I2" s="127" t="s">
        <v>742</v>
      </c>
      <c r="J2" s="127"/>
      <c r="K2" s="127"/>
      <c r="L2" s="127"/>
      <c r="M2" s="127"/>
      <c r="N2" s="127"/>
      <c r="O2" s="127"/>
      <c r="P2" s="127"/>
      <c r="Q2" s="127"/>
      <c r="R2" s="127"/>
      <c r="S2" s="127"/>
      <c r="T2" s="127"/>
      <c r="U2" s="127"/>
      <c r="V2" s="127"/>
      <c r="W2" s="127"/>
      <c r="X2" s="127"/>
      <c r="Y2" s="127"/>
      <c r="Z2" s="127"/>
    </row>
    <row r="3" spans="1:40" ht="14.55" customHeight="1" x14ac:dyDescent="0.3">
      <c r="B3" s="130" t="s">
        <v>742</v>
      </c>
      <c r="C3" s="133" t="s">
        <v>742</v>
      </c>
      <c r="D3" s="133" t="s">
        <v>742</v>
      </c>
      <c r="F3" s="133" t="s">
        <v>742</v>
      </c>
      <c r="G3" s="133" t="s">
        <v>742</v>
      </c>
      <c r="H3" s="133" t="s">
        <v>742</v>
      </c>
      <c r="I3" s="133" t="s">
        <v>742</v>
      </c>
      <c r="J3" s="127"/>
      <c r="K3" s="127"/>
      <c r="L3" s="127"/>
      <c r="M3" s="127"/>
      <c r="N3" s="127"/>
      <c r="O3" s="127"/>
      <c r="P3" s="127"/>
      <c r="Q3" s="133"/>
      <c r="R3" s="133"/>
      <c r="S3" s="133"/>
      <c r="T3" s="133"/>
      <c r="U3" s="133"/>
      <c r="V3" s="133"/>
      <c r="W3" s="133"/>
      <c r="X3" s="133"/>
      <c r="Y3" s="133"/>
      <c r="Z3" s="133"/>
    </row>
    <row r="4" spans="1:40" ht="14.55" customHeight="1" x14ac:dyDescent="0.3">
      <c r="B4" t="s">
        <v>837</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55" customHeight="1" x14ac:dyDescent="0.3">
      <c r="B5" s="5"/>
      <c r="F5" s="133"/>
      <c r="G5" s="133"/>
      <c r="H5" s="133"/>
      <c r="I5" s="133"/>
      <c r="J5" s="133"/>
      <c r="K5" s="133"/>
      <c r="L5" s="133"/>
      <c r="M5" s="133"/>
      <c r="N5" s="133"/>
      <c r="O5" s="133"/>
      <c r="P5" s="133"/>
      <c r="Q5" s="133"/>
      <c r="R5" s="133"/>
      <c r="S5" s="133"/>
      <c r="T5" s="133"/>
      <c r="U5" s="133"/>
      <c r="V5" s="133"/>
      <c r="W5" s="133"/>
      <c r="X5" s="133"/>
      <c r="Y5" s="133"/>
      <c r="Z5" s="133"/>
    </row>
    <row r="6" spans="1:40" ht="43.2" x14ac:dyDescent="0.3">
      <c r="B6" s="256" t="s">
        <v>806</v>
      </c>
      <c r="C6" s="208"/>
      <c r="D6" s="402" t="s">
        <v>831</v>
      </c>
      <c r="E6" s="254" t="s">
        <v>676</v>
      </c>
      <c r="F6" s="254" t="s">
        <v>677</v>
      </c>
      <c r="G6" s="165" t="s">
        <v>803</v>
      </c>
      <c r="H6" s="165" t="s">
        <v>804</v>
      </c>
      <c r="I6" s="254" t="s">
        <v>805</v>
      </c>
      <c r="L6" s="402" t="s">
        <v>831</v>
      </c>
      <c r="M6" s="254" t="s">
        <v>676</v>
      </c>
      <c r="N6" s="254" t="s">
        <v>677</v>
      </c>
      <c r="O6" s="165" t="s">
        <v>803</v>
      </c>
      <c r="P6" s="165" t="s">
        <v>804</v>
      </c>
      <c r="Q6" s="254" t="s">
        <v>805</v>
      </c>
      <c r="R6" s="133"/>
      <c r="S6" s="133"/>
      <c r="T6" s="133"/>
      <c r="U6" s="133"/>
      <c r="V6" s="133"/>
      <c r="W6" s="133"/>
      <c r="X6" s="133"/>
      <c r="Y6" s="133"/>
      <c r="Z6" s="133"/>
      <c r="AJ6" s="283"/>
      <c r="AK6" s="283"/>
      <c r="AL6" s="283"/>
      <c r="AM6" s="283"/>
      <c r="AN6" s="283"/>
    </row>
    <row r="7" spans="1:40" x14ac:dyDescent="0.3">
      <c r="B7" s="224" t="s">
        <v>806</v>
      </c>
      <c r="C7" s="168"/>
      <c r="D7" s="366">
        <f>'Inputs and eligible population'!F43</f>
        <v>402.09390452460838</v>
      </c>
      <c r="E7" s="366">
        <f>'Inputs and eligible population'!G43</f>
        <v>405.97081653445406</v>
      </c>
      <c r="F7" s="366">
        <f>'Inputs and eligible population'!H43</f>
        <v>409.88510898345328</v>
      </c>
      <c r="G7" s="366">
        <f>'Inputs and eligible population'!I43</f>
        <v>413.83714228660324</v>
      </c>
      <c r="H7" s="366">
        <f>'Inputs and eligible population'!J43</f>
        <v>417.82728033395318</v>
      </c>
      <c r="I7" s="366">
        <f>'Inputs and eligible population'!K43</f>
        <v>421.85589052411018</v>
      </c>
      <c r="P7" s="133"/>
      <c r="Q7" s="133"/>
      <c r="R7" s="133"/>
      <c r="S7" s="133"/>
      <c r="T7" s="133"/>
      <c r="U7" s="133"/>
      <c r="V7" s="133"/>
      <c r="W7" s="133"/>
      <c r="X7" s="133"/>
      <c r="Y7" s="133"/>
      <c r="Z7" s="133"/>
      <c r="AJ7" s="283"/>
      <c r="AK7" s="283"/>
      <c r="AL7" s="283"/>
      <c r="AM7" s="283"/>
      <c r="AN7" s="283"/>
    </row>
    <row r="8" spans="1:40" x14ac:dyDescent="0.3">
      <c r="B8"/>
      <c r="P8" s="133"/>
      <c r="Q8" s="133"/>
      <c r="R8" s="133"/>
      <c r="S8" s="133"/>
      <c r="T8" s="133"/>
      <c r="U8" s="133"/>
      <c r="V8" s="133"/>
      <c r="W8" s="133"/>
      <c r="X8" s="133"/>
      <c r="Y8" s="133"/>
      <c r="Z8" s="133"/>
      <c r="AJ8" s="283"/>
      <c r="AK8" s="283"/>
      <c r="AL8" s="283"/>
      <c r="AM8" s="283"/>
      <c r="AN8" s="283"/>
    </row>
    <row r="9" spans="1:40" x14ac:dyDescent="0.3">
      <c r="B9" s="276" t="s">
        <v>838</v>
      </c>
      <c r="C9" s="418"/>
      <c r="D9" s="418"/>
      <c r="E9" s="419"/>
      <c r="F9" s="418"/>
      <c r="G9" s="420"/>
      <c r="H9" s="421"/>
      <c r="I9" s="551"/>
      <c r="L9" s="690" t="s">
        <v>809</v>
      </c>
      <c r="M9" s="690" t="s">
        <v>809</v>
      </c>
      <c r="N9" s="690" t="s">
        <v>809</v>
      </c>
      <c r="O9" s="690" t="s">
        <v>809</v>
      </c>
      <c r="P9" s="690" t="s">
        <v>809</v>
      </c>
      <c r="Q9" s="690" t="s">
        <v>809</v>
      </c>
      <c r="R9" s="133"/>
      <c r="S9" s="133"/>
      <c r="T9" s="133"/>
      <c r="U9" s="133"/>
      <c r="V9" s="133"/>
      <c r="W9" s="133"/>
      <c r="X9" s="133"/>
      <c r="Y9" s="133"/>
      <c r="Z9" s="133"/>
      <c r="AJ9" s="283"/>
      <c r="AK9" s="283"/>
      <c r="AL9" s="283"/>
      <c r="AM9" s="283"/>
      <c r="AN9" s="283"/>
    </row>
    <row r="10" spans="1:40" x14ac:dyDescent="0.3">
      <c r="A10" s="285"/>
      <c r="B10" s="545" t="s">
        <v>1143</v>
      </c>
      <c r="C10" s="371"/>
      <c r="D10" s="404">
        <f>D42</f>
        <v>0</v>
      </c>
      <c r="E10" s="404">
        <f t="shared" ref="E10:I10" si="0">E42</f>
        <v>0</v>
      </c>
      <c r="F10" s="404">
        <f t="shared" si="0"/>
        <v>0</v>
      </c>
      <c r="G10" s="404">
        <f t="shared" si="0"/>
        <v>0</v>
      </c>
      <c r="H10" s="404">
        <f t="shared" si="0"/>
        <v>0</v>
      </c>
      <c r="I10" s="404">
        <f t="shared" si="0"/>
        <v>0</v>
      </c>
      <c r="L10" s="833">
        <f>L42</f>
        <v>0</v>
      </c>
      <c r="M10" s="833">
        <f t="shared" ref="M10:Q10" si="1">M42</f>
        <v>0</v>
      </c>
      <c r="N10" s="833">
        <f t="shared" si="1"/>
        <v>0</v>
      </c>
      <c r="O10" s="833">
        <f t="shared" si="1"/>
        <v>0</v>
      </c>
      <c r="P10" s="833">
        <f t="shared" si="1"/>
        <v>0</v>
      </c>
      <c r="Q10" s="833">
        <f t="shared" si="1"/>
        <v>0</v>
      </c>
      <c r="R10" s="133"/>
      <c r="S10" s="133"/>
      <c r="T10" s="133"/>
      <c r="U10" s="133"/>
      <c r="V10" s="133"/>
      <c r="W10" s="133"/>
      <c r="X10" s="133"/>
      <c r="Y10" s="133"/>
      <c r="Z10" s="133"/>
      <c r="AJ10" s="283"/>
      <c r="AK10" s="283"/>
      <c r="AL10" s="283"/>
      <c r="AM10" s="283"/>
      <c r="AN10" s="283"/>
    </row>
    <row r="11" spans="1:40" x14ac:dyDescent="0.3">
      <c r="A11" s="285"/>
      <c r="B11" s="545" t="s">
        <v>1071</v>
      </c>
      <c r="C11" s="371"/>
      <c r="D11" s="404">
        <f>D59</f>
        <v>1297.8030873648743</v>
      </c>
      <c r="E11" s="404">
        <f t="shared" ref="E11:I11" si="2">E59</f>
        <v>982.73719114450398</v>
      </c>
      <c r="F11" s="404">
        <f t="shared" si="2"/>
        <v>661.47503595277453</v>
      </c>
      <c r="G11" s="404">
        <f t="shared" si="2"/>
        <v>667.85285089162653</v>
      </c>
      <c r="H11" s="404">
        <f t="shared" si="2"/>
        <v>674.29215949415959</v>
      </c>
      <c r="I11" s="404">
        <f t="shared" si="2"/>
        <v>680.79355467043899</v>
      </c>
      <c r="L11" s="833">
        <f>L59</f>
        <v>86.425898799976437</v>
      </c>
      <c r="M11" s="833">
        <f t="shared" ref="M11:Q11" si="3">M59</f>
        <v>65.444400507077106</v>
      </c>
      <c r="N11" s="833">
        <f t="shared" si="3"/>
        <v>44.050268544239067</v>
      </c>
      <c r="O11" s="833">
        <f t="shared" si="3"/>
        <v>44.474992752276975</v>
      </c>
      <c r="P11" s="833">
        <f t="shared" si="3"/>
        <v>44.903812069354061</v>
      </c>
      <c r="Q11" s="833">
        <f t="shared" si="3"/>
        <v>45.336765979723218</v>
      </c>
      <c r="R11" s="133"/>
      <c r="S11" s="133"/>
      <c r="T11" s="133"/>
      <c r="U11" s="133"/>
      <c r="V11" s="133"/>
      <c r="W11" s="133"/>
      <c r="X11" s="133"/>
      <c r="Y11" s="133"/>
      <c r="Z11" s="133"/>
      <c r="AJ11" s="283"/>
      <c r="AK11" s="283"/>
      <c r="AL11" s="283"/>
      <c r="AM11" s="283"/>
      <c r="AN11" s="283"/>
    </row>
    <row r="12" spans="1:40" x14ac:dyDescent="0.3">
      <c r="A12" s="285"/>
      <c r="B12" s="545" t="s">
        <v>1104</v>
      </c>
      <c r="C12" s="371"/>
      <c r="D12" s="404">
        <f>D76</f>
        <v>1297.8030873648743</v>
      </c>
      <c r="E12" s="404">
        <f t="shared" ref="E12:I12" si="4">E76</f>
        <v>982.73719114450398</v>
      </c>
      <c r="F12" s="404">
        <f t="shared" si="4"/>
        <v>661.47503595277453</v>
      </c>
      <c r="G12" s="404">
        <f t="shared" si="4"/>
        <v>667.85285089162653</v>
      </c>
      <c r="H12" s="404">
        <f t="shared" si="4"/>
        <v>674.29215949415959</v>
      </c>
      <c r="I12" s="404">
        <f t="shared" si="4"/>
        <v>680.79355467043899</v>
      </c>
      <c r="L12" s="835">
        <f>L76</f>
        <v>44.522432715139381</v>
      </c>
      <c r="M12" s="835">
        <f t="shared" ref="M12:Q12" si="5">M76</f>
        <v>33.713782079403359</v>
      </c>
      <c r="N12" s="835">
        <f t="shared" si="5"/>
        <v>22.692562583395887</v>
      </c>
      <c r="O12" s="835">
        <f t="shared" si="5"/>
        <v>22.91135990268814</v>
      </c>
      <c r="P12" s="835">
        <f t="shared" si="5"/>
        <v>23.132266823606642</v>
      </c>
      <c r="Q12" s="835">
        <f t="shared" si="5"/>
        <v>23.355303686524081</v>
      </c>
      <c r="R12" s="133"/>
      <c r="S12" s="133"/>
      <c r="T12" s="133"/>
      <c r="U12" s="133"/>
      <c r="V12" s="133"/>
      <c r="W12" s="133"/>
      <c r="X12" s="133"/>
      <c r="Y12" s="133"/>
      <c r="Z12" s="133"/>
      <c r="AJ12" s="283"/>
      <c r="AK12" s="283"/>
      <c r="AL12" s="283"/>
      <c r="AM12" s="283"/>
      <c r="AN12" s="283"/>
    </row>
    <row r="13" spans="1:40" x14ac:dyDescent="0.3">
      <c r="A13" s="284"/>
      <c r="B13" s="424" t="s">
        <v>1105</v>
      </c>
      <c r="C13" s="430"/>
      <c r="D13" s="400">
        <f>D93</f>
        <v>281.19066892905607</v>
      </c>
      <c r="E13" s="400">
        <f t="shared" ref="E13:I13" si="6">E93</f>
        <v>212.92639141464252</v>
      </c>
      <c r="F13" s="400">
        <f t="shared" si="6"/>
        <v>143.31959112310113</v>
      </c>
      <c r="G13" s="400">
        <f t="shared" si="6"/>
        <v>144.70145102651909</v>
      </c>
      <c r="H13" s="400">
        <f t="shared" si="6"/>
        <v>146.09663455706792</v>
      </c>
      <c r="I13" s="400">
        <f t="shared" si="6"/>
        <v>147.50527017859514</v>
      </c>
      <c r="L13" s="835">
        <f>L93</f>
        <v>11.852186695359714</v>
      </c>
      <c r="M13" s="835">
        <f t="shared" ref="M13:Q13" si="7">M93</f>
        <v>8.9748473981271832</v>
      </c>
      <c r="N13" s="835">
        <f t="shared" si="7"/>
        <v>6.0409207658387132</v>
      </c>
      <c r="O13" s="835">
        <f t="shared" si="7"/>
        <v>6.0991661607677798</v>
      </c>
      <c r="P13" s="835">
        <f t="shared" si="7"/>
        <v>6.1579731465804128</v>
      </c>
      <c r="Q13" s="835">
        <f t="shared" si="7"/>
        <v>6.2173471380277849</v>
      </c>
      <c r="R13" s="133"/>
      <c r="S13" s="133"/>
      <c r="T13" s="133"/>
      <c r="U13" s="133"/>
      <c r="V13" s="133"/>
      <c r="W13" s="133"/>
      <c r="X13" s="133"/>
      <c r="Y13" s="133"/>
      <c r="Z13" s="133"/>
      <c r="AJ13" s="283"/>
      <c r="AK13" s="283"/>
      <c r="AL13" s="283"/>
      <c r="AM13" s="283"/>
      <c r="AN13" s="283"/>
    </row>
    <row r="14" spans="1:40" x14ac:dyDescent="0.3">
      <c r="A14" s="284"/>
      <c r="B14" s="424" t="s">
        <v>1107</v>
      </c>
      <c r="C14" s="430"/>
      <c r="D14" s="400">
        <f>D110</f>
        <v>0</v>
      </c>
      <c r="E14" s="400">
        <f t="shared" ref="E14:I14" si="8">E110</f>
        <v>0</v>
      </c>
      <c r="F14" s="400">
        <f t="shared" si="8"/>
        <v>0</v>
      </c>
      <c r="G14" s="400">
        <f t="shared" si="8"/>
        <v>0</v>
      </c>
      <c r="H14" s="400">
        <f t="shared" si="8"/>
        <v>0</v>
      </c>
      <c r="I14" s="400">
        <f t="shared" si="8"/>
        <v>0</v>
      </c>
      <c r="L14" s="835">
        <f>L110</f>
        <v>0</v>
      </c>
      <c r="M14" s="835">
        <f t="shared" ref="M14:Q14" si="9">M110</f>
        <v>0</v>
      </c>
      <c r="N14" s="835">
        <f t="shared" si="9"/>
        <v>0</v>
      </c>
      <c r="O14" s="835">
        <f t="shared" si="9"/>
        <v>0</v>
      </c>
      <c r="P14" s="835">
        <f t="shared" si="9"/>
        <v>0</v>
      </c>
      <c r="Q14" s="835">
        <f t="shared" si="9"/>
        <v>0</v>
      </c>
      <c r="R14" s="133"/>
      <c r="S14" s="133"/>
      <c r="T14" s="133"/>
      <c r="U14" s="133"/>
      <c r="V14" s="133"/>
      <c r="W14" s="133"/>
      <c r="X14" s="133"/>
      <c r="Y14" s="133"/>
      <c r="Z14" s="133"/>
      <c r="AJ14" s="283"/>
      <c r="AK14" s="283"/>
      <c r="AL14" s="283"/>
      <c r="AM14" s="283"/>
      <c r="AN14" s="283"/>
    </row>
    <row r="15" spans="1:40" x14ac:dyDescent="0.3">
      <c r="A15" s="284"/>
      <c r="B15" s="424" t="s">
        <v>1108</v>
      </c>
      <c r="C15" s="430"/>
      <c r="D15" s="400">
        <f>D127</f>
        <v>0</v>
      </c>
      <c r="E15" s="400">
        <f t="shared" ref="E15:I15" si="10">E127</f>
        <v>0</v>
      </c>
      <c r="F15" s="400">
        <f t="shared" si="10"/>
        <v>0</v>
      </c>
      <c r="G15" s="400">
        <f t="shared" si="10"/>
        <v>0</v>
      </c>
      <c r="H15" s="400">
        <f t="shared" si="10"/>
        <v>0</v>
      </c>
      <c r="I15" s="400">
        <f t="shared" si="10"/>
        <v>0</v>
      </c>
      <c r="L15" s="835">
        <f>L127</f>
        <v>0</v>
      </c>
      <c r="M15" s="835">
        <f t="shared" ref="M15:Q15" si="11">M127</f>
        <v>0</v>
      </c>
      <c r="N15" s="835">
        <f t="shared" si="11"/>
        <v>0</v>
      </c>
      <c r="O15" s="835">
        <f t="shared" si="11"/>
        <v>0</v>
      </c>
      <c r="P15" s="835">
        <f t="shared" si="11"/>
        <v>0</v>
      </c>
      <c r="Q15" s="835">
        <f t="shared" si="11"/>
        <v>0</v>
      </c>
      <c r="R15" s="133"/>
      <c r="S15" s="133"/>
      <c r="T15" s="133"/>
      <c r="U15" s="133"/>
      <c r="V15" s="133"/>
      <c r="W15" s="133"/>
      <c r="X15" s="133"/>
      <c r="Y15" s="133"/>
      <c r="Z15" s="133"/>
      <c r="AJ15" s="283"/>
      <c r="AK15" s="283"/>
      <c r="AL15" s="283"/>
      <c r="AM15" s="283"/>
      <c r="AN15" s="283"/>
    </row>
    <row r="16" spans="1:40" x14ac:dyDescent="0.3">
      <c r="A16" s="286"/>
      <c r="B16" s="425" t="str">
        <f>B131</f>
        <v>Pharmacy support (hours)</v>
      </c>
      <c r="C16" s="431"/>
      <c r="D16" s="401">
        <f>D144</f>
        <v>43.260102912162473</v>
      </c>
      <c r="E16" s="401">
        <f t="shared" ref="E16:I16" si="12">E144</f>
        <v>32.757906371483465</v>
      </c>
      <c r="F16" s="401">
        <f t="shared" si="12"/>
        <v>22.049167865092485</v>
      </c>
      <c r="G16" s="401">
        <f t="shared" si="12"/>
        <v>22.261761696387552</v>
      </c>
      <c r="H16" s="401">
        <f t="shared" si="12"/>
        <v>22.476405316471986</v>
      </c>
      <c r="I16" s="401">
        <f t="shared" si="12"/>
        <v>22.693118489014633</v>
      </c>
      <c r="L16" s="835">
        <f>L144</f>
        <v>2.126666659161907</v>
      </c>
      <c r="M16" s="835">
        <f t="shared" ref="M16:Q16" si="13">M144</f>
        <v>1.6103786772221269</v>
      </c>
      <c r="N16" s="835">
        <f t="shared" si="13"/>
        <v>1.0839370922479465</v>
      </c>
      <c r="O16" s="835">
        <f t="shared" si="13"/>
        <v>1.094388204994412</v>
      </c>
      <c r="P16" s="835">
        <f t="shared" si="13"/>
        <v>1.1049400853577627</v>
      </c>
      <c r="Q16" s="835">
        <f t="shared" si="13"/>
        <v>1.1155937049199594</v>
      </c>
      <c r="R16" s="133"/>
      <c r="S16" s="133"/>
      <c r="T16" s="133"/>
      <c r="U16" s="133"/>
      <c r="V16" s="133"/>
      <c r="W16" s="133"/>
      <c r="X16" s="133"/>
      <c r="Y16" s="133"/>
      <c r="Z16" s="133"/>
      <c r="AJ16" s="283"/>
      <c r="AK16" s="283"/>
      <c r="AL16" s="283"/>
      <c r="AM16" s="283"/>
      <c r="AN16" s="283"/>
    </row>
    <row r="17" spans="1:40" x14ac:dyDescent="0.3">
      <c r="A17" s="314"/>
      <c r="B17" s="426" t="str">
        <f>B148</f>
        <v>Appointments with supporting specialty x</v>
      </c>
      <c r="C17" s="432"/>
      <c r="D17" s="405">
        <f>D161</f>
        <v>0</v>
      </c>
      <c r="E17" s="405">
        <f t="shared" ref="E17:I17" si="14">E161</f>
        <v>0</v>
      </c>
      <c r="F17" s="405">
        <f t="shared" si="14"/>
        <v>0</v>
      </c>
      <c r="G17" s="405">
        <f t="shared" si="14"/>
        <v>0</v>
      </c>
      <c r="H17" s="405">
        <f t="shared" si="14"/>
        <v>0</v>
      </c>
      <c r="I17" s="405">
        <f t="shared" si="14"/>
        <v>0</v>
      </c>
      <c r="L17" s="835">
        <f>L161</f>
        <v>0</v>
      </c>
      <c r="M17" s="835">
        <f t="shared" ref="M17:Q17" si="15">M161</f>
        <v>0</v>
      </c>
      <c r="N17" s="835">
        <f t="shared" si="15"/>
        <v>0</v>
      </c>
      <c r="O17" s="835">
        <f t="shared" si="15"/>
        <v>0</v>
      </c>
      <c r="P17" s="835">
        <f t="shared" si="15"/>
        <v>0</v>
      </c>
      <c r="Q17" s="835">
        <f t="shared" si="15"/>
        <v>0</v>
      </c>
      <c r="R17" s="133"/>
      <c r="S17" s="133"/>
      <c r="T17" s="133"/>
      <c r="U17" s="133"/>
      <c r="V17" s="133"/>
      <c r="W17" s="133"/>
      <c r="X17" s="133"/>
      <c r="Y17" s="133"/>
      <c r="Z17" s="133"/>
      <c r="AJ17" s="283"/>
      <c r="AK17" s="283"/>
      <c r="AL17" s="283"/>
      <c r="AM17" s="283"/>
      <c r="AN17" s="283"/>
    </row>
    <row r="18" spans="1:40" x14ac:dyDescent="0.3">
      <c r="A18" s="287"/>
      <c r="B18" s="427" t="s">
        <v>1110</v>
      </c>
      <c r="C18" s="433"/>
      <c r="D18" s="406">
        <f>D178</f>
        <v>0</v>
      </c>
      <c r="E18" s="406">
        <f t="shared" ref="E18:I18" si="16">E178</f>
        <v>0</v>
      </c>
      <c r="F18" s="406">
        <f t="shared" si="16"/>
        <v>0</v>
      </c>
      <c r="G18" s="406">
        <f t="shared" si="16"/>
        <v>0</v>
      </c>
      <c r="H18" s="406">
        <f t="shared" si="16"/>
        <v>0</v>
      </c>
      <c r="I18" s="406">
        <f t="shared" si="16"/>
        <v>0</v>
      </c>
      <c r="L18" s="835">
        <f>L178</f>
        <v>0</v>
      </c>
      <c r="M18" s="835">
        <f t="shared" ref="M18:Q18" si="17">M178</f>
        <v>0</v>
      </c>
      <c r="N18" s="835">
        <f t="shared" si="17"/>
        <v>0</v>
      </c>
      <c r="O18" s="835">
        <f t="shared" si="17"/>
        <v>0</v>
      </c>
      <c r="P18" s="835">
        <f t="shared" si="17"/>
        <v>0</v>
      </c>
      <c r="Q18" s="835">
        <f t="shared" si="17"/>
        <v>0</v>
      </c>
      <c r="R18" s="133"/>
      <c r="S18" s="133"/>
      <c r="T18" s="133"/>
      <c r="U18" s="133"/>
      <c r="V18" s="133"/>
      <c r="W18" s="133"/>
      <c r="X18" s="133"/>
      <c r="Y18" s="133"/>
      <c r="Z18" s="133"/>
      <c r="AJ18" s="283"/>
      <c r="AK18" s="283"/>
      <c r="AL18" s="283"/>
      <c r="AM18" s="283"/>
      <c r="AN18" s="283"/>
    </row>
    <row r="19" spans="1:40" x14ac:dyDescent="0.3">
      <c r="A19" s="287"/>
      <c r="B19" s="427" t="s">
        <v>1111</v>
      </c>
      <c r="C19" s="433"/>
      <c r="D19" s="406">
        <f>D195</f>
        <v>596.98942018784214</v>
      </c>
      <c r="E19" s="406">
        <f t="shared" ref="E19:I19" si="18">E195</f>
        <v>452.05910792647188</v>
      </c>
      <c r="F19" s="406">
        <f t="shared" si="18"/>
        <v>304.27851653827628</v>
      </c>
      <c r="G19" s="406">
        <f t="shared" si="18"/>
        <v>307.21231141014823</v>
      </c>
      <c r="H19" s="406">
        <f t="shared" si="18"/>
        <v>310.17439336731343</v>
      </c>
      <c r="I19" s="406">
        <f t="shared" si="18"/>
        <v>313.16503514840196</v>
      </c>
      <c r="L19" s="835">
        <f>L195</f>
        <v>24.094492998781309</v>
      </c>
      <c r="M19" s="835">
        <f t="shared" ref="M19:Q19" si="19">M195</f>
        <v>18.245105595912406</v>
      </c>
      <c r="N19" s="835">
        <f t="shared" si="19"/>
        <v>12.280680927484831</v>
      </c>
      <c r="O19" s="835">
        <f t="shared" si="19"/>
        <v>12.399088888513583</v>
      </c>
      <c r="P19" s="835">
        <f t="shared" si="19"/>
        <v>12.518638516304771</v>
      </c>
      <c r="Q19" s="835">
        <f t="shared" si="19"/>
        <v>12.639340818589503</v>
      </c>
      <c r="R19" s="133"/>
      <c r="S19" s="133"/>
      <c r="T19" s="133"/>
      <c r="U19" s="133"/>
      <c r="V19" s="133"/>
      <c r="W19" s="133"/>
      <c r="X19" s="133"/>
      <c r="Y19" s="133"/>
      <c r="Z19" s="133"/>
      <c r="AJ19" s="283"/>
      <c r="AK19" s="283"/>
      <c r="AL19" s="283"/>
      <c r="AM19" s="283"/>
      <c r="AN19" s="283"/>
    </row>
    <row r="20" spans="1:40" x14ac:dyDescent="0.3">
      <c r="A20" s="287"/>
      <c r="B20" s="427" t="s">
        <v>1083</v>
      </c>
      <c r="C20" s="433"/>
      <c r="D20" s="406">
        <f>D212</f>
        <v>0</v>
      </c>
      <c r="E20" s="406">
        <f t="shared" ref="E20:I20" si="20">E212</f>
        <v>0</v>
      </c>
      <c r="F20" s="406">
        <f t="shared" si="20"/>
        <v>0</v>
      </c>
      <c r="G20" s="406">
        <f t="shared" si="20"/>
        <v>0</v>
      </c>
      <c r="H20" s="406">
        <f t="shared" si="20"/>
        <v>0</v>
      </c>
      <c r="I20" s="406">
        <f t="shared" si="20"/>
        <v>0</v>
      </c>
      <c r="L20" s="848">
        <f>L212</f>
        <v>0</v>
      </c>
      <c r="M20" s="848">
        <f t="shared" ref="M20:Q20" si="21">M212</f>
        <v>0</v>
      </c>
      <c r="N20" s="848">
        <f t="shared" si="21"/>
        <v>0</v>
      </c>
      <c r="O20" s="848">
        <f t="shared" si="21"/>
        <v>0</v>
      </c>
      <c r="P20" s="848">
        <f t="shared" si="21"/>
        <v>0</v>
      </c>
      <c r="Q20" s="848">
        <f t="shared" si="21"/>
        <v>0</v>
      </c>
      <c r="R20" s="133"/>
      <c r="S20" s="133"/>
      <c r="T20" s="133"/>
      <c r="U20" s="133"/>
      <c r="V20" s="133"/>
      <c r="W20" s="133"/>
      <c r="X20" s="133"/>
      <c r="Y20" s="133"/>
      <c r="Z20" s="133"/>
      <c r="AJ20" s="283"/>
      <c r="AK20" s="283"/>
      <c r="AL20" s="283"/>
      <c r="AM20" s="283"/>
      <c r="AN20" s="283"/>
    </row>
    <row r="21" spans="1:40" x14ac:dyDescent="0.3">
      <c r="A21" s="287"/>
      <c r="B21" s="428" t="s">
        <v>1112</v>
      </c>
      <c r="C21" s="414"/>
      <c r="D21" s="406">
        <f>D229</f>
        <v>0</v>
      </c>
      <c r="E21" s="406">
        <f t="shared" ref="E21:I21" si="22">E229</f>
        <v>0</v>
      </c>
      <c r="F21" s="406">
        <f t="shared" si="22"/>
        <v>0</v>
      </c>
      <c r="G21" s="406">
        <f t="shared" si="22"/>
        <v>0</v>
      </c>
      <c r="H21" s="406">
        <f t="shared" si="22"/>
        <v>0</v>
      </c>
      <c r="I21" s="406">
        <f t="shared" si="22"/>
        <v>0</v>
      </c>
      <c r="J21" s="133"/>
      <c r="K21" s="133"/>
      <c r="L21" s="835">
        <f>L229</f>
        <v>0</v>
      </c>
      <c r="M21" s="835">
        <f t="shared" ref="M21:Q21" si="23">M229</f>
        <v>0</v>
      </c>
      <c r="N21" s="835">
        <f t="shared" si="23"/>
        <v>0</v>
      </c>
      <c r="O21" s="835">
        <f t="shared" si="23"/>
        <v>0</v>
      </c>
      <c r="P21" s="835">
        <f t="shared" si="23"/>
        <v>0</v>
      </c>
      <c r="Q21" s="835">
        <f t="shared" si="23"/>
        <v>0</v>
      </c>
      <c r="R21" s="133"/>
      <c r="S21" s="133"/>
      <c r="T21" s="133"/>
      <c r="U21" s="133"/>
      <c r="V21" s="133"/>
      <c r="W21" s="133"/>
      <c r="X21" s="133"/>
      <c r="Y21" s="133"/>
      <c r="Z21" s="133"/>
    </row>
    <row r="22" spans="1:40" x14ac:dyDescent="0.3">
      <c r="A22" s="849"/>
      <c r="B22" s="865" t="s">
        <v>1114</v>
      </c>
      <c r="C22" s="855"/>
      <c r="D22" s="864">
        <f>D246</f>
        <v>0</v>
      </c>
      <c r="E22" s="864">
        <f t="shared" ref="E22:I22" si="24">E246</f>
        <v>0</v>
      </c>
      <c r="F22" s="864">
        <f t="shared" si="24"/>
        <v>0</v>
      </c>
      <c r="G22" s="864">
        <f t="shared" si="24"/>
        <v>0</v>
      </c>
      <c r="H22" s="864">
        <f t="shared" si="24"/>
        <v>0</v>
      </c>
      <c r="I22" s="864">
        <f t="shared" si="24"/>
        <v>0</v>
      </c>
      <c r="J22" s="133"/>
      <c r="K22" s="133"/>
      <c r="L22" s="835">
        <f>L246</f>
        <v>0</v>
      </c>
      <c r="M22" s="835">
        <f t="shared" ref="M22:Q22" si="25">M246</f>
        <v>0</v>
      </c>
      <c r="N22" s="835">
        <f t="shared" si="25"/>
        <v>0</v>
      </c>
      <c r="O22" s="835">
        <f t="shared" si="25"/>
        <v>0</v>
      </c>
      <c r="P22" s="835">
        <f t="shared" si="25"/>
        <v>0</v>
      </c>
      <c r="Q22" s="835">
        <f t="shared" si="25"/>
        <v>0</v>
      </c>
      <c r="R22" s="133"/>
      <c r="S22" s="133"/>
      <c r="T22" s="133"/>
      <c r="U22" s="133"/>
      <c r="V22" s="133"/>
      <c r="W22" s="133"/>
      <c r="X22" s="133"/>
      <c r="Y22" s="133"/>
      <c r="Z22" s="133"/>
    </row>
    <row r="23" spans="1:40" x14ac:dyDescent="0.3">
      <c r="A23" s="849"/>
      <c r="B23" s="863" t="s">
        <v>1086</v>
      </c>
      <c r="C23" s="855"/>
      <c r="D23" s="864">
        <f>D263</f>
        <v>0</v>
      </c>
      <c r="E23" s="864">
        <f t="shared" ref="E23:I23" si="26">E263</f>
        <v>0</v>
      </c>
      <c r="F23" s="864">
        <f t="shared" si="26"/>
        <v>0</v>
      </c>
      <c r="G23" s="864">
        <f t="shared" si="26"/>
        <v>0</v>
      </c>
      <c r="H23" s="864">
        <f t="shared" si="26"/>
        <v>0</v>
      </c>
      <c r="I23" s="864">
        <f t="shared" si="26"/>
        <v>0</v>
      </c>
      <c r="J23" s="133"/>
      <c r="K23" s="133"/>
      <c r="L23" s="835">
        <f>L263</f>
        <v>0</v>
      </c>
      <c r="M23" s="835">
        <f t="shared" ref="M23:Q23" si="27">M263</f>
        <v>0</v>
      </c>
      <c r="N23" s="835">
        <f t="shared" si="27"/>
        <v>0</v>
      </c>
      <c r="O23" s="835">
        <f t="shared" si="27"/>
        <v>0</v>
      </c>
      <c r="P23" s="835">
        <f t="shared" si="27"/>
        <v>0</v>
      </c>
      <c r="Q23" s="835">
        <f t="shared" si="27"/>
        <v>0</v>
      </c>
      <c r="R23" s="133"/>
      <c r="S23" s="133"/>
      <c r="T23" s="133"/>
      <c r="U23" s="133"/>
      <c r="V23" s="133"/>
      <c r="W23" s="133"/>
      <c r="X23" s="133"/>
      <c r="Y23" s="133"/>
      <c r="Z23" s="133"/>
    </row>
    <row r="24" spans="1:40" x14ac:dyDescent="0.3">
      <c r="A24" s="288"/>
      <c r="B24" s="429" t="str">
        <f>B267</f>
        <v>Adverse events, various (cases)</v>
      </c>
      <c r="C24" s="411"/>
      <c r="D24" s="407">
        <f>D295</f>
        <v>1587.9353515455343</v>
      </c>
      <c r="E24" s="407">
        <f t="shared" ref="E24:I24" si="28">E295</f>
        <v>1458.1903353706086</v>
      </c>
      <c r="F24" s="407">
        <f t="shared" si="28"/>
        <v>1454.9066675414404</v>
      </c>
      <c r="G24" s="407">
        <f t="shared" si="28"/>
        <v>1338.5788120336538</v>
      </c>
      <c r="H24" s="407">
        <f t="shared" si="28"/>
        <v>1351.4851312145772</v>
      </c>
      <c r="I24" s="407">
        <f t="shared" si="28"/>
        <v>1364.5158906401105</v>
      </c>
      <c r="J24" s="133"/>
      <c r="K24" s="133"/>
      <c r="L24" s="835">
        <f>L295</f>
        <v>5576.2382194258016</v>
      </c>
      <c r="M24" s="835">
        <f>M295</f>
        <v>5120.621989665271</v>
      </c>
      <c r="N24" s="835">
        <f t="shared" ref="N24:Q24" si="29">N295</f>
        <v>5109.0909698217456</v>
      </c>
      <c r="O24" s="835">
        <f t="shared" si="29"/>
        <v>4700.5908169439781</v>
      </c>
      <c r="P24" s="835">
        <f t="shared" si="29"/>
        <v>4745.9130085676634</v>
      </c>
      <c r="Q24" s="835">
        <f t="shared" si="29"/>
        <v>4791.6721880368286</v>
      </c>
      <c r="R24" s="133"/>
      <c r="S24" s="133"/>
      <c r="T24" s="133"/>
      <c r="U24" s="133"/>
      <c r="V24" s="133"/>
      <c r="W24" s="133"/>
      <c r="X24" s="133"/>
      <c r="Y24" s="133"/>
      <c r="Z24" s="133"/>
    </row>
    <row r="25" spans="1:40" x14ac:dyDescent="0.3">
      <c r="B25" s="246"/>
      <c r="D25" s="283"/>
      <c r="F25" s="133"/>
      <c r="G25" s="133"/>
      <c r="H25" s="133"/>
      <c r="I25" s="133"/>
      <c r="J25" s="133"/>
      <c r="K25" s="133"/>
      <c r="L25" s="868">
        <f>SUM(L10:L24)</f>
        <v>5745.2598972942205</v>
      </c>
      <c r="M25" s="868">
        <f t="shared" ref="M25:Q25" si="30">SUM(M10:M24)</f>
        <v>5248.6105039230133</v>
      </c>
      <c r="N25" s="868">
        <f t="shared" si="30"/>
        <v>5195.2393397349524</v>
      </c>
      <c r="O25" s="868">
        <f t="shared" si="30"/>
        <v>4787.5698128532194</v>
      </c>
      <c r="P25" s="868">
        <f t="shared" si="30"/>
        <v>4833.7306392088667</v>
      </c>
      <c r="Q25" s="868">
        <f t="shared" si="30"/>
        <v>4880.3365393646136</v>
      </c>
      <c r="R25" s="133"/>
      <c r="S25" s="133"/>
      <c r="T25" s="133"/>
      <c r="U25" s="133"/>
      <c r="V25" s="133"/>
      <c r="W25" s="133"/>
      <c r="X25" s="133"/>
      <c r="Y25" s="133"/>
      <c r="Z25" s="133"/>
    </row>
    <row r="26" spans="1:40" x14ac:dyDescent="0.3">
      <c r="B26" s="307"/>
      <c r="C26" s="307"/>
      <c r="D26" s="307"/>
      <c r="E26" s="307"/>
      <c r="F26" s="307"/>
      <c r="G26" s="307"/>
      <c r="H26" s="307"/>
      <c r="I26" s="307"/>
      <c r="J26" s="307"/>
      <c r="K26" s="307"/>
      <c r="L26" s="307"/>
      <c r="P26" s="133"/>
      <c r="Q26" s="133"/>
      <c r="R26" s="133"/>
      <c r="S26" s="133"/>
      <c r="V26" s="133"/>
      <c r="W26" s="133"/>
      <c r="X26" s="133"/>
      <c r="Y26" s="133"/>
      <c r="Z26" s="133"/>
      <c r="AJ26" s="283"/>
      <c r="AK26" s="283"/>
      <c r="AL26" s="283"/>
      <c r="AM26" s="283"/>
      <c r="AN26" s="283"/>
    </row>
    <row r="27" spans="1:40" x14ac:dyDescent="0.3">
      <c r="B27" s="358" t="s">
        <v>839</v>
      </c>
      <c r="C27" s="359"/>
      <c r="D27" s="359"/>
      <c r="E27" s="360"/>
      <c r="F27" s="359"/>
      <c r="G27" s="361"/>
      <c r="H27" s="362"/>
      <c r="I27" s="362"/>
      <c r="J27" s="362"/>
      <c r="K27" s="362"/>
      <c r="L27" s="362"/>
      <c r="M27" s="362"/>
      <c r="N27" s="362"/>
      <c r="O27" s="362"/>
      <c r="P27" s="362"/>
      <c r="Q27" s="363"/>
      <c r="R27" s="133"/>
      <c r="S27" s="133"/>
      <c r="T27" s="133"/>
      <c r="U27" s="133"/>
      <c r="V27" s="133"/>
      <c r="W27" s="133"/>
      <c r="X27" s="133"/>
      <c r="Y27" s="133"/>
      <c r="Z27" s="133"/>
      <c r="AJ27" s="283"/>
      <c r="AK27" s="283"/>
      <c r="AL27" s="283"/>
      <c r="AM27" s="283"/>
      <c r="AN27" s="283"/>
    </row>
    <row r="28" spans="1:40" x14ac:dyDescent="0.3">
      <c r="A28" s="285"/>
      <c r="B28" s="539" t="s">
        <v>710</v>
      </c>
      <c r="C28" s="534"/>
      <c r="D28" s="535"/>
      <c r="E28" s="536"/>
      <c r="F28" s="285"/>
      <c r="G28" s="285"/>
      <c r="H28" s="217"/>
      <c r="I28" s="217"/>
      <c r="J28" s="217"/>
      <c r="K28" s="217"/>
      <c r="L28" s="217"/>
      <c r="M28" s="217"/>
      <c r="N28" s="217"/>
      <c r="O28" s="217"/>
      <c r="P28" s="217"/>
      <c r="Q28" s="217"/>
      <c r="R28" s="133"/>
      <c r="S28" s="133"/>
      <c r="T28" s="133"/>
      <c r="U28" s="133"/>
      <c r="V28" s="133"/>
      <c r="W28" s="133"/>
      <c r="X28" s="133"/>
      <c r="Y28" s="133"/>
      <c r="Z28" s="133"/>
      <c r="AJ28" s="283"/>
      <c r="AK28" s="283"/>
      <c r="AL28" s="283"/>
      <c r="AM28" s="283"/>
      <c r="AN28" s="283"/>
    </row>
    <row r="29" spans="1:40" x14ac:dyDescent="0.3">
      <c r="A29" s="532"/>
      <c r="B29" s="537" t="s">
        <v>1102</v>
      </c>
      <c r="C29" s="378"/>
      <c r="D29" s="378"/>
      <c r="E29" s="378"/>
      <c r="F29" s="378"/>
      <c r="G29" s="378"/>
      <c r="H29" s="378"/>
      <c r="I29" s="216"/>
      <c r="J29" s="217"/>
      <c r="K29" s="217"/>
      <c r="L29" s="217"/>
      <c r="M29" s="217"/>
      <c r="N29" s="217"/>
      <c r="O29" s="217"/>
      <c r="P29" s="217"/>
      <c r="Q29" s="217"/>
      <c r="R29" s="133"/>
      <c r="S29" s="133"/>
      <c r="T29" s="133"/>
      <c r="U29" s="133"/>
      <c r="V29" s="133"/>
      <c r="W29" s="133"/>
      <c r="X29" s="133"/>
      <c r="Y29" s="133"/>
      <c r="Z29" s="133"/>
      <c r="AJ29" s="283"/>
      <c r="AK29" s="283"/>
      <c r="AL29" s="283"/>
      <c r="AM29" s="283"/>
      <c r="AN29" s="283"/>
    </row>
    <row r="30" spans="1:40" ht="43.2" x14ac:dyDescent="0.3">
      <c r="A30" s="532"/>
      <c r="B30" s="306" t="s">
        <v>766</v>
      </c>
      <c r="C30" s="166" t="s">
        <v>1099</v>
      </c>
      <c r="D30" s="402" t="s">
        <v>831</v>
      </c>
      <c r="E30" s="254" t="s">
        <v>676</v>
      </c>
      <c r="F30" s="254" t="s">
        <v>677</v>
      </c>
      <c r="G30" s="165" t="s">
        <v>803</v>
      </c>
      <c r="H30" s="165" t="s">
        <v>804</v>
      </c>
      <c r="I30" s="254" t="s">
        <v>805</v>
      </c>
      <c r="J30" s="538"/>
      <c r="K30" s="531" t="s">
        <v>1100</v>
      </c>
      <c r="L30" s="402" t="s">
        <v>831</v>
      </c>
      <c r="M30" s="521" t="s">
        <v>676</v>
      </c>
      <c r="N30" s="521" t="s">
        <v>677</v>
      </c>
      <c r="O30" s="403" t="s">
        <v>803</v>
      </c>
      <c r="P30" s="403" t="s">
        <v>804</v>
      </c>
      <c r="Q30" s="521" t="s">
        <v>805</v>
      </c>
      <c r="R30" s="133"/>
      <c r="S30" s="133"/>
      <c r="T30" s="133"/>
      <c r="U30" s="133"/>
      <c r="V30" s="133"/>
      <c r="W30" s="133"/>
      <c r="X30" s="133"/>
      <c r="Y30" s="133"/>
      <c r="Z30" s="133"/>
      <c r="AJ30" s="283"/>
      <c r="AK30" s="283"/>
      <c r="AL30" s="283"/>
      <c r="AM30" s="283"/>
      <c r="AN30" s="283"/>
    </row>
    <row r="31" spans="1:40" x14ac:dyDescent="0.3">
      <c r="A31" s="532"/>
      <c r="B31" s="334" t="s">
        <v>1065</v>
      </c>
      <c r="C31" s="149">
        <f>'Inputs and eligible population'!F97</f>
        <v>0</v>
      </c>
      <c r="D31" s="128">
        <f>Summary!C16*'Capacity (local prices)'!$C$31*'Inputs and eligible population'!$E$50</f>
        <v>0</v>
      </c>
      <c r="E31" s="128">
        <f>Summary!D16*'Capacity (local prices)'!$C$31*'Inputs and eligible population'!$E$50</f>
        <v>0</v>
      </c>
      <c r="F31" s="128">
        <f>Summary!E16*'Capacity (local prices)'!$C$31*'Inputs and eligible population'!$E$50</f>
        <v>0</v>
      </c>
      <c r="G31" s="128">
        <f>Summary!F16*'Capacity (local prices)'!$C$31*'Inputs and eligible population'!$E$50</f>
        <v>0</v>
      </c>
      <c r="H31" s="128">
        <f>Summary!G16*'Capacity (local prices)'!$C$31*'Inputs and eligible population'!$E$50</f>
        <v>0</v>
      </c>
      <c r="I31" s="128">
        <f>Summary!H16*'Capacity (local prices)'!$C$31*'Inputs and eligible population'!$E$50</f>
        <v>0</v>
      </c>
      <c r="J31" s="538"/>
      <c r="K31" s="544">
        <f>'Inputs and eligible population'!$N$98*'Inputs and eligible population'!F$98/60</f>
        <v>0</v>
      </c>
      <c r="L31" s="546">
        <f>$K31/1000*D31</f>
        <v>0</v>
      </c>
      <c r="M31" s="546">
        <f t="shared" ref="M31:M41" si="31">$K31/1000*E31</f>
        <v>0</v>
      </c>
      <c r="N31" s="546">
        <f t="shared" ref="N31:N41" si="32">$K31/1000*F31</f>
        <v>0</v>
      </c>
      <c r="O31" s="546">
        <f t="shared" ref="O31:O41" si="33">$K31/1000*G31</f>
        <v>0</v>
      </c>
      <c r="P31" s="546">
        <f t="shared" ref="P31:P41" si="34">$K31/1000*H31</f>
        <v>0</v>
      </c>
      <c r="Q31" s="546">
        <f t="shared" ref="Q31:Q41" si="35">$K31/1000*I31</f>
        <v>0</v>
      </c>
      <c r="R31" s="133"/>
      <c r="S31" s="133"/>
      <c r="T31" s="133"/>
      <c r="U31" s="133"/>
      <c r="V31" s="133"/>
      <c r="W31" s="133"/>
      <c r="X31" s="133"/>
      <c r="Y31" s="133"/>
      <c r="Z31" s="133"/>
      <c r="AJ31" s="283"/>
      <c r="AK31" s="283"/>
      <c r="AL31" s="283"/>
      <c r="AM31" s="283"/>
      <c r="AN31" s="283"/>
    </row>
    <row r="32" spans="1:40" x14ac:dyDescent="0.3">
      <c r="A32" s="532"/>
      <c r="B32" s="334" t="s">
        <v>1064</v>
      </c>
      <c r="C32" s="149">
        <f>'Inputs and eligible population'!G97</f>
        <v>0</v>
      </c>
      <c r="D32" s="128">
        <f>Summary!C16*'Capacity (local prices)'!$C$32*'Inputs and eligible population'!$E$51</f>
        <v>0</v>
      </c>
      <c r="E32" s="128">
        <f>Summary!D16*'Capacity (local prices)'!$C$32*'Inputs and eligible population'!$E$51</f>
        <v>0</v>
      </c>
      <c r="F32" s="128">
        <f>Summary!E16*'Capacity (local prices)'!$C$32*'Inputs and eligible population'!$E$51</f>
        <v>0</v>
      </c>
      <c r="G32" s="128">
        <f>Summary!F16*'Capacity (local prices)'!$C$32*'Inputs and eligible population'!$E$51</f>
        <v>0</v>
      </c>
      <c r="H32" s="128">
        <f>Summary!G16*'Capacity (local prices)'!$C$32*'Inputs and eligible population'!$E$51</f>
        <v>0</v>
      </c>
      <c r="I32" s="128">
        <f>Summary!H16*'Capacity (local prices)'!$C$32*'Inputs and eligible population'!$E$51</f>
        <v>0</v>
      </c>
      <c r="J32" s="538"/>
      <c r="K32" s="544">
        <f>'Inputs and eligible population'!$N$98*'Inputs and eligible population'!G$98/60</f>
        <v>0</v>
      </c>
      <c r="L32" s="546">
        <f t="shared" ref="L32:L41" si="36">$K32/1000*D32</f>
        <v>0</v>
      </c>
      <c r="M32" s="546">
        <f t="shared" si="31"/>
        <v>0</v>
      </c>
      <c r="N32" s="546">
        <f t="shared" si="32"/>
        <v>0</v>
      </c>
      <c r="O32" s="546">
        <f t="shared" si="33"/>
        <v>0</v>
      </c>
      <c r="P32" s="546">
        <f t="shared" si="34"/>
        <v>0</v>
      </c>
      <c r="Q32" s="546">
        <f t="shared" si="35"/>
        <v>0</v>
      </c>
      <c r="R32" s="133"/>
      <c r="S32" s="133"/>
      <c r="T32" s="133"/>
      <c r="U32" s="133"/>
      <c r="V32" s="133"/>
      <c r="W32" s="133"/>
      <c r="X32" s="133"/>
      <c r="Y32" s="133"/>
      <c r="Z32" s="133"/>
      <c r="AJ32" s="283"/>
      <c r="AK32" s="283"/>
      <c r="AL32" s="283"/>
      <c r="AM32" s="283"/>
      <c r="AN32" s="283"/>
    </row>
    <row r="33" spans="1:40" x14ac:dyDescent="0.3">
      <c r="A33" s="532"/>
      <c r="B33" s="334" t="s">
        <v>1162</v>
      </c>
      <c r="C33" s="149">
        <f>'Inputs and eligible population'!$H$97</f>
        <v>0</v>
      </c>
      <c r="D33" s="128">
        <f>'Inputs and eligible population'!$E$52*'Inputs and eligible population'!$L$84*'Capacity (local prices)'!$C$33</f>
        <v>0</v>
      </c>
      <c r="E33" s="128">
        <f>'Inputs and eligible population'!$E$52*'Inputs and eligible population'!$M$84*'Capacity (local prices)'!$C33</f>
        <v>0</v>
      </c>
      <c r="F33" s="128">
        <f>'Inputs and eligible population'!$E$52*'Inputs and eligible population'!$N$84*'Capacity (local prices)'!$C33</f>
        <v>0</v>
      </c>
      <c r="G33" s="128">
        <f>'Inputs and eligible population'!$E$52*'Inputs and eligible population'!$O$84*'Capacity (local prices)'!$C33</f>
        <v>0</v>
      </c>
      <c r="H33" s="128">
        <f>'Inputs and eligible population'!$E$52*'Inputs and eligible population'!$P$84*'Capacity (local prices)'!$C33</f>
        <v>0</v>
      </c>
      <c r="I33" s="128">
        <f>'Inputs and eligible population'!$E$52*'Inputs and eligible population'!$Q$84*'Capacity (local prices)'!$C33</f>
        <v>0</v>
      </c>
      <c r="J33" s="538"/>
      <c r="K33" s="544">
        <f>'Inputs and eligible population'!$N$98*'Inputs and eligible population'!H$98/60</f>
        <v>0</v>
      </c>
      <c r="L33" s="546">
        <f t="shared" si="36"/>
        <v>0</v>
      </c>
      <c r="M33" s="546">
        <f t="shared" si="31"/>
        <v>0</v>
      </c>
      <c r="N33" s="546">
        <f t="shared" si="32"/>
        <v>0</v>
      </c>
      <c r="O33" s="546">
        <f t="shared" si="33"/>
        <v>0</v>
      </c>
      <c r="P33" s="546">
        <f t="shared" si="34"/>
        <v>0</v>
      </c>
      <c r="Q33" s="546">
        <f t="shared" si="35"/>
        <v>0</v>
      </c>
      <c r="R33" s="133"/>
      <c r="S33" s="133"/>
      <c r="T33" s="133"/>
      <c r="U33" s="133"/>
      <c r="V33" s="133"/>
      <c r="W33" s="133"/>
      <c r="X33" s="133"/>
      <c r="Y33" s="133"/>
      <c r="Z33" s="133"/>
      <c r="AJ33" s="283"/>
      <c r="AK33" s="283"/>
      <c r="AL33" s="283"/>
      <c r="AM33" s="283"/>
      <c r="AN33" s="283"/>
    </row>
    <row r="34" spans="1:40" x14ac:dyDescent="0.3">
      <c r="A34" s="532"/>
      <c r="B34" s="334" t="s">
        <v>1163</v>
      </c>
      <c r="C34" s="149">
        <f>'Inputs and eligible population'!$H$97</f>
        <v>0</v>
      </c>
      <c r="D34" s="128">
        <f>'Inputs and eligible population'!$F$52*'Inputs and eligible population'!$L$84*'Capacity (local prices)'!$C34</f>
        <v>0</v>
      </c>
      <c r="E34" s="128">
        <f>'Inputs and eligible population'!$F$52*'Inputs and eligible population'!$L$84*'Capacity (local prices)'!$C34</f>
        <v>0</v>
      </c>
      <c r="F34" s="128">
        <f>'Inputs and eligible population'!$F$52*'Inputs and eligible population'!$M$84*'Capacity (local prices)'!$C34</f>
        <v>0</v>
      </c>
      <c r="G34" s="128">
        <f>'Inputs and eligible population'!$F$52*'Inputs and eligible population'!$N$84*'Capacity (local prices)'!$C34</f>
        <v>0</v>
      </c>
      <c r="H34" s="128">
        <f>'Inputs and eligible population'!$F$52*'Inputs and eligible population'!$O$84*'Capacity (local prices)'!$C34</f>
        <v>0</v>
      </c>
      <c r="I34" s="128">
        <f>'Inputs and eligible population'!$F$52*'Inputs and eligible population'!$P$84*'Capacity (local prices)'!$C34</f>
        <v>0</v>
      </c>
      <c r="J34" s="538"/>
      <c r="K34" s="544">
        <f>'Inputs and eligible population'!$N$98*'Inputs and eligible population'!H$98/60</f>
        <v>0</v>
      </c>
      <c r="L34" s="546">
        <f t="shared" si="36"/>
        <v>0</v>
      </c>
      <c r="M34" s="546">
        <f t="shared" si="31"/>
        <v>0</v>
      </c>
      <c r="N34" s="546">
        <f t="shared" si="32"/>
        <v>0</v>
      </c>
      <c r="O34" s="546">
        <f t="shared" si="33"/>
        <v>0</v>
      </c>
      <c r="P34" s="546">
        <f t="shared" si="34"/>
        <v>0</v>
      </c>
      <c r="Q34" s="546">
        <f t="shared" si="35"/>
        <v>0</v>
      </c>
      <c r="R34" s="133"/>
      <c r="S34" s="133"/>
      <c r="T34" s="133"/>
      <c r="U34" s="133"/>
      <c r="V34" s="133"/>
      <c r="W34" s="133"/>
      <c r="X34" s="133"/>
      <c r="Y34" s="133"/>
      <c r="Z34" s="133"/>
      <c r="AJ34" s="283"/>
      <c r="AK34" s="283"/>
      <c r="AL34" s="283"/>
      <c r="AM34" s="283"/>
      <c r="AN34" s="283"/>
    </row>
    <row r="35" spans="1:40" x14ac:dyDescent="0.3">
      <c r="A35" s="532"/>
      <c r="B35" s="334" t="s">
        <v>1164</v>
      </c>
      <c r="C35" s="149">
        <f>'Inputs and eligible population'!$H$97</f>
        <v>0</v>
      </c>
      <c r="D35" s="128">
        <f>'Inputs and eligible population'!$G$52*'Inputs and eligible population'!$L$84*'Capacity (local prices)'!$C35</f>
        <v>0</v>
      </c>
      <c r="E35" s="128">
        <f>'Inputs and eligible population'!$G$52*'Inputs and eligible population'!$L$84*'Capacity (local prices)'!$C35</f>
        <v>0</v>
      </c>
      <c r="F35" s="128">
        <f>'Inputs and eligible population'!$G$52*'Inputs and eligible population'!$L$84*'Capacity (local prices)'!$C35</f>
        <v>0</v>
      </c>
      <c r="G35" s="128">
        <f>'Inputs and eligible population'!$G$52*'Inputs and eligible population'!$M$84*'Capacity (local prices)'!$C35</f>
        <v>0</v>
      </c>
      <c r="H35" s="128">
        <f>'Inputs and eligible population'!$G$52*'Inputs and eligible population'!$N$84*'Capacity (local prices)'!$C35</f>
        <v>0</v>
      </c>
      <c r="I35" s="128">
        <f>'Inputs and eligible population'!$G$52*'Inputs and eligible population'!$O$84*'Capacity (local prices)'!$C35</f>
        <v>0</v>
      </c>
      <c r="J35" s="538"/>
      <c r="K35" s="544">
        <f>'Inputs and eligible population'!$N$98*'Inputs and eligible population'!H$98/60</f>
        <v>0</v>
      </c>
      <c r="L35" s="546">
        <f t="shared" si="36"/>
        <v>0</v>
      </c>
      <c r="M35" s="546">
        <f t="shared" si="31"/>
        <v>0</v>
      </c>
      <c r="N35" s="546">
        <f t="shared" si="32"/>
        <v>0</v>
      </c>
      <c r="O35" s="546">
        <f t="shared" si="33"/>
        <v>0</v>
      </c>
      <c r="P35" s="546">
        <f t="shared" si="34"/>
        <v>0</v>
      </c>
      <c r="Q35" s="546">
        <f t="shared" si="35"/>
        <v>0</v>
      </c>
      <c r="R35" s="133"/>
      <c r="S35" s="133"/>
      <c r="T35" s="133"/>
      <c r="U35" s="133"/>
      <c r="V35" s="133"/>
      <c r="W35" s="133"/>
      <c r="X35" s="133"/>
      <c r="Y35" s="133"/>
      <c r="Z35" s="133"/>
      <c r="AJ35" s="283"/>
      <c r="AK35" s="283"/>
      <c r="AL35" s="283"/>
      <c r="AM35" s="283"/>
      <c r="AN35" s="283"/>
    </row>
    <row r="36" spans="1:40" x14ac:dyDescent="0.3">
      <c r="A36" s="532"/>
      <c r="B36" s="334" t="s">
        <v>1066</v>
      </c>
      <c r="C36" s="149">
        <f>'Inputs and eligible population'!I97</f>
        <v>0</v>
      </c>
      <c r="D36" s="128">
        <f>'Financial impact (cash)'!D15*$C$36*'Inputs and eligible population'!$E$53</f>
        <v>0</v>
      </c>
      <c r="E36" s="128">
        <f>'Financial impact (cash)'!E15*$C$36*'Inputs and eligible population'!$E$53</f>
        <v>0</v>
      </c>
      <c r="F36" s="128">
        <f>'Financial impact (cash)'!F15*$C$36*'Inputs and eligible population'!$E$53</f>
        <v>0</v>
      </c>
      <c r="G36" s="128">
        <f>'Financial impact (cash)'!G15*$C$36*'Inputs and eligible population'!$E$53</f>
        <v>0</v>
      </c>
      <c r="H36" s="128">
        <f>'Financial impact (cash)'!H15*$C$36*'Inputs and eligible population'!$E$53</f>
        <v>0</v>
      </c>
      <c r="I36" s="128">
        <f>'Financial impact (cash)'!I15*$C$36*'Inputs and eligible population'!$E$53</f>
        <v>0</v>
      </c>
      <c r="J36" s="538"/>
      <c r="K36" s="544">
        <f>'Inputs and eligible population'!$N$98*'Inputs and eligible population'!I$98/60</f>
        <v>0</v>
      </c>
      <c r="L36" s="546">
        <f t="shared" si="36"/>
        <v>0</v>
      </c>
      <c r="M36" s="546">
        <f t="shared" si="31"/>
        <v>0</v>
      </c>
      <c r="N36" s="546">
        <f t="shared" si="32"/>
        <v>0</v>
      </c>
      <c r="O36" s="546">
        <f t="shared" si="33"/>
        <v>0</v>
      </c>
      <c r="P36" s="546">
        <f t="shared" si="34"/>
        <v>0</v>
      </c>
      <c r="Q36" s="546">
        <f t="shared" si="35"/>
        <v>0</v>
      </c>
      <c r="R36" s="133"/>
      <c r="S36" s="133"/>
      <c r="T36" s="133"/>
      <c r="U36" s="133"/>
      <c r="V36" s="133"/>
      <c r="W36" s="133"/>
      <c r="X36" s="133"/>
      <c r="Y36" s="133"/>
      <c r="Z36" s="133"/>
      <c r="AJ36" s="283"/>
      <c r="AK36" s="283"/>
      <c r="AL36" s="283"/>
      <c r="AM36" s="283"/>
      <c r="AN36" s="283"/>
    </row>
    <row r="37" spans="1:40" x14ac:dyDescent="0.3">
      <c r="A37" s="532"/>
      <c r="B37" s="334" t="s">
        <v>1067</v>
      </c>
      <c r="C37" s="149">
        <f>'Inputs and eligible population'!J97</f>
        <v>0</v>
      </c>
      <c r="D37" s="128">
        <f>'Financial impact (cash)'!D15*$C$37*'Inputs and eligible population'!$E$54</f>
        <v>0</v>
      </c>
      <c r="E37" s="128">
        <f>'Financial impact (cash)'!E15*$C$37*'Inputs and eligible population'!$E$54</f>
        <v>0</v>
      </c>
      <c r="F37" s="128">
        <f>'Financial impact (cash)'!F15*$C$37*'Inputs and eligible population'!$E$54</f>
        <v>0</v>
      </c>
      <c r="G37" s="128">
        <f>'Financial impact (cash)'!G15*$C$37*'Inputs and eligible population'!$E$54</f>
        <v>0</v>
      </c>
      <c r="H37" s="128">
        <f>'Financial impact (cash)'!H15*$C$37*'Inputs and eligible population'!$E$54</f>
        <v>0</v>
      </c>
      <c r="I37" s="128">
        <f>'Financial impact (cash)'!I15*$C$37*'Inputs and eligible population'!$E$54</f>
        <v>0</v>
      </c>
      <c r="J37" s="538"/>
      <c r="K37" s="544">
        <f>'Inputs and eligible population'!$N$98*'Inputs and eligible population'!J$98/60</f>
        <v>0</v>
      </c>
      <c r="L37" s="546">
        <f t="shared" si="36"/>
        <v>0</v>
      </c>
      <c r="M37" s="546">
        <f t="shared" si="31"/>
        <v>0</v>
      </c>
      <c r="N37" s="546">
        <f t="shared" si="32"/>
        <v>0</v>
      </c>
      <c r="O37" s="546">
        <f t="shared" si="33"/>
        <v>0</v>
      </c>
      <c r="P37" s="546">
        <f t="shared" si="34"/>
        <v>0</v>
      </c>
      <c r="Q37" s="546">
        <f t="shared" si="35"/>
        <v>0</v>
      </c>
      <c r="R37" s="133"/>
      <c r="S37" s="133"/>
      <c r="T37" s="133"/>
      <c r="U37" s="133"/>
      <c r="V37" s="133"/>
      <c r="W37" s="133"/>
      <c r="X37" s="133"/>
      <c r="Y37" s="133"/>
      <c r="Z37" s="133"/>
      <c r="AJ37" s="283"/>
      <c r="AK37" s="283"/>
      <c r="AL37" s="283"/>
      <c r="AM37" s="283"/>
      <c r="AN37" s="283"/>
    </row>
    <row r="38" spans="1:40" x14ac:dyDescent="0.3">
      <c r="A38" s="532"/>
      <c r="B38" s="334" t="s">
        <v>1165</v>
      </c>
      <c r="C38" s="149">
        <f>'Inputs and eligible population'!$K$97</f>
        <v>0</v>
      </c>
      <c r="D38" s="128">
        <f>Summary!$C$17*'Capacity (local prices)'!$C38*'Inputs and eligible population'!$E$55</f>
        <v>0</v>
      </c>
      <c r="E38" s="128">
        <f>(Summary!$D$17*'Capacity (local prices)'!$C38*'Inputs and eligible population'!$E$55)</f>
        <v>0</v>
      </c>
      <c r="F38" s="128">
        <f>(Summary!$E$17*'Capacity (local prices)'!$C38*'Inputs and eligible population'!$E$55)</f>
        <v>0</v>
      </c>
      <c r="G38" s="128">
        <f>(Summary!$F$17*'Capacity (local prices)'!$C38*'Inputs and eligible population'!$E$55)</f>
        <v>0</v>
      </c>
      <c r="H38" s="128">
        <f>(Summary!$G$17*'Capacity (local prices)'!$C38*'Inputs and eligible population'!$E$55)</f>
        <v>0</v>
      </c>
      <c r="I38" s="128">
        <f>(Summary!$H$17*'Capacity (local prices)'!$C38*'Inputs and eligible population'!$E$55)</f>
        <v>0</v>
      </c>
      <c r="J38" s="538"/>
      <c r="K38" s="544">
        <f>'Inputs and eligible population'!$N$98*'Inputs and eligible population'!K$98/60</f>
        <v>0</v>
      </c>
      <c r="L38" s="546">
        <f t="shared" si="36"/>
        <v>0</v>
      </c>
      <c r="M38" s="546">
        <f t="shared" si="31"/>
        <v>0</v>
      </c>
      <c r="N38" s="546">
        <f t="shared" si="32"/>
        <v>0</v>
      </c>
      <c r="O38" s="546">
        <f t="shared" si="33"/>
        <v>0</v>
      </c>
      <c r="P38" s="546">
        <f t="shared" si="34"/>
        <v>0</v>
      </c>
      <c r="Q38" s="546">
        <f t="shared" si="35"/>
        <v>0</v>
      </c>
      <c r="R38" s="133"/>
      <c r="S38" s="133"/>
      <c r="T38" s="133"/>
      <c r="U38" s="133"/>
      <c r="V38" s="133"/>
      <c r="W38" s="133"/>
      <c r="X38" s="133"/>
      <c r="Y38" s="133"/>
      <c r="Z38" s="133"/>
      <c r="AJ38" s="283"/>
      <c r="AK38" s="283"/>
      <c r="AL38" s="283"/>
      <c r="AM38" s="283"/>
      <c r="AN38" s="283"/>
    </row>
    <row r="39" spans="1:40" x14ac:dyDescent="0.3">
      <c r="A39" s="532"/>
      <c r="B39" s="334" t="s">
        <v>1166</v>
      </c>
      <c r="C39" s="149">
        <f>'Inputs and eligible population'!$K$97</f>
        <v>0</v>
      </c>
      <c r="D39" s="128">
        <f>Summary!$C$17*'Capacity (local prices)'!$C38*'Inputs and eligible population'!$F$55</f>
        <v>0</v>
      </c>
      <c r="E39" s="128">
        <f>Summary!$C$17*'Capacity (local prices)'!$C38*'Inputs and eligible population'!$F$55</f>
        <v>0</v>
      </c>
      <c r="F39" s="128">
        <f>(Summary!$D$17*'Capacity (local prices)'!$C38*'Inputs and eligible population'!$F$55)</f>
        <v>0</v>
      </c>
      <c r="G39" s="128">
        <f>(Summary!$E$17*'Capacity (local prices)'!$C38*'Inputs and eligible population'!$F$55)</f>
        <v>0</v>
      </c>
      <c r="H39" s="128">
        <f>(Summary!$F$17*'Capacity (local prices)'!$C38*'Inputs and eligible population'!$F$55)</f>
        <v>0</v>
      </c>
      <c r="I39" s="128">
        <f>(Summary!$G$17*'Capacity (local prices)'!$C38*'Inputs and eligible population'!$F$55)</f>
        <v>0</v>
      </c>
      <c r="J39" s="538"/>
      <c r="K39" s="544">
        <f>'Inputs and eligible population'!$N$98*'Inputs and eligible population'!H$98/60</f>
        <v>0</v>
      </c>
      <c r="L39" s="546">
        <f t="shared" si="36"/>
        <v>0</v>
      </c>
      <c r="M39" s="546">
        <f t="shared" si="31"/>
        <v>0</v>
      </c>
      <c r="N39" s="546">
        <f t="shared" si="32"/>
        <v>0</v>
      </c>
      <c r="O39" s="546">
        <f t="shared" si="33"/>
        <v>0</v>
      </c>
      <c r="P39" s="546">
        <f t="shared" si="34"/>
        <v>0</v>
      </c>
      <c r="Q39" s="546">
        <f t="shared" si="35"/>
        <v>0</v>
      </c>
      <c r="R39" s="133"/>
      <c r="S39" s="133"/>
      <c r="T39" s="133"/>
      <c r="U39" s="133"/>
      <c r="V39" s="133"/>
      <c r="W39" s="133"/>
      <c r="X39" s="133"/>
      <c r="Y39" s="133"/>
      <c r="Z39" s="133"/>
      <c r="AJ39" s="283"/>
      <c r="AK39" s="283"/>
      <c r="AL39" s="283"/>
      <c r="AM39" s="283"/>
      <c r="AN39" s="283"/>
    </row>
    <row r="40" spans="1:40" x14ac:dyDescent="0.3">
      <c r="A40" s="532"/>
      <c r="B40" s="334" t="s">
        <v>1167</v>
      </c>
      <c r="C40" s="149">
        <f>'Inputs and eligible population'!$K$97</f>
        <v>0</v>
      </c>
      <c r="D40" s="128">
        <f>Summary!$C$17*'Capacity (local prices)'!$C38*'Inputs and eligible population'!$G$55</f>
        <v>0</v>
      </c>
      <c r="E40" s="128">
        <f>Summary!$C$17*'Capacity (local prices)'!$C38*'Inputs and eligible population'!$G$55</f>
        <v>0</v>
      </c>
      <c r="F40" s="128">
        <f>Summary!$C$17*'Capacity (local prices)'!$C38*'Inputs and eligible population'!$G$55</f>
        <v>0</v>
      </c>
      <c r="G40" s="128">
        <f>(Summary!$D$17*'Capacity (local prices)'!$C38*'Inputs and eligible population'!$G$55)</f>
        <v>0</v>
      </c>
      <c r="H40" s="128">
        <f>(Summary!$E$17*'Capacity (local prices)'!$C38*'Inputs and eligible population'!$G$55)</f>
        <v>0</v>
      </c>
      <c r="I40" s="128">
        <f>(Summary!$F$17*'Capacity (local prices)'!$C38*'Inputs and eligible population'!$G$55)</f>
        <v>0</v>
      </c>
      <c r="J40" s="538"/>
      <c r="K40" s="544">
        <f>'Inputs and eligible population'!$N$98*'Inputs and eligible population'!H$98/60</f>
        <v>0</v>
      </c>
      <c r="L40" s="546">
        <f t="shared" si="36"/>
        <v>0</v>
      </c>
      <c r="M40" s="546">
        <f t="shared" si="31"/>
        <v>0</v>
      </c>
      <c r="N40" s="546">
        <f t="shared" si="32"/>
        <v>0</v>
      </c>
      <c r="O40" s="546">
        <f t="shared" si="33"/>
        <v>0</v>
      </c>
      <c r="P40" s="546">
        <f t="shared" si="34"/>
        <v>0</v>
      </c>
      <c r="Q40" s="546">
        <f t="shared" si="35"/>
        <v>0</v>
      </c>
      <c r="R40" s="133"/>
      <c r="S40" s="133"/>
      <c r="T40" s="133"/>
      <c r="U40" s="133"/>
      <c r="V40" s="133"/>
      <c r="W40" s="133"/>
      <c r="X40" s="133"/>
      <c r="Y40" s="133"/>
      <c r="Z40" s="133"/>
      <c r="AJ40" s="283"/>
      <c r="AK40" s="283"/>
      <c r="AL40" s="283"/>
      <c r="AM40" s="283"/>
      <c r="AN40" s="283"/>
    </row>
    <row r="41" spans="1:40" x14ac:dyDescent="0.3">
      <c r="A41" s="532"/>
      <c r="B41" s="832" t="s">
        <v>1069</v>
      </c>
      <c r="C41" s="149">
        <f>'Inputs and eligible population'!L97</f>
        <v>0</v>
      </c>
      <c r="D41" s="128">
        <f>Summary!C18*'Capacity (local prices)'!$C$41*'Inputs and eligible population'!$E$56</f>
        <v>0</v>
      </c>
      <c r="E41" s="128">
        <f>Summary!D18*'Capacity (local prices)'!$C$41*'Inputs and eligible population'!$E$56</f>
        <v>0</v>
      </c>
      <c r="F41" s="128">
        <f>Summary!E18*'Capacity (local prices)'!$C$41*'Inputs and eligible population'!$E$56</f>
        <v>0</v>
      </c>
      <c r="G41" s="128">
        <f>Summary!$F$18*'Capacity (local prices)'!$C41*'Inputs and eligible population'!$E$56</f>
        <v>0</v>
      </c>
      <c r="H41" s="128">
        <f>Summary!$G$18*'Capacity (local prices)'!$C41*'Inputs and eligible population'!$E$56</f>
        <v>0</v>
      </c>
      <c r="I41" s="128">
        <f>Summary!$H$18*'Capacity (local prices)'!$C41*'Inputs and eligible population'!$E$56</f>
        <v>0</v>
      </c>
      <c r="J41" s="538"/>
      <c r="K41" s="544">
        <f>'Inputs and eligible population'!$N$98*'Inputs and eligible population'!L$98/60</f>
        <v>0</v>
      </c>
      <c r="L41" s="546">
        <f t="shared" si="36"/>
        <v>0</v>
      </c>
      <c r="M41" s="546">
        <f t="shared" si="31"/>
        <v>0</v>
      </c>
      <c r="N41" s="546">
        <f t="shared" si="32"/>
        <v>0</v>
      </c>
      <c r="O41" s="546">
        <f t="shared" si="33"/>
        <v>0</v>
      </c>
      <c r="P41" s="546">
        <f t="shared" si="34"/>
        <v>0</v>
      </c>
      <c r="Q41" s="546">
        <f t="shared" si="35"/>
        <v>0</v>
      </c>
      <c r="R41" s="133"/>
      <c r="S41" s="133"/>
      <c r="T41" s="133"/>
      <c r="U41" s="133"/>
      <c r="V41" s="133"/>
      <c r="W41" s="133"/>
      <c r="X41" s="133"/>
      <c r="Y41" s="133"/>
      <c r="Z41" s="133"/>
      <c r="AJ41" s="283"/>
      <c r="AK41" s="283"/>
      <c r="AL41" s="283"/>
      <c r="AM41" s="283"/>
      <c r="AN41" s="283"/>
    </row>
    <row r="42" spans="1:40" x14ac:dyDescent="0.3">
      <c r="A42" s="532"/>
      <c r="B42" s="504"/>
      <c r="C42" s="280"/>
      <c r="D42" s="186">
        <f>SUM(D31:D41)</f>
        <v>0</v>
      </c>
      <c r="E42" s="186">
        <f t="shared" ref="E42:I42" si="37">SUM(E31:E41)</f>
        <v>0</v>
      </c>
      <c r="F42" s="186">
        <f t="shared" si="37"/>
        <v>0</v>
      </c>
      <c r="G42" s="186">
        <f t="shared" si="37"/>
        <v>0</v>
      </c>
      <c r="H42" s="186">
        <f t="shared" si="37"/>
        <v>0</v>
      </c>
      <c r="I42" s="186">
        <f t="shared" si="37"/>
        <v>0</v>
      </c>
      <c r="J42" s="538"/>
      <c r="K42" s="217"/>
      <c r="L42" s="290">
        <f>SUM(L31:L41)</f>
        <v>0</v>
      </c>
      <c r="M42" s="290">
        <f t="shared" ref="M42:Q42" si="38">SUM(M31:M41)</f>
        <v>0</v>
      </c>
      <c r="N42" s="290">
        <f t="shared" si="38"/>
        <v>0</v>
      </c>
      <c r="O42" s="290">
        <f t="shared" si="38"/>
        <v>0</v>
      </c>
      <c r="P42" s="290">
        <f t="shared" si="38"/>
        <v>0</v>
      </c>
      <c r="Q42" s="290">
        <f t="shared" si="38"/>
        <v>0</v>
      </c>
      <c r="R42" s="133"/>
      <c r="S42" s="133"/>
      <c r="T42" s="133"/>
      <c r="U42" s="133"/>
      <c r="V42" s="133"/>
      <c r="W42" s="133"/>
      <c r="X42" s="133"/>
      <c r="Y42" s="133"/>
      <c r="Z42" s="133"/>
      <c r="AJ42" s="283"/>
      <c r="AK42" s="283"/>
      <c r="AL42" s="283"/>
      <c r="AM42" s="283"/>
      <c r="AN42" s="283"/>
    </row>
    <row r="43" spans="1:40" x14ac:dyDescent="0.3">
      <c r="A43" s="532"/>
      <c r="B43" s="255"/>
      <c r="C43" s="255"/>
      <c r="D43" s="282" t="s">
        <v>841</v>
      </c>
      <c r="E43" s="186">
        <f>E42-$D$42</f>
        <v>0</v>
      </c>
      <c r="F43" s="186">
        <f>F42-$D$42</f>
        <v>0</v>
      </c>
      <c r="G43" s="186">
        <f>G42-$D$42</f>
        <v>0</v>
      </c>
      <c r="H43" s="186">
        <f>H42-$D$42</f>
        <v>0</v>
      </c>
      <c r="I43" s="186">
        <f>I42-$D$42</f>
        <v>0</v>
      </c>
      <c r="J43" s="538"/>
      <c r="K43" s="217"/>
      <c r="L43" s="217"/>
      <c r="M43" s="290">
        <f>M42-$L42</f>
        <v>0</v>
      </c>
      <c r="N43" s="290">
        <f t="shared" ref="N43:Q43" si="39">N42-$L42</f>
        <v>0</v>
      </c>
      <c r="O43" s="290">
        <f t="shared" si="39"/>
        <v>0</v>
      </c>
      <c r="P43" s="290">
        <f t="shared" si="39"/>
        <v>0</v>
      </c>
      <c r="Q43" s="290">
        <f t="shared" si="39"/>
        <v>0</v>
      </c>
      <c r="R43" s="133"/>
      <c r="S43" s="133"/>
      <c r="T43" s="133"/>
      <c r="U43" s="133"/>
      <c r="V43" s="133"/>
      <c r="W43" s="133"/>
      <c r="X43" s="133"/>
      <c r="Y43" s="133"/>
      <c r="Z43" s="133"/>
      <c r="AJ43" s="283"/>
      <c r="AK43" s="283"/>
      <c r="AL43" s="283"/>
      <c r="AM43" s="283"/>
      <c r="AN43" s="283"/>
    </row>
    <row r="44" spans="1:40" x14ac:dyDescent="0.3">
      <c r="A44" s="285"/>
      <c r="B44" s="533"/>
      <c r="C44" s="534"/>
      <c r="D44" s="535"/>
      <c r="E44" s="536"/>
      <c r="F44" s="285"/>
      <c r="G44" s="285"/>
      <c r="H44" s="285"/>
      <c r="I44" s="297"/>
      <c r="J44" s="217"/>
      <c r="K44" s="217"/>
      <c r="L44" s="217"/>
      <c r="M44" s="217"/>
      <c r="N44" s="217"/>
      <c r="O44" s="217"/>
      <c r="P44" s="217"/>
      <c r="Q44" s="217"/>
      <c r="R44" s="133"/>
      <c r="S44" s="133"/>
      <c r="T44" s="133"/>
      <c r="U44" s="133"/>
      <c r="V44" s="133"/>
      <c r="W44" s="133"/>
      <c r="X44" s="133"/>
      <c r="Y44" s="133"/>
      <c r="Z44" s="133"/>
      <c r="AJ44" s="283"/>
      <c r="AK44" s="283"/>
      <c r="AL44" s="283"/>
      <c r="AM44" s="283"/>
      <c r="AN44" s="283"/>
    </row>
    <row r="45" spans="1:40" x14ac:dyDescent="0.3">
      <c r="A45" s="285"/>
      <c r="B45" s="377" t="s">
        <v>1071</v>
      </c>
      <c r="C45" s="378"/>
      <c r="D45" s="378"/>
      <c r="E45" s="378"/>
      <c r="F45" s="378"/>
      <c r="G45" s="378"/>
      <c r="H45" s="378"/>
      <c r="I45" s="216"/>
      <c r="J45" s="217"/>
      <c r="K45" s="217"/>
      <c r="L45" s="217"/>
      <c r="M45" s="217"/>
      <c r="N45" s="217"/>
      <c r="O45" s="217"/>
      <c r="P45" s="217"/>
      <c r="Q45" s="217"/>
      <c r="R45" s="133"/>
      <c r="S45" s="133"/>
      <c r="T45" s="133"/>
      <c r="U45" s="133"/>
      <c r="V45" s="133"/>
      <c r="W45" s="133"/>
      <c r="X45" s="133"/>
      <c r="Y45" s="133"/>
      <c r="Z45" s="133"/>
      <c r="AJ45" s="283"/>
      <c r="AK45" s="283"/>
      <c r="AL45" s="283"/>
      <c r="AM45" s="283"/>
      <c r="AN45" s="283"/>
    </row>
    <row r="46" spans="1:40" x14ac:dyDescent="0.3">
      <c r="A46" s="285"/>
      <c r="B46" s="537" t="s">
        <v>1103</v>
      </c>
      <c r="C46" s="378"/>
      <c r="D46" s="834"/>
      <c r="E46" s="378"/>
      <c r="F46" s="378"/>
      <c r="G46" s="378"/>
      <c r="H46" s="378"/>
      <c r="I46" s="216"/>
      <c r="J46" s="217"/>
      <c r="K46" s="217"/>
      <c r="L46" s="217"/>
      <c r="M46" s="217"/>
      <c r="N46" s="217"/>
      <c r="O46" s="217"/>
      <c r="P46" s="217"/>
      <c r="Q46" s="217"/>
      <c r="R46" s="133"/>
      <c r="S46" s="133"/>
      <c r="T46" s="133"/>
      <c r="U46" s="133"/>
      <c r="V46" s="133"/>
      <c r="W46" s="133"/>
      <c r="X46" s="133"/>
      <c r="Y46" s="133"/>
      <c r="Z46" s="133"/>
      <c r="AJ46" s="283"/>
      <c r="AK46" s="283"/>
      <c r="AL46" s="283"/>
      <c r="AM46" s="283"/>
      <c r="AN46" s="283"/>
    </row>
    <row r="47" spans="1:40" ht="43.2" x14ac:dyDescent="0.3">
      <c r="A47" s="532"/>
      <c r="B47" s="306" t="s">
        <v>766</v>
      </c>
      <c r="C47" s="166" t="s">
        <v>1099</v>
      </c>
      <c r="D47" s="402" t="s">
        <v>831</v>
      </c>
      <c r="E47" s="254" t="s">
        <v>676</v>
      </c>
      <c r="F47" s="254" t="s">
        <v>677</v>
      </c>
      <c r="G47" s="165" t="s">
        <v>803</v>
      </c>
      <c r="H47" s="165" t="s">
        <v>804</v>
      </c>
      <c r="I47" s="254" t="s">
        <v>805</v>
      </c>
      <c r="J47" s="538"/>
      <c r="K47" s="531" t="s">
        <v>1100</v>
      </c>
      <c r="L47" s="402" t="s">
        <v>831</v>
      </c>
      <c r="M47" s="521" t="s">
        <v>676</v>
      </c>
      <c r="N47" s="521" t="s">
        <v>677</v>
      </c>
      <c r="O47" s="403" t="s">
        <v>803</v>
      </c>
      <c r="P47" s="403" t="s">
        <v>804</v>
      </c>
      <c r="Q47" s="521" t="s">
        <v>805</v>
      </c>
      <c r="R47" s="133"/>
      <c r="S47" s="133"/>
      <c r="T47" s="133"/>
      <c r="U47" s="133"/>
      <c r="V47" s="133"/>
      <c r="W47" s="133"/>
      <c r="X47" s="133"/>
      <c r="Y47" s="133"/>
      <c r="Z47" s="133"/>
      <c r="AJ47" s="283"/>
      <c r="AK47" s="283"/>
      <c r="AL47" s="283"/>
      <c r="AM47" s="283"/>
      <c r="AN47" s="283"/>
    </row>
    <row r="48" spans="1:40" x14ac:dyDescent="0.3">
      <c r="A48" s="532"/>
      <c r="B48" s="334" t="s">
        <v>1065</v>
      </c>
      <c r="C48" s="149">
        <f>'Inputs and eligible population'!F99</f>
        <v>1</v>
      </c>
      <c r="D48" s="128">
        <f>Summary!$C$16*'Capacity (local prices)'!$C$48*'Inputs and eligible population'!$E$50</f>
        <v>0</v>
      </c>
      <c r="E48" s="128">
        <f>Summary!$D$16*'Capacity (local prices)'!$C$48*'Inputs and eligible population'!$E$50</f>
        <v>0</v>
      </c>
      <c r="F48" s="128">
        <f>Summary!E$16*'Capacity (local prices)'!$C$48*'Inputs and eligible population'!$E$50</f>
        <v>0</v>
      </c>
      <c r="G48" s="128">
        <f>Summary!F$16*'Capacity (local prices)'!$C$48*'Inputs and eligible population'!$E$50</f>
        <v>0</v>
      </c>
      <c r="H48" s="128">
        <f>Summary!G$16*'Capacity (local prices)'!$C$48*'Inputs and eligible population'!$E$50</f>
        <v>0</v>
      </c>
      <c r="I48" s="128">
        <f>Summary!H$16*'Capacity (local prices)'!$C$48*'Inputs and eligible population'!$E$50</f>
        <v>0</v>
      </c>
      <c r="J48" s="538"/>
      <c r="K48" s="544">
        <f>'Inputs and eligible population'!$N$100*'Inputs and eligible population'!F100/60</f>
        <v>133.18799999999999</v>
      </c>
      <c r="L48" s="546">
        <f>$K48/1000*D48</f>
        <v>0</v>
      </c>
      <c r="M48" s="546">
        <f t="shared" ref="M48:M58" si="40">$K48/1000*E48</f>
        <v>0</v>
      </c>
      <c r="N48" s="546">
        <f t="shared" ref="N48:N58" si="41">$K48/1000*F48</f>
        <v>0</v>
      </c>
      <c r="O48" s="546">
        <f t="shared" ref="O48:O58" si="42">$K48/1000*G48</f>
        <v>0</v>
      </c>
      <c r="P48" s="546">
        <f t="shared" ref="P48:P58" si="43">$K48/1000*H48</f>
        <v>0</v>
      </c>
      <c r="Q48" s="546">
        <f t="shared" ref="Q48:Q58" si="44">$K48/1000*I48</f>
        <v>0</v>
      </c>
      <c r="R48" s="133"/>
      <c r="S48" s="133"/>
      <c r="T48" s="133"/>
      <c r="U48" s="133"/>
      <c r="V48" s="133"/>
      <c r="W48" s="133"/>
      <c r="X48" s="133"/>
      <c r="Y48" s="133"/>
      <c r="Z48" s="133"/>
      <c r="AJ48" s="283"/>
      <c r="AK48" s="283"/>
      <c r="AL48" s="283"/>
      <c r="AM48" s="283"/>
      <c r="AN48" s="283"/>
    </row>
    <row r="49" spans="1:40" x14ac:dyDescent="0.3">
      <c r="A49" s="532"/>
      <c r="B49" s="334" t="s">
        <v>1064</v>
      </c>
      <c r="C49" s="149">
        <f>'Inputs and eligible population'!G99</f>
        <v>1</v>
      </c>
      <c r="D49" s="128">
        <f>Summary!C$16*'Capacity (local prices)'!$C$49*'Inputs and eligible population'!$E$51</f>
        <v>0</v>
      </c>
      <c r="E49" s="128">
        <f>Summary!D$16*'Capacity (local prices)'!$C$49*'Inputs and eligible population'!$E$51</f>
        <v>0</v>
      </c>
      <c r="F49" s="128">
        <f>Summary!E$16*'Capacity (local prices)'!$C$49*'Inputs and eligible population'!$E$51</f>
        <v>0</v>
      </c>
      <c r="G49" s="128">
        <f>Summary!F$16*'Capacity (local prices)'!$C$49*'Inputs and eligible population'!$E$51</f>
        <v>0</v>
      </c>
      <c r="H49" s="128">
        <f>Summary!G$16*'Capacity (local prices)'!$C$49*'Inputs and eligible population'!$E$51</f>
        <v>0</v>
      </c>
      <c r="I49" s="128">
        <f>Summary!H$16*'Capacity (local prices)'!$C$49*'Inputs and eligible population'!$E$51</f>
        <v>0</v>
      </c>
      <c r="J49" s="538"/>
      <c r="K49" s="544">
        <f>'Inputs and eligible population'!$N$100*'Inputs and eligible population'!G$100/60</f>
        <v>66.593999999999994</v>
      </c>
      <c r="L49" s="546">
        <f t="shared" ref="L49:L58" si="45">$K49/1000*D49</f>
        <v>0</v>
      </c>
      <c r="M49" s="546">
        <f t="shared" si="40"/>
        <v>0</v>
      </c>
      <c r="N49" s="546">
        <f t="shared" si="41"/>
        <v>0</v>
      </c>
      <c r="O49" s="546">
        <f t="shared" si="42"/>
        <v>0</v>
      </c>
      <c r="P49" s="546">
        <f t="shared" si="43"/>
        <v>0</v>
      </c>
      <c r="Q49" s="546">
        <f t="shared" si="44"/>
        <v>0</v>
      </c>
      <c r="R49" s="133"/>
      <c r="S49" s="133"/>
      <c r="T49" s="133"/>
      <c r="U49" s="133"/>
      <c r="V49" s="133"/>
      <c r="W49" s="133"/>
      <c r="X49" s="133"/>
      <c r="Y49" s="133"/>
      <c r="Z49" s="133"/>
      <c r="AJ49" s="283"/>
      <c r="AK49" s="283"/>
      <c r="AL49" s="283"/>
      <c r="AM49" s="283"/>
      <c r="AN49" s="283"/>
    </row>
    <row r="50" spans="1:40" x14ac:dyDescent="0.3">
      <c r="A50" s="532"/>
      <c r="B50" s="334" t="s">
        <v>1162</v>
      </c>
      <c r="C50" s="149">
        <f>'Inputs and eligible population'!$H$99</f>
        <v>1</v>
      </c>
      <c r="D50" s="128">
        <f>'Inputs and eligible population'!$E$52*'Inputs and eligible population'!$L$84*'Capacity (local prices)'!$C$33</f>
        <v>0</v>
      </c>
      <c r="E50" s="128">
        <f>'Inputs and eligible population'!$E$52*'Inputs and eligible population'!$M$84*'Capacity (local prices)'!$C50</f>
        <v>0</v>
      </c>
      <c r="F50" s="128">
        <f>'Inputs and eligible population'!$E$52*'Inputs and eligible population'!$N$84*'Capacity (local prices)'!$C50</f>
        <v>0</v>
      </c>
      <c r="G50" s="128">
        <f>'Inputs and eligible population'!$E$52*'Inputs and eligible population'!$O$84*'Capacity (local prices)'!$C50</f>
        <v>0</v>
      </c>
      <c r="H50" s="128">
        <f>'Inputs and eligible population'!$E$52*'Inputs and eligible population'!$P$84*'Capacity (local prices)'!$C50</f>
        <v>0</v>
      </c>
      <c r="I50" s="128">
        <f>'Inputs and eligible population'!$E$52*'Inputs and eligible population'!$Q$84*'Capacity (local prices)'!$C50</f>
        <v>0</v>
      </c>
      <c r="J50" s="538"/>
      <c r="K50" s="544">
        <f>'Inputs and eligible population'!$N$100*'Inputs and eligible population'!H$100/60</f>
        <v>66.593999999999994</v>
      </c>
      <c r="L50" s="546">
        <f t="shared" si="45"/>
        <v>0</v>
      </c>
      <c r="M50" s="546">
        <f t="shared" si="40"/>
        <v>0</v>
      </c>
      <c r="N50" s="546">
        <f t="shared" si="41"/>
        <v>0</v>
      </c>
      <c r="O50" s="546">
        <f t="shared" si="42"/>
        <v>0</v>
      </c>
      <c r="P50" s="546">
        <f t="shared" si="43"/>
        <v>0</v>
      </c>
      <c r="Q50" s="546">
        <f t="shared" si="44"/>
        <v>0</v>
      </c>
      <c r="R50" s="133"/>
      <c r="S50" s="133"/>
      <c r="T50" s="133"/>
      <c r="U50" s="133"/>
      <c r="V50" s="133"/>
      <c r="W50" s="133"/>
      <c r="X50" s="133"/>
      <c r="Y50" s="133"/>
      <c r="Z50" s="133"/>
      <c r="AJ50" s="283"/>
      <c r="AK50" s="283"/>
      <c r="AL50" s="283"/>
      <c r="AM50" s="283"/>
      <c r="AN50" s="283"/>
    </row>
    <row r="51" spans="1:40" x14ac:dyDescent="0.3">
      <c r="A51" s="532"/>
      <c r="B51" s="334" t="s">
        <v>1163</v>
      </c>
      <c r="C51" s="149">
        <f>'Inputs and eligible population'!$H$99</f>
        <v>1</v>
      </c>
      <c r="D51" s="128">
        <f>'Inputs and eligible population'!$F$52*'Inputs and eligible population'!$L$84*'Capacity (local prices)'!$C51</f>
        <v>0</v>
      </c>
      <c r="E51" s="128">
        <f>'Inputs and eligible population'!$F$52*'Inputs and eligible population'!$L$84*'Capacity (local prices)'!$C51</f>
        <v>0</v>
      </c>
      <c r="F51" s="128">
        <f>'Inputs and eligible population'!$F$52*'Inputs and eligible population'!$M$84*'Capacity (local prices)'!$C51</f>
        <v>0</v>
      </c>
      <c r="G51" s="128">
        <f>'Inputs and eligible population'!$F$52*'Inputs and eligible population'!$N$84*'Capacity (local prices)'!$C51</f>
        <v>0</v>
      </c>
      <c r="H51" s="128">
        <f>'Inputs and eligible population'!$F$52*'Inputs and eligible population'!$O$84*'Capacity (local prices)'!$C51</f>
        <v>0</v>
      </c>
      <c r="I51" s="128">
        <f>'Inputs and eligible population'!$F$52*'Inputs and eligible population'!$P$84*'Capacity (local prices)'!$C51</f>
        <v>0</v>
      </c>
      <c r="J51" s="538"/>
      <c r="K51" s="544">
        <f>'Inputs and eligible population'!$N$100*'Inputs and eligible population'!H$100/60</f>
        <v>66.593999999999994</v>
      </c>
      <c r="L51" s="546">
        <f t="shared" si="45"/>
        <v>0</v>
      </c>
      <c r="M51" s="546">
        <f t="shared" si="40"/>
        <v>0</v>
      </c>
      <c r="N51" s="546">
        <f t="shared" si="41"/>
        <v>0</v>
      </c>
      <c r="O51" s="546">
        <f t="shared" si="42"/>
        <v>0</v>
      </c>
      <c r="P51" s="546">
        <f t="shared" si="43"/>
        <v>0</v>
      </c>
      <c r="Q51" s="546">
        <f t="shared" si="44"/>
        <v>0</v>
      </c>
      <c r="R51" s="133"/>
      <c r="S51" s="133"/>
      <c r="T51" s="133"/>
      <c r="U51" s="133"/>
      <c r="V51" s="133"/>
      <c r="W51" s="133"/>
      <c r="X51" s="133"/>
      <c r="Y51" s="133"/>
      <c r="Z51" s="133"/>
      <c r="AJ51" s="283"/>
      <c r="AK51" s="283"/>
      <c r="AL51" s="283"/>
      <c r="AM51" s="283"/>
      <c r="AN51" s="283"/>
    </row>
    <row r="52" spans="1:40" x14ac:dyDescent="0.3">
      <c r="A52" s="532"/>
      <c r="B52" s="334" t="s">
        <v>1164</v>
      </c>
      <c r="C52" s="149">
        <f>'Inputs and eligible population'!$H$99</f>
        <v>1</v>
      </c>
      <c r="D52" s="128">
        <f>'Inputs and eligible population'!$G$52*'Inputs and eligible population'!$L$84*'Capacity (local prices)'!$C52</f>
        <v>0</v>
      </c>
      <c r="E52" s="128">
        <f>'Inputs and eligible population'!$G$52*'Inputs and eligible population'!$L$84*'Capacity (local prices)'!$C52</f>
        <v>0</v>
      </c>
      <c r="F52" s="128">
        <f>'Inputs and eligible population'!$G$52*'Inputs and eligible population'!$L$84*'Capacity (local prices)'!$C52</f>
        <v>0</v>
      </c>
      <c r="G52" s="128">
        <f>'Inputs and eligible population'!$G$52*'Inputs and eligible population'!$M$84*'Capacity (local prices)'!$C52</f>
        <v>0</v>
      </c>
      <c r="H52" s="128">
        <f>'Inputs and eligible population'!$G$52*'Inputs and eligible population'!$N$84*'Capacity (local prices)'!$C52</f>
        <v>0</v>
      </c>
      <c r="I52" s="128">
        <f>'Inputs and eligible population'!$G$52*'Inputs and eligible population'!$O$84*'Capacity (local prices)'!$C52</f>
        <v>0</v>
      </c>
      <c r="J52" s="538"/>
      <c r="K52" s="544">
        <f>'Inputs and eligible population'!$N$100*'Inputs and eligible population'!H$100/60</f>
        <v>66.593999999999994</v>
      </c>
      <c r="L52" s="546">
        <f t="shared" si="45"/>
        <v>0</v>
      </c>
      <c r="M52" s="546">
        <f t="shared" si="40"/>
        <v>0</v>
      </c>
      <c r="N52" s="546">
        <f t="shared" si="41"/>
        <v>0</v>
      </c>
      <c r="O52" s="546">
        <f t="shared" si="42"/>
        <v>0</v>
      </c>
      <c r="P52" s="546">
        <f t="shared" si="43"/>
        <v>0</v>
      </c>
      <c r="Q52" s="546">
        <f t="shared" si="44"/>
        <v>0</v>
      </c>
      <c r="R52" s="133"/>
      <c r="S52" s="133"/>
      <c r="T52" s="133"/>
      <c r="U52" s="133"/>
      <c r="V52" s="133"/>
      <c r="W52" s="133"/>
      <c r="X52" s="133"/>
      <c r="Y52" s="133"/>
      <c r="Z52" s="133"/>
      <c r="AJ52" s="283"/>
      <c r="AK52" s="283"/>
      <c r="AL52" s="283"/>
      <c r="AM52" s="283"/>
      <c r="AN52" s="283"/>
    </row>
    <row r="53" spans="1:40" x14ac:dyDescent="0.3">
      <c r="A53" s="532"/>
      <c r="B53" s="334" t="s">
        <v>1066</v>
      </c>
      <c r="C53" s="149">
        <f>'Inputs and eligible population'!I99</f>
        <v>1</v>
      </c>
      <c r="D53" s="128">
        <f>'Financial impact (cash)'!D$15*$C53*'Inputs and eligible population'!$E$53</f>
        <v>0</v>
      </c>
      <c r="E53" s="128">
        <f>'Financial impact (cash)'!E$15*$C53*'Inputs and eligible population'!$E$53</f>
        <v>0</v>
      </c>
      <c r="F53" s="128">
        <f>'Financial impact (cash)'!F$15*$C53*'Inputs and eligible population'!$E$53</f>
        <v>0</v>
      </c>
      <c r="G53" s="128">
        <f>'Financial impact (cash)'!G$15*$C53*'Inputs and eligible population'!$E$53</f>
        <v>0</v>
      </c>
      <c r="H53" s="128">
        <f>'Financial impact (cash)'!H$15*$C53*'Inputs and eligible population'!$E$53</f>
        <v>0</v>
      </c>
      <c r="I53" s="128">
        <f>'Financial impact (cash)'!I$15*$C53*'Inputs and eligible population'!$E$53</f>
        <v>0</v>
      </c>
      <c r="J53" s="538"/>
      <c r="K53" s="544">
        <f>'Inputs and eligible population'!$N$100*'Inputs and eligible population'!I$100/60</f>
        <v>133.18799999999999</v>
      </c>
      <c r="L53" s="546">
        <f t="shared" si="45"/>
        <v>0</v>
      </c>
      <c r="M53" s="546">
        <f t="shared" si="40"/>
        <v>0</v>
      </c>
      <c r="N53" s="546">
        <f t="shared" si="41"/>
        <v>0</v>
      </c>
      <c r="O53" s="546">
        <f t="shared" si="42"/>
        <v>0</v>
      </c>
      <c r="P53" s="546">
        <f t="shared" si="43"/>
        <v>0</v>
      </c>
      <c r="Q53" s="546">
        <f t="shared" si="44"/>
        <v>0</v>
      </c>
      <c r="R53" s="133"/>
      <c r="S53" s="133"/>
      <c r="T53" s="133"/>
      <c r="U53" s="133"/>
      <c r="V53" s="133"/>
      <c r="W53" s="133"/>
      <c r="X53" s="133"/>
      <c r="Y53" s="133"/>
      <c r="Z53" s="133"/>
      <c r="AJ53" s="283"/>
      <c r="AK53" s="283"/>
      <c r="AL53" s="283"/>
      <c r="AM53" s="283"/>
      <c r="AN53" s="283"/>
    </row>
    <row r="54" spans="1:40" x14ac:dyDescent="0.3">
      <c r="A54" s="532"/>
      <c r="B54" s="334" t="s">
        <v>1067</v>
      </c>
      <c r="C54" s="149">
        <f>'Inputs and eligible population'!J99</f>
        <v>1</v>
      </c>
      <c r="D54" s="128">
        <f>'Financial impact (cash)'!D$15*$C54*'Inputs and eligible population'!$E$54</f>
        <v>0</v>
      </c>
      <c r="E54" s="128">
        <f>'Financial impact (cash)'!E$15*$C54*'Inputs and eligible population'!$E$54</f>
        <v>0</v>
      </c>
      <c r="F54" s="128">
        <f>'Financial impact (cash)'!F$15*$C54*'Inputs and eligible population'!$E$54</f>
        <v>0</v>
      </c>
      <c r="G54" s="128">
        <f>'Financial impact (cash)'!G$15*$C54*'Inputs and eligible population'!$E$54</f>
        <v>0</v>
      </c>
      <c r="H54" s="128">
        <f>'Financial impact (cash)'!H$15*$C54*'Inputs and eligible population'!$E$54</f>
        <v>0</v>
      </c>
      <c r="I54" s="128">
        <f>'Financial impact (cash)'!I$15*$C54*'Inputs and eligible population'!$E$54</f>
        <v>0</v>
      </c>
      <c r="J54" s="538"/>
      <c r="K54" s="544">
        <f>'Inputs and eligible population'!$N$100*'Inputs and eligible population'!J$100/60</f>
        <v>66.593999999999994</v>
      </c>
      <c r="L54" s="546">
        <f t="shared" si="45"/>
        <v>0</v>
      </c>
      <c r="M54" s="546">
        <f t="shared" si="40"/>
        <v>0</v>
      </c>
      <c r="N54" s="546">
        <f t="shared" si="41"/>
        <v>0</v>
      </c>
      <c r="O54" s="546">
        <f t="shared" si="42"/>
        <v>0</v>
      </c>
      <c r="P54" s="546">
        <f t="shared" si="43"/>
        <v>0</v>
      </c>
      <c r="Q54" s="546">
        <f t="shared" si="44"/>
        <v>0</v>
      </c>
      <c r="R54" s="133"/>
      <c r="S54" s="133"/>
      <c r="T54" s="133"/>
      <c r="U54" s="133"/>
      <c r="V54" s="133"/>
      <c r="W54" s="133"/>
      <c r="X54" s="133"/>
      <c r="Y54" s="133"/>
      <c r="Z54" s="133"/>
      <c r="AJ54" s="283"/>
      <c r="AK54" s="283"/>
      <c r="AL54" s="283"/>
      <c r="AM54" s="283"/>
      <c r="AN54" s="283"/>
    </row>
    <row r="55" spans="1:40" x14ac:dyDescent="0.3">
      <c r="A55" s="532"/>
      <c r="B55" s="334" t="s">
        <v>1165</v>
      </c>
      <c r="C55" s="149">
        <f>'Inputs and eligible population'!$K$99</f>
        <v>1</v>
      </c>
      <c r="D55" s="128">
        <f>Summary!$C$17*'Capacity (local prices)'!$C55*'Inputs and eligible population'!$E$55</f>
        <v>0</v>
      </c>
      <c r="E55" s="128">
        <f>(Summary!$D$17*'Capacity (local prices)'!$C55*'Inputs and eligible population'!$E$55)</f>
        <v>0</v>
      </c>
      <c r="F55" s="128">
        <f>(Summary!$E$17*'Capacity (local prices)'!$C55*'Inputs and eligible population'!$E$55)</f>
        <v>0</v>
      </c>
      <c r="G55" s="128">
        <f>(Summary!$F$17*'Capacity (local prices)'!$C55*'Inputs and eligible population'!$E$55)</f>
        <v>0</v>
      </c>
      <c r="H55" s="128">
        <f>(Summary!$G$17*'Capacity (local prices)'!$C55*'Inputs and eligible population'!$E$55)</f>
        <v>0</v>
      </c>
      <c r="I55" s="128">
        <f>(Summary!$H$17*'Capacity (local prices)'!$C55*'Inputs and eligible population'!$E$55)</f>
        <v>0</v>
      </c>
      <c r="J55" s="538"/>
      <c r="K55" s="544">
        <f>'Inputs and eligible population'!$N$100*'Inputs and eligible population'!K$100/60</f>
        <v>66.593999999999994</v>
      </c>
      <c r="L55" s="546">
        <f t="shared" si="45"/>
        <v>0</v>
      </c>
      <c r="M55" s="546">
        <f t="shared" si="40"/>
        <v>0</v>
      </c>
      <c r="N55" s="546">
        <f t="shared" si="41"/>
        <v>0</v>
      </c>
      <c r="O55" s="546">
        <f t="shared" si="42"/>
        <v>0</v>
      </c>
      <c r="P55" s="546">
        <f t="shared" si="43"/>
        <v>0</v>
      </c>
      <c r="Q55" s="546">
        <f t="shared" si="44"/>
        <v>0</v>
      </c>
      <c r="R55" s="133"/>
      <c r="S55" s="133"/>
      <c r="T55" s="133"/>
      <c r="U55" s="133"/>
      <c r="V55" s="133"/>
      <c r="W55" s="133"/>
      <c r="X55" s="133"/>
      <c r="Y55" s="133"/>
      <c r="Z55" s="133"/>
      <c r="AJ55" s="283"/>
      <c r="AK55" s="283"/>
      <c r="AL55" s="283"/>
      <c r="AM55" s="283"/>
      <c r="AN55" s="283"/>
    </row>
    <row r="56" spans="1:40" x14ac:dyDescent="0.3">
      <c r="A56" s="532"/>
      <c r="B56" s="334" t="s">
        <v>1166</v>
      </c>
      <c r="C56" s="149">
        <f>'Inputs and eligible population'!$K$99</f>
        <v>1</v>
      </c>
      <c r="D56" s="128">
        <f>Summary!$C$17*'Capacity (local prices)'!$C55*'Inputs and eligible population'!$F$55</f>
        <v>0</v>
      </c>
      <c r="E56" s="128">
        <f>Summary!$C$17*'Capacity (local prices)'!$C55*'Inputs and eligible population'!$F$55</f>
        <v>0</v>
      </c>
      <c r="F56" s="128">
        <f>(Summary!$D$17*'Capacity (local prices)'!$C55*'Inputs and eligible population'!$F$55)</f>
        <v>0</v>
      </c>
      <c r="G56" s="128">
        <f>(Summary!$E$17*'Capacity (local prices)'!$C55*'Inputs and eligible population'!$F$55)</f>
        <v>0</v>
      </c>
      <c r="H56" s="128">
        <f>(Summary!$F$17*'Capacity (local prices)'!$C55*'Inputs and eligible population'!$F$55)</f>
        <v>0</v>
      </c>
      <c r="I56" s="128">
        <f>(Summary!$G$17*'Capacity (local prices)'!$C55*'Inputs and eligible population'!$F$55)</f>
        <v>0</v>
      </c>
      <c r="J56" s="538"/>
      <c r="K56" s="544">
        <f>'Inputs and eligible population'!$N$100*'Inputs and eligible population'!K$100/60</f>
        <v>66.593999999999994</v>
      </c>
      <c r="L56" s="546">
        <f t="shared" si="45"/>
        <v>0</v>
      </c>
      <c r="M56" s="546">
        <f t="shared" si="40"/>
        <v>0</v>
      </c>
      <c r="N56" s="546">
        <f t="shared" si="41"/>
        <v>0</v>
      </c>
      <c r="O56" s="546">
        <f t="shared" si="42"/>
        <v>0</v>
      </c>
      <c r="P56" s="546">
        <f t="shared" si="43"/>
        <v>0</v>
      </c>
      <c r="Q56" s="546">
        <f t="shared" si="44"/>
        <v>0</v>
      </c>
      <c r="R56" s="133"/>
      <c r="S56" s="133"/>
      <c r="T56" s="133"/>
      <c r="U56" s="133"/>
      <c r="V56" s="133"/>
      <c r="W56" s="133"/>
      <c r="X56" s="133"/>
      <c r="Y56" s="133"/>
      <c r="Z56" s="133"/>
      <c r="AJ56" s="283"/>
      <c r="AK56" s="283"/>
      <c r="AL56" s="283"/>
      <c r="AM56" s="283"/>
      <c r="AN56" s="283"/>
    </row>
    <row r="57" spans="1:40" x14ac:dyDescent="0.3">
      <c r="A57" s="532"/>
      <c r="B57" s="334" t="s">
        <v>1167</v>
      </c>
      <c r="C57" s="149">
        <f>'Inputs and eligible population'!$K$99</f>
        <v>1</v>
      </c>
      <c r="D57" s="128">
        <f>Summary!$C$17*'Capacity (local prices)'!$C55*'Inputs and eligible population'!$G$55</f>
        <v>0</v>
      </c>
      <c r="E57" s="128">
        <f>Summary!$C$17*'Capacity (local prices)'!$C55*'Inputs and eligible population'!$G$55</f>
        <v>0</v>
      </c>
      <c r="F57" s="128">
        <f>Summary!$C$17*'Capacity (local prices)'!$C55*'Inputs and eligible population'!$G$55</f>
        <v>0</v>
      </c>
      <c r="G57" s="128">
        <f>(Summary!$D$17*'Capacity (local prices)'!$C55*'Inputs and eligible population'!$G$55)</f>
        <v>0</v>
      </c>
      <c r="H57" s="128">
        <f>(Summary!$E$17*'Capacity (local prices)'!$C55*'Inputs and eligible population'!$G$55)</f>
        <v>0</v>
      </c>
      <c r="I57" s="128">
        <f>(Summary!$F$17*'Capacity (local prices)'!$C55*'Inputs and eligible population'!$G$55)</f>
        <v>0</v>
      </c>
      <c r="J57" s="538"/>
      <c r="K57" s="544">
        <f>'Inputs and eligible population'!$N$100*'Inputs and eligible population'!K$100/60</f>
        <v>66.593999999999994</v>
      </c>
      <c r="L57" s="546">
        <f t="shared" si="45"/>
        <v>0</v>
      </c>
      <c r="M57" s="546">
        <f t="shared" si="40"/>
        <v>0</v>
      </c>
      <c r="N57" s="546">
        <f t="shared" si="41"/>
        <v>0</v>
      </c>
      <c r="O57" s="546">
        <f t="shared" si="42"/>
        <v>0</v>
      </c>
      <c r="P57" s="546">
        <f t="shared" si="43"/>
        <v>0</v>
      </c>
      <c r="Q57" s="546">
        <f t="shared" si="44"/>
        <v>0</v>
      </c>
      <c r="R57" s="133"/>
      <c r="S57" s="133"/>
      <c r="T57" s="133"/>
      <c r="U57" s="133"/>
      <c r="V57" s="133"/>
      <c r="W57" s="133"/>
      <c r="X57" s="133"/>
      <c r="Y57" s="133"/>
      <c r="Z57" s="133"/>
      <c r="AJ57" s="283"/>
      <c r="AK57" s="283"/>
      <c r="AL57" s="283"/>
      <c r="AM57" s="283"/>
      <c r="AN57" s="283"/>
    </row>
    <row r="58" spans="1:40" x14ac:dyDescent="0.3">
      <c r="A58" s="532"/>
      <c r="B58" s="832" t="s">
        <v>1069</v>
      </c>
      <c r="C58" s="149">
        <f>'Inputs and eligible population'!L99</f>
        <v>1</v>
      </c>
      <c r="D58" s="128">
        <f>Summary!C$18*'Capacity (local prices)'!$C58*'Inputs and eligible population'!$E$56</f>
        <v>1297.8030873648743</v>
      </c>
      <c r="E58" s="128">
        <f>Summary!D$18*'Capacity (local prices)'!$C58*'Inputs and eligible population'!$E$56</f>
        <v>982.73719114450398</v>
      </c>
      <c r="F58" s="128">
        <f>Summary!E$18*'Capacity (local prices)'!$C58*'Inputs and eligible population'!$E$56</f>
        <v>661.47503595277453</v>
      </c>
      <c r="G58" s="128">
        <f>Summary!F$18*'Capacity (local prices)'!$C58*'Inputs and eligible population'!$E$56</f>
        <v>667.85285089162653</v>
      </c>
      <c r="H58" s="128">
        <f>Summary!G$18*'Capacity (local prices)'!$C58*'Inputs and eligible population'!$E$56</f>
        <v>674.29215949415959</v>
      </c>
      <c r="I58" s="128">
        <f>Summary!H$18*'Capacity (local prices)'!$C58*'Inputs and eligible population'!$E$56</f>
        <v>680.79355467043899</v>
      </c>
      <c r="J58" s="538"/>
      <c r="K58" s="544">
        <f>'Inputs and eligible population'!$N$100*'Inputs and eligible population'!L$100/60</f>
        <v>66.593999999999994</v>
      </c>
      <c r="L58" s="546">
        <f t="shared" si="45"/>
        <v>86.425898799976437</v>
      </c>
      <c r="M58" s="546">
        <f t="shared" si="40"/>
        <v>65.444400507077106</v>
      </c>
      <c r="N58" s="546">
        <f t="shared" si="41"/>
        <v>44.050268544239067</v>
      </c>
      <c r="O58" s="546">
        <f t="shared" si="42"/>
        <v>44.474992752276975</v>
      </c>
      <c r="P58" s="546">
        <f t="shared" si="43"/>
        <v>44.903812069354061</v>
      </c>
      <c r="Q58" s="546">
        <f t="shared" si="44"/>
        <v>45.336765979723218</v>
      </c>
      <c r="R58" s="133"/>
      <c r="S58" s="133"/>
      <c r="T58" s="133"/>
      <c r="U58" s="133"/>
      <c r="V58" s="133"/>
      <c r="W58" s="133"/>
      <c r="X58" s="133"/>
      <c r="Y58" s="133"/>
      <c r="Z58" s="133"/>
      <c r="AJ58" s="283"/>
      <c r="AK58" s="283"/>
      <c r="AL58" s="283"/>
      <c r="AM58" s="283"/>
      <c r="AN58" s="283"/>
    </row>
    <row r="59" spans="1:40" x14ac:dyDescent="0.3">
      <c r="A59" s="532"/>
      <c r="B59" s="504"/>
      <c r="C59" s="280"/>
      <c r="D59" s="186">
        <f>SUM(D48:D58)</f>
        <v>1297.8030873648743</v>
      </c>
      <c r="E59" s="186">
        <f t="shared" ref="E59" si="46">SUM(E48:E58)</f>
        <v>982.73719114450398</v>
      </c>
      <c r="F59" s="186">
        <f t="shared" ref="F59" si="47">SUM(F48:F58)</f>
        <v>661.47503595277453</v>
      </c>
      <c r="G59" s="186">
        <f t="shared" ref="G59" si="48">SUM(G48:G58)</f>
        <v>667.85285089162653</v>
      </c>
      <c r="H59" s="186">
        <f t="shared" ref="H59" si="49">SUM(H48:H58)</f>
        <v>674.29215949415959</v>
      </c>
      <c r="I59" s="186">
        <f t="shared" ref="I59" si="50">SUM(I48:I58)</f>
        <v>680.79355467043899</v>
      </c>
      <c r="J59" s="538"/>
      <c r="K59" s="217"/>
      <c r="L59" s="290">
        <f>SUM(L48:L58)</f>
        <v>86.425898799976437</v>
      </c>
      <c r="M59" s="290">
        <f t="shared" ref="M59" si="51">SUM(M48:M58)</f>
        <v>65.444400507077106</v>
      </c>
      <c r="N59" s="290">
        <f t="shared" ref="N59" si="52">SUM(N48:N58)</f>
        <v>44.050268544239067</v>
      </c>
      <c r="O59" s="290">
        <f t="shared" ref="O59" si="53">SUM(O48:O58)</f>
        <v>44.474992752276975</v>
      </c>
      <c r="P59" s="290">
        <f t="shared" ref="P59" si="54">SUM(P48:P58)</f>
        <v>44.903812069354061</v>
      </c>
      <c r="Q59" s="290">
        <f t="shared" ref="Q59" si="55">SUM(Q48:Q58)</f>
        <v>45.336765979723218</v>
      </c>
      <c r="R59" s="133"/>
      <c r="S59" s="133"/>
      <c r="T59" s="133"/>
      <c r="U59" s="133"/>
      <c r="V59" s="133"/>
      <c r="W59" s="133"/>
      <c r="X59" s="133"/>
      <c r="Y59" s="133"/>
      <c r="Z59" s="133"/>
      <c r="AJ59" s="283"/>
      <c r="AK59" s="283"/>
      <c r="AL59" s="283"/>
      <c r="AM59" s="283"/>
      <c r="AN59" s="283"/>
    </row>
    <row r="60" spans="1:40" x14ac:dyDescent="0.3">
      <c r="A60" s="532"/>
      <c r="B60" s="255"/>
      <c r="C60" s="255"/>
      <c r="D60" s="282" t="s">
        <v>841</v>
      </c>
      <c r="E60" s="186">
        <f>E59-$D$59</f>
        <v>-315.06589622037029</v>
      </c>
      <c r="F60" s="186">
        <f t="shared" ref="F60:I60" si="56">F59-$D$59</f>
        <v>-636.32805141209974</v>
      </c>
      <c r="G60" s="186">
        <f t="shared" si="56"/>
        <v>-629.95023647324774</v>
      </c>
      <c r="H60" s="186">
        <f t="shared" si="56"/>
        <v>-623.51092787071468</v>
      </c>
      <c r="I60" s="186">
        <f t="shared" si="56"/>
        <v>-617.00953269443528</v>
      </c>
      <c r="J60" s="538"/>
      <c r="K60" s="217"/>
      <c r="L60" s="217"/>
      <c r="M60" s="290">
        <f>M59-$L59</f>
        <v>-20.981498292899332</v>
      </c>
      <c r="N60" s="290">
        <f t="shared" ref="N60:Q60" si="57">N59-$L59</f>
        <v>-42.37563025573737</v>
      </c>
      <c r="O60" s="290">
        <f t="shared" si="57"/>
        <v>-41.950906047699462</v>
      </c>
      <c r="P60" s="290">
        <f t="shared" si="57"/>
        <v>-41.522086730622377</v>
      </c>
      <c r="Q60" s="290">
        <f t="shared" si="57"/>
        <v>-41.089132820253219</v>
      </c>
      <c r="R60" s="133"/>
      <c r="S60" s="133"/>
      <c r="T60" s="133"/>
      <c r="U60" s="133"/>
      <c r="V60" s="133"/>
      <c r="W60" s="133"/>
      <c r="X60" s="133"/>
      <c r="Y60" s="133"/>
      <c r="Z60" s="133"/>
      <c r="AJ60" s="283"/>
      <c r="AK60" s="283"/>
      <c r="AL60" s="283"/>
      <c r="AM60" s="283"/>
      <c r="AN60" s="283"/>
    </row>
    <row r="61" spans="1:40" x14ac:dyDescent="0.3">
      <c r="A61" s="285"/>
      <c r="B61" s="533"/>
      <c r="C61" s="534"/>
      <c r="D61" s="535"/>
      <c r="E61" s="536"/>
      <c r="F61" s="285"/>
      <c r="G61" s="285"/>
      <c r="H61" s="285"/>
      <c r="I61" s="297"/>
      <c r="J61" s="217"/>
      <c r="K61" s="217"/>
      <c r="L61" s="217"/>
      <c r="M61" s="217"/>
      <c r="N61" s="217"/>
      <c r="O61" s="217"/>
      <c r="P61" s="217"/>
      <c r="Q61" s="217"/>
      <c r="R61" s="133"/>
      <c r="S61" s="133"/>
      <c r="T61" s="133"/>
      <c r="U61" s="133"/>
      <c r="V61" s="133"/>
      <c r="W61" s="133"/>
      <c r="X61" s="133"/>
      <c r="Y61" s="133"/>
      <c r="Z61" s="133"/>
      <c r="AJ61" s="283"/>
      <c r="AK61" s="283"/>
      <c r="AL61" s="283"/>
      <c r="AM61" s="283"/>
      <c r="AN61" s="283"/>
    </row>
    <row r="62" spans="1:40" x14ac:dyDescent="0.3">
      <c r="A62" s="285"/>
      <c r="B62" s="377" t="s">
        <v>1104</v>
      </c>
      <c r="C62" s="378"/>
      <c r="D62" s="378"/>
      <c r="E62" s="378"/>
      <c r="F62" s="378"/>
      <c r="G62" s="378"/>
      <c r="H62" s="378"/>
      <c r="I62" s="216"/>
      <c r="J62" s="217"/>
      <c r="K62" s="217"/>
      <c r="L62" s="217"/>
      <c r="M62" s="217"/>
      <c r="N62" s="217"/>
      <c r="O62" s="217"/>
      <c r="P62" s="217"/>
      <c r="Q62" s="217"/>
      <c r="R62" s="133"/>
      <c r="S62" s="133"/>
      <c r="T62" s="133"/>
      <c r="U62" s="133"/>
      <c r="V62" s="133"/>
      <c r="W62" s="133"/>
      <c r="X62" s="133"/>
      <c r="Y62" s="133"/>
      <c r="Z62" s="133"/>
      <c r="AJ62" s="283"/>
      <c r="AK62" s="283"/>
      <c r="AL62" s="283"/>
      <c r="AM62" s="283"/>
      <c r="AN62" s="283"/>
    </row>
    <row r="63" spans="1:40" x14ac:dyDescent="0.3">
      <c r="A63" s="285"/>
      <c r="B63" s="537" t="s">
        <v>1103</v>
      </c>
      <c r="C63" s="378"/>
      <c r="D63" s="834"/>
      <c r="E63" s="378"/>
      <c r="F63" s="378"/>
      <c r="G63" s="378"/>
      <c r="H63" s="378"/>
      <c r="I63" s="216"/>
      <c r="J63" s="217"/>
      <c r="K63" s="217"/>
      <c r="L63" s="217"/>
      <c r="M63" s="217"/>
      <c r="N63" s="217"/>
      <c r="O63" s="217"/>
      <c r="P63" s="217"/>
      <c r="Q63" s="217"/>
      <c r="R63" s="133"/>
      <c r="S63" s="133"/>
      <c r="T63" s="133"/>
      <c r="U63" s="133"/>
      <c r="V63" s="133"/>
      <c r="W63" s="133"/>
      <c r="X63" s="133"/>
      <c r="Y63" s="133"/>
      <c r="Z63" s="133"/>
      <c r="AJ63" s="283"/>
      <c r="AK63" s="283"/>
      <c r="AL63" s="283"/>
      <c r="AM63" s="283"/>
      <c r="AN63" s="283"/>
    </row>
    <row r="64" spans="1:40" ht="43.2" x14ac:dyDescent="0.3">
      <c r="A64" s="532"/>
      <c r="B64" s="306" t="s">
        <v>766</v>
      </c>
      <c r="C64" s="166" t="s">
        <v>1099</v>
      </c>
      <c r="D64" s="402" t="s">
        <v>831</v>
      </c>
      <c r="E64" s="254" t="s">
        <v>676</v>
      </c>
      <c r="F64" s="254" t="s">
        <v>677</v>
      </c>
      <c r="G64" s="165" t="s">
        <v>803</v>
      </c>
      <c r="H64" s="165" t="s">
        <v>804</v>
      </c>
      <c r="I64" s="254" t="s">
        <v>805</v>
      </c>
      <c r="J64" s="538"/>
      <c r="K64" s="531" t="s">
        <v>1100</v>
      </c>
      <c r="L64" s="402" t="s">
        <v>831</v>
      </c>
      <c r="M64" s="521" t="s">
        <v>676</v>
      </c>
      <c r="N64" s="521" t="s">
        <v>677</v>
      </c>
      <c r="O64" s="403" t="s">
        <v>803</v>
      </c>
      <c r="P64" s="403" t="s">
        <v>804</v>
      </c>
      <c r="Q64" s="521" t="s">
        <v>805</v>
      </c>
      <c r="R64" s="133"/>
      <c r="S64" s="133"/>
      <c r="T64" s="133"/>
      <c r="U64" s="133"/>
      <c r="V64" s="133"/>
      <c r="W64" s="133"/>
      <c r="X64" s="133"/>
      <c r="Y64" s="133"/>
      <c r="Z64" s="133"/>
      <c r="AJ64" s="283"/>
      <c r="AK64" s="283"/>
      <c r="AL64" s="283"/>
      <c r="AM64" s="283"/>
      <c r="AN64" s="283"/>
    </row>
    <row r="65" spans="1:40" x14ac:dyDescent="0.3">
      <c r="A65" s="532"/>
      <c r="B65" s="334" t="s">
        <v>1065</v>
      </c>
      <c r="C65" s="149">
        <f>'Inputs and eligible population'!F101</f>
        <v>1</v>
      </c>
      <c r="D65" s="128">
        <f>Summary!$C$16*'Capacity (local prices)'!$C65*'Inputs and eligible population'!$E$50</f>
        <v>0</v>
      </c>
      <c r="E65" s="128">
        <f>Summary!$D$16*'Capacity (local prices)'!$C65*'Inputs and eligible population'!$E$50</f>
        <v>0</v>
      </c>
      <c r="F65" s="128">
        <f>Summary!E$16*'Capacity (local prices)'!$C65*'Inputs and eligible population'!$E$50</f>
        <v>0</v>
      </c>
      <c r="G65" s="128">
        <f>Summary!F$16*'Capacity (local prices)'!$C65*'Inputs and eligible population'!$E$50</f>
        <v>0</v>
      </c>
      <c r="H65" s="128">
        <f>Summary!G$16*'Capacity (local prices)'!$C65*'Inputs and eligible population'!$E$50</f>
        <v>0</v>
      </c>
      <c r="I65" s="128">
        <f>Summary!H$16*'Capacity (local prices)'!$C$48*'Inputs and eligible population'!$E$50</f>
        <v>0</v>
      </c>
      <c r="J65" s="538"/>
      <c r="K65" s="544">
        <f>'Inputs and eligible population'!$N102*'Inputs and eligible population'!F102/60</f>
        <v>125.116</v>
      </c>
      <c r="L65" s="546">
        <f>$K65/1000*D65</f>
        <v>0</v>
      </c>
      <c r="M65" s="546">
        <f t="shared" ref="M65:M75" si="58">$K65/1000*E65</f>
        <v>0</v>
      </c>
      <c r="N65" s="546">
        <f t="shared" ref="N65:N75" si="59">$K65/1000*F65</f>
        <v>0</v>
      </c>
      <c r="O65" s="546">
        <f t="shared" ref="O65:O75" si="60">$K65/1000*G65</f>
        <v>0</v>
      </c>
      <c r="P65" s="546">
        <f t="shared" ref="P65:P75" si="61">$K65/1000*H65</f>
        <v>0</v>
      </c>
      <c r="Q65" s="546">
        <f t="shared" ref="Q65:Q75" si="62">$K65/1000*I65</f>
        <v>0</v>
      </c>
      <c r="R65" s="133"/>
      <c r="S65" s="133"/>
      <c r="T65" s="133"/>
      <c r="U65" s="133"/>
      <c r="V65" s="133"/>
      <c r="W65" s="133"/>
      <c r="X65" s="133"/>
      <c r="Y65" s="133"/>
      <c r="Z65" s="133"/>
      <c r="AJ65" s="283"/>
      <c r="AK65" s="283"/>
      <c r="AL65" s="283"/>
      <c r="AM65" s="283"/>
      <c r="AN65" s="283"/>
    </row>
    <row r="66" spans="1:40" x14ac:dyDescent="0.3">
      <c r="A66" s="532"/>
      <c r="B66" s="334" t="s">
        <v>1064</v>
      </c>
      <c r="C66" s="149">
        <f>'Inputs and eligible population'!G101</f>
        <v>1</v>
      </c>
      <c r="D66" s="128">
        <f>Summary!C$16*'Capacity (local prices)'!$C66*'Inputs and eligible population'!$E$51</f>
        <v>0</v>
      </c>
      <c r="E66" s="128">
        <f>Summary!D$16*'Capacity (local prices)'!$C66*'Inputs and eligible population'!$E$51</f>
        <v>0</v>
      </c>
      <c r="F66" s="128">
        <f>Summary!E$16*'Capacity (local prices)'!$C66*'Inputs and eligible population'!$E$51</f>
        <v>0</v>
      </c>
      <c r="G66" s="128">
        <f>Summary!F$16*'Capacity (local prices)'!$C66*'Inputs and eligible population'!$E$51</f>
        <v>0</v>
      </c>
      <c r="H66" s="128">
        <f>Summary!G$16*'Capacity (local prices)'!$C$49*'Inputs and eligible population'!$E$51</f>
        <v>0</v>
      </c>
      <c r="I66" s="128">
        <f>Summary!H$16*'Capacity (local prices)'!$C$49*'Inputs and eligible population'!$E$51</f>
        <v>0</v>
      </c>
      <c r="J66" s="538"/>
      <c r="K66" s="544">
        <f>'Inputs and eligible population'!$N$102*'Inputs and eligible population'!G$102/60</f>
        <v>34.306000000000004</v>
      </c>
      <c r="L66" s="546">
        <f t="shared" ref="L66:L75" si="63">$K66/1000*D66</f>
        <v>0</v>
      </c>
      <c r="M66" s="546">
        <f t="shared" si="58"/>
        <v>0</v>
      </c>
      <c r="N66" s="546">
        <f t="shared" si="59"/>
        <v>0</v>
      </c>
      <c r="O66" s="546">
        <f t="shared" si="60"/>
        <v>0</v>
      </c>
      <c r="P66" s="546">
        <f t="shared" si="61"/>
        <v>0</v>
      </c>
      <c r="Q66" s="546">
        <f t="shared" si="62"/>
        <v>0</v>
      </c>
      <c r="R66" s="133"/>
      <c r="S66" s="133"/>
      <c r="T66" s="133"/>
      <c r="U66" s="133"/>
      <c r="V66" s="133"/>
      <c r="W66" s="133"/>
      <c r="X66" s="133"/>
      <c r="Y66" s="133"/>
      <c r="Z66" s="133"/>
      <c r="AJ66" s="283"/>
      <c r="AK66" s="283"/>
      <c r="AL66" s="283"/>
      <c r="AM66" s="283"/>
      <c r="AN66" s="283"/>
    </row>
    <row r="67" spans="1:40" x14ac:dyDescent="0.3">
      <c r="A67" s="532"/>
      <c r="B67" s="334" t="s">
        <v>1162</v>
      </c>
      <c r="C67" s="149">
        <f>'Inputs and eligible population'!$H$101</f>
        <v>1</v>
      </c>
      <c r="D67" s="128">
        <f>'Inputs and eligible population'!$E$52*'Inputs and eligible population'!$L$84*'Capacity (local prices)'!$C$33</f>
        <v>0</v>
      </c>
      <c r="E67" s="128">
        <f>'Inputs and eligible population'!$E$52*'Inputs and eligible population'!$M$84*'Capacity (local prices)'!$C67</f>
        <v>0</v>
      </c>
      <c r="F67" s="128">
        <f>'Inputs and eligible population'!$E$52*'Inputs and eligible population'!$N$84*'Capacity (local prices)'!$C67</f>
        <v>0</v>
      </c>
      <c r="G67" s="128">
        <f>'Inputs and eligible population'!$E$52*'Inputs and eligible population'!$O$84*'Capacity (local prices)'!$C67</f>
        <v>0</v>
      </c>
      <c r="H67" s="128">
        <f>'Inputs and eligible population'!$E$52*'Inputs and eligible population'!$P$84*'Capacity (local prices)'!$C67</f>
        <v>0</v>
      </c>
      <c r="I67" s="128">
        <f>'Inputs and eligible population'!$E$52*'Inputs and eligible population'!$Q$84*'Capacity (local prices)'!$C67</f>
        <v>0</v>
      </c>
      <c r="J67" s="538"/>
      <c r="K67" s="544">
        <f>'Inputs and eligible population'!$N$102*'Inputs and eligible population'!H$102/60</f>
        <v>34.306000000000004</v>
      </c>
      <c r="L67" s="546">
        <f t="shared" si="63"/>
        <v>0</v>
      </c>
      <c r="M67" s="546">
        <f t="shared" si="58"/>
        <v>0</v>
      </c>
      <c r="N67" s="546">
        <f t="shared" si="59"/>
        <v>0</v>
      </c>
      <c r="O67" s="546">
        <f t="shared" si="60"/>
        <v>0</v>
      </c>
      <c r="P67" s="546">
        <f t="shared" si="61"/>
        <v>0</v>
      </c>
      <c r="Q67" s="546">
        <f t="shared" si="62"/>
        <v>0</v>
      </c>
      <c r="R67" s="133"/>
      <c r="S67" s="133"/>
      <c r="T67" s="133"/>
      <c r="U67" s="133"/>
      <c r="V67" s="133"/>
      <c r="W67" s="133"/>
      <c r="X67" s="133"/>
      <c r="Y67" s="133"/>
      <c r="Z67" s="133"/>
      <c r="AJ67" s="283"/>
      <c r="AK67" s="283"/>
      <c r="AL67" s="283"/>
      <c r="AM67" s="283"/>
      <c r="AN67" s="283"/>
    </row>
    <row r="68" spans="1:40" x14ac:dyDescent="0.3">
      <c r="A68" s="532"/>
      <c r="B68" s="334" t="s">
        <v>1163</v>
      </c>
      <c r="C68" s="149">
        <f>'Inputs and eligible population'!$H$101</f>
        <v>1</v>
      </c>
      <c r="D68" s="128">
        <f>'Inputs and eligible population'!$F$52*'Inputs and eligible population'!$L$84*'Capacity (local prices)'!$C68</f>
        <v>0</v>
      </c>
      <c r="E68" s="128">
        <f>'Inputs and eligible population'!$F$52*'Inputs and eligible population'!$L$84*'Capacity (local prices)'!$C68</f>
        <v>0</v>
      </c>
      <c r="F68" s="128">
        <f>'Inputs and eligible population'!$F$52*'Inputs and eligible population'!$M$84*'Capacity (local prices)'!$C68</f>
        <v>0</v>
      </c>
      <c r="G68" s="128">
        <f>'Inputs and eligible population'!$F$52*'Inputs and eligible population'!$N$84*'Capacity (local prices)'!$C68</f>
        <v>0</v>
      </c>
      <c r="H68" s="128">
        <f>'Inputs and eligible population'!$F$52*'Inputs and eligible population'!$O$84*'Capacity (local prices)'!$C68</f>
        <v>0</v>
      </c>
      <c r="I68" s="128">
        <f>'Inputs and eligible population'!$F$52*'Inputs and eligible population'!$P$84*'Capacity (local prices)'!$C68</f>
        <v>0</v>
      </c>
      <c r="J68" s="538"/>
      <c r="K68" s="544">
        <f>'Inputs and eligible population'!$N$102*'Inputs and eligible population'!H$102/60</f>
        <v>34.306000000000004</v>
      </c>
      <c r="L68" s="546">
        <f t="shared" si="63"/>
        <v>0</v>
      </c>
      <c r="M68" s="546">
        <f t="shared" si="58"/>
        <v>0</v>
      </c>
      <c r="N68" s="546">
        <f t="shared" si="59"/>
        <v>0</v>
      </c>
      <c r="O68" s="546">
        <f t="shared" si="60"/>
        <v>0</v>
      </c>
      <c r="P68" s="546">
        <f t="shared" si="61"/>
        <v>0</v>
      </c>
      <c r="Q68" s="546">
        <f t="shared" si="62"/>
        <v>0</v>
      </c>
      <c r="R68" s="133"/>
      <c r="S68" s="133"/>
      <c r="T68" s="133"/>
      <c r="U68" s="133"/>
      <c r="V68" s="133"/>
      <c r="W68" s="133"/>
      <c r="X68" s="133"/>
      <c r="Y68" s="133"/>
      <c r="Z68" s="133"/>
      <c r="AJ68" s="283"/>
      <c r="AK68" s="283"/>
      <c r="AL68" s="283"/>
      <c r="AM68" s="283"/>
      <c r="AN68" s="283"/>
    </row>
    <row r="69" spans="1:40" x14ac:dyDescent="0.3">
      <c r="A69" s="532"/>
      <c r="B69" s="334" t="s">
        <v>1164</v>
      </c>
      <c r="C69" s="149">
        <f>'Inputs and eligible population'!$H$101</f>
        <v>1</v>
      </c>
      <c r="D69" s="128">
        <f>'Inputs and eligible population'!$G$52*'Inputs and eligible population'!$L$84*'Capacity (local prices)'!$C69</f>
        <v>0</v>
      </c>
      <c r="E69" s="128">
        <f>'Inputs and eligible population'!$G$52*'Inputs and eligible population'!$L$84*'Capacity (local prices)'!$C69</f>
        <v>0</v>
      </c>
      <c r="F69" s="128">
        <f>'Inputs and eligible population'!$G$52*'Inputs and eligible population'!$L$84*'Capacity (local prices)'!$C69</f>
        <v>0</v>
      </c>
      <c r="G69" s="128">
        <f>'Inputs and eligible population'!$G$52*'Inputs and eligible population'!$M$84*'Capacity (local prices)'!$C69</f>
        <v>0</v>
      </c>
      <c r="H69" s="128">
        <f>'Inputs and eligible population'!$G$52*'Inputs and eligible population'!$N$84*'Capacity (local prices)'!$C69</f>
        <v>0</v>
      </c>
      <c r="I69" s="128">
        <f>'Inputs and eligible population'!$G$52*'Inputs and eligible population'!$O$84*'Capacity (local prices)'!$C69</f>
        <v>0</v>
      </c>
      <c r="J69" s="538"/>
      <c r="K69" s="544">
        <f>'Inputs and eligible population'!$N$102*'Inputs and eligible population'!H$102/60</f>
        <v>34.306000000000004</v>
      </c>
      <c r="L69" s="546">
        <f t="shared" si="63"/>
        <v>0</v>
      </c>
      <c r="M69" s="546">
        <f t="shared" si="58"/>
        <v>0</v>
      </c>
      <c r="N69" s="546">
        <f t="shared" si="59"/>
        <v>0</v>
      </c>
      <c r="O69" s="546">
        <f t="shared" si="60"/>
        <v>0</v>
      </c>
      <c r="P69" s="546">
        <f t="shared" si="61"/>
        <v>0</v>
      </c>
      <c r="Q69" s="546">
        <f t="shared" si="62"/>
        <v>0</v>
      </c>
      <c r="R69" s="133"/>
      <c r="S69" s="133"/>
      <c r="T69" s="133"/>
      <c r="U69" s="133"/>
      <c r="V69" s="133"/>
      <c r="W69" s="133"/>
      <c r="X69" s="133"/>
      <c r="Y69" s="133"/>
      <c r="Z69" s="133"/>
      <c r="AJ69" s="283"/>
      <c r="AK69" s="283"/>
      <c r="AL69" s="283"/>
      <c r="AM69" s="283"/>
      <c r="AN69" s="283"/>
    </row>
    <row r="70" spans="1:40" x14ac:dyDescent="0.3">
      <c r="A70" s="532"/>
      <c r="B70" s="334" t="s">
        <v>1066</v>
      </c>
      <c r="C70" s="149">
        <f>'Inputs and eligible population'!I101</f>
        <v>1</v>
      </c>
      <c r="D70" s="128">
        <f>'Financial impact (cash)'!D$15*$C70*'Inputs and eligible population'!$E$53</f>
        <v>0</v>
      </c>
      <c r="E70" s="128">
        <f>'Financial impact (cash)'!E$15*$C70*'Inputs and eligible population'!$E$53</f>
        <v>0</v>
      </c>
      <c r="F70" s="128">
        <f>'Financial impact (cash)'!F$15*$C70*'Inputs and eligible population'!$E$53</f>
        <v>0</v>
      </c>
      <c r="G70" s="128">
        <f>'Financial impact (cash)'!G$15*$C70*'Inputs and eligible population'!$E$53</f>
        <v>0</v>
      </c>
      <c r="H70" s="128">
        <f>'Financial impact (cash)'!H$15*$C70*'Inputs and eligible population'!$E$53</f>
        <v>0</v>
      </c>
      <c r="I70" s="128">
        <f>'Financial impact (cash)'!I$15*$C70*'Inputs and eligible population'!$E$53</f>
        <v>0</v>
      </c>
      <c r="J70" s="538"/>
      <c r="K70" s="544">
        <f>'Inputs and eligible population'!$N$102*'Inputs and eligible population'!I$102/60</f>
        <v>125.116</v>
      </c>
      <c r="L70" s="546">
        <f t="shared" si="63"/>
        <v>0</v>
      </c>
      <c r="M70" s="546">
        <f t="shared" si="58"/>
        <v>0</v>
      </c>
      <c r="N70" s="546">
        <f t="shared" si="59"/>
        <v>0</v>
      </c>
      <c r="O70" s="546">
        <f t="shared" si="60"/>
        <v>0</v>
      </c>
      <c r="P70" s="546">
        <f t="shared" si="61"/>
        <v>0</v>
      </c>
      <c r="Q70" s="546">
        <f t="shared" si="62"/>
        <v>0</v>
      </c>
      <c r="R70" s="133"/>
      <c r="S70" s="133"/>
      <c r="T70" s="133"/>
      <c r="U70" s="133"/>
      <c r="V70" s="133"/>
      <c r="W70" s="133"/>
      <c r="X70" s="133"/>
      <c r="Y70" s="133"/>
      <c r="Z70" s="133"/>
      <c r="AJ70" s="283"/>
      <c r="AK70" s="283"/>
      <c r="AL70" s="283"/>
      <c r="AM70" s="283"/>
      <c r="AN70" s="283"/>
    </row>
    <row r="71" spans="1:40" x14ac:dyDescent="0.3">
      <c r="A71" s="532"/>
      <c r="B71" s="334" t="s">
        <v>1067</v>
      </c>
      <c r="C71" s="149">
        <f>'Inputs and eligible population'!J101</f>
        <v>1</v>
      </c>
      <c r="D71" s="128">
        <f>'Financial impact (cash)'!D$15*$C71*'Inputs and eligible population'!$E$54</f>
        <v>0</v>
      </c>
      <c r="E71" s="128">
        <f>'Financial impact (cash)'!E$15*$C71*'Inputs and eligible population'!$E$54</f>
        <v>0</v>
      </c>
      <c r="F71" s="128">
        <f>'Financial impact (cash)'!F$15*$C71*'Inputs and eligible population'!$E$54</f>
        <v>0</v>
      </c>
      <c r="G71" s="128">
        <f>'Financial impact (cash)'!G$15*$C71*'Inputs and eligible population'!$E$54</f>
        <v>0</v>
      </c>
      <c r="H71" s="128">
        <f>'Financial impact (cash)'!H$15*$C71*'Inputs and eligible population'!$E$54</f>
        <v>0</v>
      </c>
      <c r="I71" s="128">
        <f>'Financial impact (cash)'!I$15*$C71*'Inputs and eligible population'!$E$54</f>
        <v>0</v>
      </c>
      <c r="J71" s="538"/>
      <c r="K71" s="544">
        <f>'Inputs and eligible population'!$N$102*'Inputs and eligible population'!J$102/60</f>
        <v>34.306000000000004</v>
      </c>
      <c r="L71" s="546">
        <f t="shared" si="63"/>
        <v>0</v>
      </c>
      <c r="M71" s="546">
        <f t="shared" si="58"/>
        <v>0</v>
      </c>
      <c r="N71" s="546">
        <f t="shared" si="59"/>
        <v>0</v>
      </c>
      <c r="O71" s="546">
        <f t="shared" si="60"/>
        <v>0</v>
      </c>
      <c r="P71" s="546">
        <f t="shared" si="61"/>
        <v>0</v>
      </c>
      <c r="Q71" s="546">
        <f t="shared" si="62"/>
        <v>0</v>
      </c>
      <c r="R71" s="133"/>
      <c r="S71" s="133"/>
      <c r="T71" s="133"/>
      <c r="U71" s="133"/>
      <c r="V71" s="133"/>
      <c r="W71" s="133"/>
      <c r="X71" s="133"/>
      <c r="Y71" s="133"/>
      <c r="Z71" s="133"/>
      <c r="AJ71" s="283"/>
      <c r="AK71" s="283"/>
      <c r="AL71" s="283"/>
      <c r="AM71" s="283"/>
      <c r="AN71" s="283"/>
    </row>
    <row r="72" spans="1:40" x14ac:dyDescent="0.3">
      <c r="A72" s="532"/>
      <c r="B72" s="334" t="s">
        <v>1165</v>
      </c>
      <c r="C72" s="149">
        <f>'Inputs and eligible population'!$K$101</f>
        <v>1</v>
      </c>
      <c r="D72" s="128">
        <f>Summary!$C$17*'Capacity (local prices)'!$C72*'Inputs and eligible population'!$E$55</f>
        <v>0</v>
      </c>
      <c r="E72" s="128">
        <f>(Summary!$D$17*'Capacity (local prices)'!$C72*'Inputs and eligible population'!$E$55)</f>
        <v>0</v>
      </c>
      <c r="F72" s="128">
        <f>(Summary!$E$17*'Capacity (local prices)'!$C72*'Inputs and eligible population'!$E$55)</f>
        <v>0</v>
      </c>
      <c r="G72" s="128">
        <f>(Summary!$F$17*'Capacity (local prices)'!$C72*'Inputs and eligible population'!$E$55)</f>
        <v>0</v>
      </c>
      <c r="H72" s="128">
        <f>(Summary!$G$17*'Capacity (local prices)'!$C72*'Inputs and eligible population'!$E$55)</f>
        <v>0</v>
      </c>
      <c r="I72" s="128">
        <f>(Summary!$H$17*'Capacity (local prices)'!$C72*'Inputs and eligible population'!$E$55)</f>
        <v>0</v>
      </c>
      <c r="J72" s="538"/>
      <c r="K72" s="544">
        <f>'Inputs and eligible population'!$N$102*'Inputs and eligible population'!K$102/60</f>
        <v>34.306000000000004</v>
      </c>
      <c r="L72" s="546">
        <f t="shared" si="63"/>
        <v>0</v>
      </c>
      <c r="M72" s="546">
        <f t="shared" si="58"/>
        <v>0</v>
      </c>
      <c r="N72" s="546">
        <f t="shared" si="59"/>
        <v>0</v>
      </c>
      <c r="O72" s="546">
        <f t="shared" si="60"/>
        <v>0</v>
      </c>
      <c r="P72" s="546">
        <f t="shared" si="61"/>
        <v>0</v>
      </c>
      <c r="Q72" s="546">
        <f t="shared" si="62"/>
        <v>0</v>
      </c>
      <c r="R72" s="133"/>
      <c r="S72" s="133"/>
      <c r="T72" s="133"/>
      <c r="U72" s="133"/>
      <c r="V72" s="133"/>
      <c r="W72" s="133"/>
      <c r="X72" s="133"/>
      <c r="Y72" s="133"/>
      <c r="Z72" s="133"/>
      <c r="AJ72" s="283"/>
      <c r="AK72" s="283"/>
      <c r="AL72" s="283"/>
      <c r="AM72" s="283"/>
      <c r="AN72" s="283"/>
    </row>
    <row r="73" spans="1:40" x14ac:dyDescent="0.3">
      <c r="A73" s="532"/>
      <c r="B73" s="334" t="s">
        <v>1166</v>
      </c>
      <c r="C73" s="149">
        <f>'Inputs and eligible population'!$K$101</f>
        <v>1</v>
      </c>
      <c r="D73" s="128">
        <f>Summary!$C$17*'Capacity (local prices)'!$C72*'Inputs and eligible population'!$F$55</f>
        <v>0</v>
      </c>
      <c r="E73" s="128">
        <f>Summary!$C$17*'Capacity (local prices)'!$C72*'Inputs and eligible population'!$F$55</f>
        <v>0</v>
      </c>
      <c r="F73" s="128">
        <f>(Summary!$D$17*'Capacity (local prices)'!$C72*'Inputs and eligible population'!$F$55)</f>
        <v>0</v>
      </c>
      <c r="G73" s="128">
        <f>(Summary!$E$17*'Capacity (local prices)'!$C72*'Inputs and eligible population'!$F$55)</f>
        <v>0</v>
      </c>
      <c r="H73" s="128">
        <f>(Summary!$F$17*'Capacity (local prices)'!$C72*'Inputs and eligible population'!$F$55)</f>
        <v>0</v>
      </c>
      <c r="I73" s="128">
        <f>(Summary!$G$17*'Capacity (local prices)'!$C72*'Inputs and eligible population'!$F$55)</f>
        <v>0</v>
      </c>
      <c r="J73" s="538"/>
      <c r="K73" s="544">
        <f>'Inputs and eligible population'!$N$102*'Inputs and eligible population'!K$102/60</f>
        <v>34.306000000000004</v>
      </c>
      <c r="L73" s="546">
        <f t="shared" si="63"/>
        <v>0</v>
      </c>
      <c r="M73" s="546">
        <f t="shared" si="58"/>
        <v>0</v>
      </c>
      <c r="N73" s="546">
        <f t="shared" si="59"/>
        <v>0</v>
      </c>
      <c r="O73" s="546">
        <f t="shared" si="60"/>
        <v>0</v>
      </c>
      <c r="P73" s="546">
        <f t="shared" si="61"/>
        <v>0</v>
      </c>
      <c r="Q73" s="546">
        <f t="shared" si="62"/>
        <v>0</v>
      </c>
      <c r="R73" s="133"/>
      <c r="S73" s="133"/>
      <c r="T73" s="133"/>
      <c r="U73" s="133"/>
      <c r="V73" s="133"/>
      <c r="W73" s="133"/>
      <c r="X73" s="133"/>
      <c r="Y73" s="133"/>
      <c r="Z73" s="133"/>
      <c r="AJ73" s="283"/>
      <c r="AK73" s="283"/>
      <c r="AL73" s="283"/>
      <c r="AM73" s="283"/>
      <c r="AN73" s="283"/>
    </row>
    <row r="74" spans="1:40" x14ac:dyDescent="0.3">
      <c r="A74" s="532"/>
      <c r="B74" s="334" t="s">
        <v>1167</v>
      </c>
      <c r="C74" s="149">
        <f>'Inputs and eligible population'!$K$101</f>
        <v>1</v>
      </c>
      <c r="D74" s="128">
        <f>Summary!$C$17*'Capacity (local prices)'!$C72*'Inputs and eligible population'!$G$55</f>
        <v>0</v>
      </c>
      <c r="E74" s="128">
        <f>Summary!$C$17*'Capacity (local prices)'!$C72*'Inputs and eligible population'!$G$55</f>
        <v>0</v>
      </c>
      <c r="F74" s="128">
        <f>Summary!$C$17*'Capacity (local prices)'!$C72*'Inputs and eligible population'!$G$55</f>
        <v>0</v>
      </c>
      <c r="G74" s="128">
        <f>(Summary!$D$17*'Capacity (local prices)'!$C72*'Inputs and eligible population'!$G$55)</f>
        <v>0</v>
      </c>
      <c r="H74" s="128">
        <f>(Summary!$E$17*'Capacity (local prices)'!$C72*'Inputs and eligible population'!$G$55)</f>
        <v>0</v>
      </c>
      <c r="I74" s="128">
        <f>(Summary!$F$17*'Capacity (local prices)'!$C72*'Inputs and eligible population'!$G$55)</f>
        <v>0</v>
      </c>
      <c r="J74" s="538"/>
      <c r="K74" s="544">
        <f>'Inputs and eligible population'!$N$102*'Inputs and eligible population'!K$102/60</f>
        <v>34.306000000000004</v>
      </c>
      <c r="L74" s="546">
        <f t="shared" si="63"/>
        <v>0</v>
      </c>
      <c r="M74" s="546">
        <f t="shared" si="58"/>
        <v>0</v>
      </c>
      <c r="N74" s="546">
        <f t="shared" si="59"/>
        <v>0</v>
      </c>
      <c r="O74" s="546">
        <f t="shared" si="60"/>
        <v>0</v>
      </c>
      <c r="P74" s="546">
        <f t="shared" si="61"/>
        <v>0</v>
      </c>
      <c r="Q74" s="546">
        <f t="shared" si="62"/>
        <v>0</v>
      </c>
      <c r="R74" s="133"/>
      <c r="S74" s="133"/>
      <c r="T74" s="133"/>
      <c r="U74" s="133"/>
      <c r="V74" s="133"/>
      <c r="W74" s="133"/>
      <c r="X74" s="133"/>
      <c r="Y74" s="133"/>
      <c r="Z74" s="133"/>
      <c r="AJ74" s="283"/>
      <c r="AK74" s="283"/>
      <c r="AL74" s="283"/>
      <c r="AM74" s="283"/>
      <c r="AN74" s="283"/>
    </row>
    <row r="75" spans="1:40" x14ac:dyDescent="0.3">
      <c r="A75" s="532"/>
      <c r="B75" s="832" t="s">
        <v>1069</v>
      </c>
      <c r="C75" s="149">
        <f>'Inputs and eligible population'!L101</f>
        <v>1</v>
      </c>
      <c r="D75" s="128">
        <f>Summary!C$18*'Capacity (local prices)'!$C75*'Inputs and eligible population'!$E$56</f>
        <v>1297.8030873648743</v>
      </c>
      <c r="E75" s="128">
        <f>Summary!D$18*'Capacity (local prices)'!$C75*'Inputs and eligible population'!$E$56</f>
        <v>982.73719114450398</v>
      </c>
      <c r="F75" s="128">
        <f>Summary!E$18*'Capacity (local prices)'!$C75*'Inputs and eligible population'!$E$56</f>
        <v>661.47503595277453</v>
      </c>
      <c r="G75" s="128">
        <f>Summary!F$18*'Capacity (local prices)'!$C75*'Inputs and eligible population'!$E$56</f>
        <v>667.85285089162653</v>
      </c>
      <c r="H75" s="128">
        <f>Summary!G$18*'Capacity (local prices)'!$C75*'Inputs and eligible population'!$E$56</f>
        <v>674.29215949415959</v>
      </c>
      <c r="I75" s="128">
        <f>Summary!H$18*'Capacity (local prices)'!$C75*'Inputs and eligible population'!$E$56</f>
        <v>680.79355467043899</v>
      </c>
      <c r="J75" s="538"/>
      <c r="K75" s="544">
        <f>'Inputs and eligible population'!$N$102*'Inputs and eligible population'!L$102/60</f>
        <v>34.306000000000004</v>
      </c>
      <c r="L75" s="546">
        <f t="shared" si="63"/>
        <v>44.522432715139381</v>
      </c>
      <c r="M75" s="546">
        <f t="shared" si="58"/>
        <v>33.713782079403359</v>
      </c>
      <c r="N75" s="546">
        <f t="shared" si="59"/>
        <v>22.692562583395887</v>
      </c>
      <c r="O75" s="546">
        <f t="shared" si="60"/>
        <v>22.91135990268814</v>
      </c>
      <c r="P75" s="546">
        <f t="shared" si="61"/>
        <v>23.132266823606642</v>
      </c>
      <c r="Q75" s="546">
        <f t="shared" si="62"/>
        <v>23.355303686524081</v>
      </c>
      <c r="R75" s="133"/>
      <c r="S75" s="133"/>
      <c r="T75" s="133"/>
      <c r="U75" s="133"/>
      <c r="V75" s="133"/>
      <c r="W75" s="133"/>
      <c r="X75" s="133"/>
      <c r="Y75" s="133"/>
      <c r="Z75" s="133"/>
      <c r="AJ75" s="283"/>
      <c r="AK75" s="283"/>
      <c r="AL75" s="283"/>
      <c r="AM75" s="283"/>
      <c r="AN75" s="283"/>
    </row>
    <row r="76" spans="1:40" x14ac:dyDescent="0.3">
      <c r="A76" s="532"/>
      <c r="B76" s="504"/>
      <c r="C76" s="280"/>
      <c r="D76" s="186">
        <f>SUM(D65:D75)</f>
        <v>1297.8030873648743</v>
      </c>
      <c r="E76" s="186">
        <f t="shared" ref="E76" si="64">SUM(E65:E75)</f>
        <v>982.73719114450398</v>
      </c>
      <c r="F76" s="186">
        <f t="shared" ref="F76" si="65">SUM(F65:F75)</f>
        <v>661.47503595277453</v>
      </c>
      <c r="G76" s="186">
        <f t="shared" ref="G76" si="66">SUM(G65:G75)</f>
        <v>667.85285089162653</v>
      </c>
      <c r="H76" s="186">
        <f t="shared" ref="H76" si="67">SUM(H65:H75)</f>
        <v>674.29215949415959</v>
      </c>
      <c r="I76" s="186">
        <f t="shared" ref="I76" si="68">SUM(I65:I75)</f>
        <v>680.79355467043899</v>
      </c>
      <c r="J76" s="538"/>
      <c r="K76" s="217"/>
      <c r="L76" s="290">
        <f>SUM(L65:L75)</f>
        <v>44.522432715139381</v>
      </c>
      <c r="M76" s="290">
        <f t="shared" ref="M76" si="69">SUM(M65:M75)</f>
        <v>33.713782079403359</v>
      </c>
      <c r="N76" s="290">
        <f t="shared" ref="N76" si="70">SUM(N65:N75)</f>
        <v>22.692562583395887</v>
      </c>
      <c r="O76" s="290">
        <f t="shared" ref="O76" si="71">SUM(O65:O75)</f>
        <v>22.91135990268814</v>
      </c>
      <c r="P76" s="290">
        <f t="shared" ref="P76" si="72">SUM(P65:P75)</f>
        <v>23.132266823606642</v>
      </c>
      <c r="Q76" s="290">
        <f t="shared" ref="Q76" si="73">SUM(Q65:Q75)</f>
        <v>23.355303686524081</v>
      </c>
      <c r="R76" s="133"/>
      <c r="S76" s="133"/>
      <c r="T76" s="133"/>
      <c r="U76" s="133"/>
      <c r="V76" s="133"/>
      <c r="W76" s="133"/>
      <c r="X76" s="133"/>
      <c r="Y76" s="133"/>
      <c r="Z76" s="133"/>
      <c r="AJ76" s="283"/>
      <c r="AK76" s="283"/>
      <c r="AL76" s="283"/>
      <c r="AM76" s="283"/>
      <c r="AN76" s="283"/>
    </row>
    <row r="77" spans="1:40" x14ac:dyDescent="0.3">
      <c r="A77" s="532"/>
      <c r="B77" s="255"/>
      <c r="C77" s="255"/>
      <c r="D77" s="282" t="s">
        <v>841</v>
      </c>
      <c r="E77" s="186">
        <f>E76-$D$76</f>
        <v>-315.06589622037029</v>
      </c>
      <c r="F77" s="186">
        <f t="shared" ref="F77:I77" si="74">F76-$D$76</f>
        <v>-636.32805141209974</v>
      </c>
      <c r="G77" s="186">
        <f t="shared" si="74"/>
        <v>-629.95023647324774</v>
      </c>
      <c r="H77" s="186">
        <f t="shared" si="74"/>
        <v>-623.51092787071468</v>
      </c>
      <c r="I77" s="186">
        <f t="shared" si="74"/>
        <v>-617.00953269443528</v>
      </c>
      <c r="J77" s="538"/>
      <c r="K77" s="217"/>
      <c r="L77" s="217"/>
      <c r="M77" s="290">
        <f>M76-$L76</f>
        <v>-10.808650635736022</v>
      </c>
      <c r="N77" s="290">
        <f t="shared" ref="N77:Q77" si="75">N76-$L76</f>
        <v>-21.829870131743494</v>
      </c>
      <c r="O77" s="290">
        <f t="shared" si="75"/>
        <v>-21.611072812451241</v>
      </c>
      <c r="P77" s="290">
        <f t="shared" si="75"/>
        <v>-21.390165891532739</v>
      </c>
      <c r="Q77" s="290">
        <f t="shared" si="75"/>
        <v>-21.1671290286153</v>
      </c>
      <c r="R77" s="133"/>
      <c r="S77" s="133"/>
      <c r="T77" s="133"/>
      <c r="U77" s="133"/>
      <c r="V77" s="133"/>
      <c r="W77" s="133"/>
      <c r="X77" s="133"/>
      <c r="Y77" s="133"/>
      <c r="Z77" s="133"/>
      <c r="AJ77" s="283"/>
      <c r="AK77" s="283"/>
      <c r="AL77" s="283"/>
      <c r="AM77" s="283"/>
      <c r="AN77" s="283"/>
    </row>
    <row r="78" spans="1:40" ht="30.6" customHeight="1" x14ac:dyDescent="0.3">
      <c r="A78" s="285"/>
      <c r="B78" s="533"/>
      <c r="C78" s="534"/>
      <c r="D78" s="535"/>
      <c r="E78" s="536"/>
      <c r="F78" s="285"/>
      <c r="G78" s="285"/>
      <c r="H78" s="285"/>
      <c r="I78" s="297"/>
      <c r="J78" s="217"/>
      <c r="K78" s="217"/>
      <c r="L78" s="217"/>
      <c r="M78" s="217"/>
      <c r="N78" s="217"/>
      <c r="O78" s="217"/>
      <c r="P78" s="217"/>
      <c r="Q78" s="217"/>
      <c r="R78" s="133"/>
      <c r="S78" s="133"/>
      <c r="T78" s="133"/>
      <c r="U78" s="133"/>
      <c r="V78" s="133"/>
      <c r="W78" s="133"/>
      <c r="X78" s="133"/>
      <c r="Y78" s="133"/>
      <c r="Z78" s="133"/>
      <c r="AJ78" s="283"/>
      <c r="AK78" s="283"/>
      <c r="AL78" s="283"/>
      <c r="AM78" s="283"/>
      <c r="AN78" s="283"/>
    </row>
    <row r="79" spans="1:40" x14ac:dyDescent="0.3">
      <c r="A79" s="284"/>
      <c r="B79" s="308" t="s">
        <v>842</v>
      </c>
      <c r="C79" s="292"/>
      <c r="D79" s="292"/>
      <c r="E79" s="293"/>
      <c r="F79" s="294"/>
      <c r="G79" s="295"/>
      <c r="H79" s="295"/>
      <c r="I79" s="295"/>
      <c r="J79" s="412"/>
      <c r="K79" s="284"/>
      <c r="L79" s="284"/>
      <c r="M79" s="284"/>
      <c r="N79" s="284"/>
      <c r="O79" s="284"/>
      <c r="P79" s="284"/>
      <c r="Q79" s="215"/>
      <c r="V79" s="133"/>
    </row>
    <row r="80" spans="1:40" x14ac:dyDescent="0.3">
      <c r="A80" s="284"/>
      <c r="B80" s="373" t="s">
        <v>1115</v>
      </c>
      <c r="C80" s="374"/>
      <c r="D80" s="374"/>
      <c r="E80" s="374"/>
      <c r="F80" s="374"/>
      <c r="G80" s="374"/>
      <c r="H80" s="374"/>
      <c r="I80" s="214"/>
      <c r="J80" s="409"/>
      <c r="K80" s="215"/>
      <c r="L80" s="408"/>
      <c r="M80" s="408"/>
      <c r="N80" s="408"/>
      <c r="O80" s="408"/>
      <c r="P80" s="408"/>
      <c r="Q80" s="408"/>
      <c r="V80" s="133"/>
    </row>
    <row r="81" spans="1:40" ht="74.55" customHeight="1" x14ac:dyDescent="0.3">
      <c r="A81" s="284"/>
      <c r="B81" s="279" t="s">
        <v>766</v>
      </c>
      <c r="C81" s="166" t="s">
        <v>843</v>
      </c>
      <c r="D81" s="402" t="s">
        <v>831</v>
      </c>
      <c r="E81" s="254" t="s">
        <v>676</v>
      </c>
      <c r="F81" s="254" t="s">
        <v>677</v>
      </c>
      <c r="G81" s="165" t="s">
        <v>803</v>
      </c>
      <c r="H81" s="165" t="s">
        <v>804</v>
      </c>
      <c r="I81" s="254" t="s">
        <v>805</v>
      </c>
      <c r="J81" s="284"/>
      <c r="K81" s="531" t="s">
        <v>840</v>
      </c>
      <c r="L81" s="402" t="s">
        <v>831</v>
      </c>
      <c r="M81" s="521" t="s">
        <v>676</v>
      </c>
      <c r="N81" s="521" t="s">
        <v>677</v>
      </c>
      <c r="O81" s="403" t="s">
        <v>803</v>
      </c>
      <c r="P81" s="403" t="s">
        <v>804</v>
      </c>
      <c r="Q81" s="521" t="s">
        <v>805</v>
      </c>
      <c r="V81" s="133"/>
    </row>
    <row r="82" spans="1:40" x14ac:dyDescent="0.3">
      <c r="A82" s="836"/>
      <c r="B82" s="334" t="s">
        <v>1065</v>
      </c>
      <c r="C82" s="149">
        <f>'Inputs and eligible population'!F103</f>
        <v>132</v>
      </c>
      <c r="D82" s="128">
        <f>(Summary!$C$16*'Capacity (local prices)'!$C82*'Inputs and eligible population'!$E$50)/60</f>
        <v>0</v>
      </c>
      <c r="E82" s="128">
        <f>(Summary!$D$16*'Capacity (local prices)'!$C82*'Inputs and eligible population'!$E$50)/60</f>
        <v>0</v>
      </c>
      <c r="F82" s="128">
        <f>(Summary!E$16*'Capacity (local prices)'!$C82*'Inputs and eligible population'!$E$50)/60</f>
        <v>0</v>
      </c>
      <c r="G82" s="128">
        <f>(Summary!F$16*'Capacity (local prices)'!$C82*'Inputs and eligible population'!$E$50)/60</f>
        <v>0</v>
      </c>
      <c r="H82" s="128">
        <f>(Summary!G$16*'Capacity (local prices)'!$C82*'Inputs and eligible population'!$E$50)/60</f>
        <v>0</v>
      </c>
      <c r="I82" s="128">
        <f>(Summary!H$16*'Capacity (local prices)'!$C82*'Inputs and eligible population'!$E$50)/60</f>
        <v>0</v>
      </c>
      <c r="J82" s="409"/>
      <c r="K82" s="544">
        <f>'Inputs and eligible population'!$N$103</f>
        <v>42.15</v>
      </c>
      <c r="L82" s="546">
        <f>$K82/1000*D82</f>
        <v>0</v>
      </c>
      <c r="M82" s="546">
        <f t="shared" ref="M82:M92" si="76">$K82/1000*E82</f>
        <v>0</v>
      </c>
      <c r="N82" s="546">
        <f t="shared" ref="N82:N92" si="77">$K82/1000*F82</f>
        <v>0</v>
      </c>
      <c r="O82" s="546">
        <f t="shared" ref="O82:O92" si="78">$K82/1000*G82</f>
        <v>0</v>
      </c>
      <c r="P82" s="546">
        <f t="shared" ref="P82:P92" si="79">$K82/1000*H82</f>
        <v>0</v>
      </c>
      <c r="Q82" s="546">
        <f t="shared" ref="Q82:Q92" si="80">$K82/1000*I82</f>
        <v>0</v>
      </c>
      <c r="R82" s="133"/>
      <c r="S82" s="133"/>
      <c r="T82" s="133"/>
      <c r="U82" s="133"/>
      <c r="V82" s="133"/>
      <c r="W82" s="133"/>
      <c r="X82" s="133"/>
      <c r="Y82" s="133"/>
      <c r="Z82" s="133"/>
      <c r="AJ82" s="283"/>
      <c r="AK82" s="283"/>
      <c r="AL82" s="283"/>
      <c r="AM82" s="283"/>
      <c r="AN82" s="283"/>
    </row>
    <row r="83" spans="1:40" x14ac:dyDescent="0.3">
      <c r="A83" s="836"/>
      <c r="B83" s="334" t="s">
        <v>1064</v>
      </c>
      <c r="C83" s="149">
        <f>'Inputs and eligible population'!G103</f>
        <v>13</v>
      </c>
      <c r="D83" s="128">
        <f>(Summary!C$16*'Capacity (local prices)'!$C83*'Inputs and eligible population'!$E$51)/60</f>
        <v>0</v>
      </c>
      <c r="E83" s="128">
        <f>(Summary!D$16*'Capacity (local prices)'!$C83*'Inputs and eligible population'!$E$51)/60</f>
        <v>0</v>
      </c>
      <c r="F83" s="128">
        <f>(Summary!E$16*'Capacity (local prices)'!$C83*'Inputs and eligible population'!$E$51)/60</f>
        <v>0</v>
      </c>
      <c r="G83" s="128">
        <f>(Summary!F$16*'Capacity (local prices)'!$C83*'Inputs and eligible population'!$E$51)/60</f>
        <v>0</v>
      </c>
      <c r="H83" s="128">
        <f>(Summary!G$16*'Capacity (local prices)'!$C83*'Inputs and eligible population'!$E$51)/60</f>
        <v>0</v>
      </c>
      <c r="I83" s="128">
        <f>(Summary!H$16*'Capacity (local prices)'!$C83*'Inputs and eligible population'!$E$51)/60</f>
        <v>0</v>
      </c>
      <c r="J83" s="409"/>
      <c r="K83" s="544">
        <f>'Inputs and eligible population'!$N$103</f>
        <v>42.15</v>
      </c>
      <c r="L83" s="546">
        <f t="shared" ref="L83:L92" si="81">$K83/1000*D83</f>
        <v>0</v>
      </c>
      <c r="M83" s="546">
        <f t="shared" si="76"/>
        <v>0</v>
      </c>
      <c r="N83" s="546">
        <f t="shared" si="77"/>
        <v>0</v>
      </c>
      <c r="O83" s="546">
        <f t="shared" si="78"/>
        <v>0</v>
      </c>
      <c r="P83" s="546">
        <f t="shared" si="79"/>
        <v>0</v>
      </c>
      <c r="Q83" s="546">
        <f t="shared" si="80"/>
        <v>0</v>
      </c>
      <c r="R83" s="133"/>
      <c r="S83" s="133"/>
      <c r="T83" s="133"/>
      <c r="U83" s="133"/>
      <c r="V83" s="133"/>
      <c r="W83" s="133"/>
      <c r="X83" s="133"/>
      <c r="Y83" s="133"/>
      <c r="Z83" s="133"/>
      <c r="AJ83" s="283"/>
      <c r="AK83" s="283"/>
      <c r="AL83" s="283"/>
      <c r="AM83" s="283"/>
      <c r="AN83" s="283"/>
    </row>
    <row r="84" spans="1:40" x14ac:dyDescent="0.3">
      <c r="A84" s="836"/>
      <c r="B84" s="334" t="s">
        <v>1162</v>
      </c>
      <c r="C84" s="149">
        <f>'Inputs and eligible population'!H103</f>
        <v>13</v>
      </c>
      <c r="D84" s="128">
        <f>'Inputs and eligible population'!$E$52*'Inputs and eligible population'!$L$84*'Capacity (local prices)'!$C$33</f>
        <v>0</v>
      </c>
      <c r="E84" s="128">
        <f>'Inputs and eligible population'!$E$52*'Inputs and eligible population'!$M$84*'Capacity (local prices)'!$C84</f>
        <v>0</v>
      </c>
      <c r="F84" s="128">
        <f>'Inputs and eligible population'!$E$52*'Inputs and eligible population'!$N$84*'Capacity (local prices)'!$C84</f>
        <v>0</v>
      </c>
      <c r="G84" s="128">
        <f>'Inputs and eligible population'!$E$52*'Inputs and eligible population'!$O$84*'Capacity (local prices)'!$C84</f>
        <v>0</v>
      </c>
      <c r="H84" s="128">
        <f>'Inputs and eligible population'!$E$52*'Inputs and eligible population'!$P$84*'Capacity (local prices)'!$C84</f>
        <v>0</v>
      </c>
      <c r="I84" s="128">
        <f>'Inputs and eligible population'!$E$52*'Inputs and eligible population'!$Q$84*'Capacity (local prices)'!$C84</f>
        <v>0</v>
      </c>
      <c r="J84" s="409"/>
      <c r="K84" s="544">
        <f>'Inputs and eligible population'!$N$103</f>
        <v>42.15</v>
      </c>
      <c r="L84" s="546">
        <f t="shared" si="81"/>
        <v>0</v>
      </c>
      <c r="M84" s="546">
        <f t="shared" si="76"/>
        <v>0</v>
      </c>
      <c r="N84" s="546">
        <f t="shared" si="77"/>
        <v>0</v>
      </c>
      <c r="O84" s="546">
        <f t="shared" si="78"/>
        <v>0</v>
      </c>
      <c r="P84" s="546">
        <f t="shared" si="79"/>
        <v>0</v>
      </c>
      <c r="Q84" s="546">
        <f t="shared" si="80"/>
        <v>0</v>
      </c>
      <c r="R84" s="133"/>
      <c r="S84" s="133"/>
      <c r="T84" s="133"/>
      <c r="U84" s="133"/>
      <c r="V84" s="133"/>
      <c r="W84" s="133"/>
      <c r="X84" s="133"/>
      <c r="Y84" s="133"/>
      <c r="Z84" s="133"/>
      <c r="AJ84" s="283"/>
      <c r="AK84" s="283"/>
      <c r="AL84" s="283"/>
      <c r="AM84" s="283"/>
      <c r="AN84" s="283"/>
    </row>
    <row r="85" spans="1:40" x14ac:dyDescent="0.3">
      <c r="A85" s="836"/>
      <c r="B85" s="334" t="s">
        <v>1163</v>
      </c>
      <c r="C85" s="149">
        <f>'Inputs and eligible population'!H103</f>
        <v>13</v>
      </c>
      <c r="D85" s="128">
        <f>'Inputs and eligible population'!$F$52*'Inputs and eligible population'!$L$84*'Capacity (local prices)'!$C85</f>
        <v>0</v>
      </c>
      <c r="E85" s="128">
        <f>'Inputs and eligible population'!$F$52*'Inputs and eligible population'!$L$84*'Capacity (local prices)'!$C85</f>
        <v>0</v>
      </c>
      <c r="F85" s="128">
        <f>'Inputs and eligible population'!$F$52*'Inputs and eligible population'!$M$84*'Capacity (local prices)'!$C85</f>
        <v>0</v>
      </c>
      <c r="G85" s="128">
        <f>'Inputs and eligible population'!$F$52*'Inputs and eligible population'!$N$84*'Capacity (local prices)'!$C85</f>
        <v>0</v>
      </c>
      <c r="H85" s="128">
        <f>'Inputs and eligible population'!$F$52*'Inputs and eligible population'!$O$84*'Capacity (local prices)'!$C85</f>
        <v>0</v>
      </c>
      <c r="I85" s="128">
        <f>'Inputs and eligible population'!$F$52*'Inputs and eligible population'!$P$84*'Capacity (local prices)'!$C85</f>
        <v>0</v>
      </c>
      <c r="J85" s="409"/>
      <c r="K85" s="544">
        <f>'Inputs and eligible population'!$N$103</f>
        <v>42.15</v>
      </c>
      <c r="L85" s="546">
        <f t="shared" si="81"/>
        <v>0</v>
      </c>
      <c r="M85" s="546">
        <f t="shared" si="76"/>
        <v>0</v>
      </c>
      <c r="N85" s="546">
        <f t="shared" si="77"/>
        <v>0</v>
      </c>
      <c r="O85" s="546">
        <f t="shared" si="78"/>
        <v>0</v>
      </c>
      <c r="P85" s="546">
        <f t="shared" si="79"/>
        <v>0</v>
      </c>
      <c r="Q85" s="546">
        <f t="shared" si="80"/>
        <v>0</v>
      </c>
      <c r="R85" s="133"/>
      <c r="S85" s="133"/>
      <c r="T85" s="133"/>
      <c r="U85" s="133"/>
      <c r="V85" s="133"/>
      <c r="W85" s="133"/>
      <c r="X85" s="133"/>
      <c r="Y85" s="133"/>
      <c r="Z85" s="133"/>
      <c r="AJ85" s="283"/>
      <c r="AK85" s="283"/>
      <c r="AL85" s="283"/>
      <c r="AM85" s="283"/>
      <c r="AN85" s="283"/>
    </row>
    <row r="86" spans="1:40" x14ac:dyDescent="0.3">
      <c r="A86" s="836"/>
      <c r="B86" s="334" t="s">
        <v>1164</v>
      </c>
      <c r="C86" s="149">
        <f>'Inputs and eligible population'!H103</f>
        <v>13</v>
      </c>
      <c r="D86" s="128">
        <f>'Inputs and eligible population'!$G$52*'Inputs and eligible population'!$L$84*'Capacity (local prices)'!$C86</f>
        <v>0</v>
      </c>
      <c r="E86" s="128">
        <f>'Inputs and eligible population'!$G$52*'Inputs and eligible population'!$L$84*'Capacity (local prices)'!$C86</f>
        <v>0</v>
      </c>
      <c r="F86" s="128">
        <f>'Inputs and eligible population'!$G$52*'Inputs and eligible population'!$L$84*'Capacity (local prices)'!$C86</f>
        <v>0</v>
      </c>
      <c r="G86" s="128">
        <f>'Inputs and eligible population'!$G$52*'Inputs and eligible population'!$M$84*'Capacity (local prices)'!$C86</f>
        <v>0</v>
      </c>
      <c r="H86" s="128">
        <f>'Inputs and eligible population'!$G$52*'Inputs and eligible population'!$N$84*'Capacity (local prices)'!$C86</f>
        <v>0</v>
      </c>
      <c r="I86" s="128">
        <f>'Inputs and eligible population'!$G$52*'Inputs and eligible population'!$O$84*'Capacity (local prices)'!$C86</f>
        <v>0</v>
      </c>
      <c r="J86" s="409"/>
      <c r="K86" s="544">
        <f>'Inputs and eligible population'!$N$103</f>
        <v>42.15</v>
      </c>
      <c r="L86" s="546">
        <f t="shared" si="81"/>
        <v>0</v>
      </c>
      <c r="M86" s="546">
        <f t="shared" si="76"/>
        <v>0</v>
      </c>
      <c r="N86" s="546">
        <f t="shared" si="77"/>
        <v>0</v>
      </c>
      <c r="O86" s="546">
        <f t="shared" si="78"/>
        <v>0</v>
      </c>
      <c r="P86" s="546">
        <f t="shared" si="79"/>
        <v>0</v>
      </c>
      <c r="Q86" s="546">
        <f t="shared" si="80"/>
        <v>0</v>
      </c>
      <c r="R86" s="133"/>
      <c r="S86" s="133"/>
      <c r="T86" s="133"/>
      <c r="U86" s="133"/>
      <c r="V86" s="133"/>
      <c r="W86" s="133"/>
      <c r="X86" s="133"/>
      <c r="Y86" s="133"/>
      <c r="Z86" s="133"/>
      <c r="AJ86" s="283"/>
      <c r="AK86" s="283"/>
      <c r="AL86" s="283"/>
      <c r="AM86" s="283"/>
      <c r="AN86" s="283"/>
    </row>
    <row r="87" spans="1:40" x14ac:dyDescent="0.3">
      <c r="A87" s="836"/>
      <c r="B87" s="334" t="s">
        <v>1066</v>
      </c>
      <c r="C87" s="149">
        <f>'Inputs and eligible population'!I103</f>
        <v>132</v>
      </c>
      <c r="D87" s="128">
        <f>('Financial impact (cash)'!D$15*$C87*'Inputs and eligible population'!$E$53)/60</f>
        <v>0</v>
      </c>
      <c r="E87" s="128">
        <f>('Financial impact (cash)'!E$15*$C87*'Inputs and eligible population'!$E$53)/60</f>
        <v>0</v>
      </c>
      <c r="F87" s="128">
        <f>('Financial impact (cash)'!F$15*$C87*'Inputs and eligible population'!$E$53)/60</f>
        <v>0</v>
      </c>
      <c r="G87" s="128">
        <f>('Financial impact (cash)'!G$15*$C87*'Inputs and eligible population'!$E$53)/60</f>
        <v>0</v>
      </c>
      <c r="H87" s="128">
        <f>('Financial impact (cash)'!H$15*$C87*'Inputs and eligible population'!$E$53)/60</f>
        <v>0</v>
      </c>
      <c r="I87" s="128">
        <f>('Financial impact (cash)'!I$15*$C87*'Inputs and eligible population'!$E$53)/60</f>
        <v>0</v>
      </c>
      <c r="J87" s="409"/>
      <c r="K87" s="544">
        <f>'Inputs and eligible population'!$N$103</f>
        <v>42.15</v>
      </c>
      <c r="L87" s="546">
        <f t="shared" si="81"/>
        <v>0</v>
      </c>
      <c r="M87" s="546">
        <f t="shared" si="76"/>
        <v>0</v>
      </c>
      <c r="N87" s="546">
        <f t="shared" si="77"/>
        <v>0</v>
      </c>
      <c r="O87" s="546">
        <f t="shared" si="78"/>
        <v>0</v>
      </c>
      <c r="P87" s="546">
        <f t="shared" si="79"/>
        <v>0</v>
      </c>
      <c r="Q87" s="546">
        <f t="shared" si="80"/>
        <v>0</v>
      </c>
      <c r="R87" s="133"/>
      <c r="S87" s="133"/>
      <c r="T87" s="133"/>
      <c r="U87" s="133"/>
      <c r="V87" s="133"/>
      <c r="W87" s="133"/>
      <c r="X87" s="133"/>
      <c r="Y87" s="133"/>
      <c r="Z87" s="133"/>
      <c r="AJ87" s="283"/>
      <c r="AK87" s="283"/>
      <c r="AL87" s="283"/>
      <c r="AM87" s="283"/>
      <c r="AN87" s="283"/>
    </row>
    <row r="88" spans="1:40" x14ac:dyDescent="0.3">
      <c r="A88" s="836"/>
      <c r="B88" s="334" t="s">
        <v>1067</v>
      </c>
      <c r="C88" s="149">
        <f>'Inputs and eligible population'!J103</f>
        <v>13</v>
      </c>
      <c r="D88" s="128">
        <f>('Financial impact (cash)'!D$15*$C88*'Inputs and eligible population'!$E$54)/60</f>
        <v>0</v>
      </c>
      <c r="E88" s="128">
        <f>('Financial impact (cash)'!E$15*$C88*'Inputs and eligible population'!$E$54)/60</f>
        <v>0</v>
      </c>
      <c r="F88" s="128">
        <f>('Financial impact (cash)'!F$15*$C88*'Inputs and eligible population'!$E$54)/60</f>
        <v>0</v>
      </c>
      <c r="G88" s="128">
        <f>('Financial impact (cash)'!G$15*$C88*'Inputs and eligible population'!$E$54)/60</f>
        <v>0</v>
      </c>
      <c r="H88" s="128">
        <f>('Financial impact (cash)'!H$15*$C88*'Inputs and eligible population'!$E$54)/60</f>
        <v>0</v>
      </c>
      <c r="I88" s="128">
        <f>('Financial impact (cash)'!I$15*$C88*'Inputs and eligible population'!$E$54)/60</f>
        <v>0</v>
      </c>
      <c r="J88" s="409"/>
      <c r="K88" s="544">
        <f>'Inputs and eligible population'!$N$103</f>
        <v>42.15</v>
      </c>
      <c r="L88" s="546">
        <f t="shared" si="81"/>
        <v>0</v>
      </c>
      <c r="M88" s="546">
        <f t="shared" si="76"/>
        <v>0</v>
      </c>
      <c r="N88" s="546">
        <f t="shared" si="77"/>
        <v>0</v>
      </c>
      <c r="O88" s="546">
        <f t="shared" si="78"/>
        <v>0</v>
      </c>
      <c r="P88" s="546">
        <f t="shared" si="79"/>
        <v>0</v>
      </c>
      <c r="Q88" s="546">
        <f t="shared" si="80"/>
        <v>0</v>
      </c>
      <c r="R88" s="133"/>
      <c r="S88" s="133"/>
      <c r="T88" s="133"/>
      <c r="U88" s="133"/>
      <c r="V88" s="133"/>
      <c r="W88" s="133"/>
      <c r="X88" s="133"/>
      <c r="Y88" s="133"/>
      <c r="Z88" s="133"/>
      <c r="AJ88" s="283"/>
      <c r="AK88" s="283"/>
      <c r="AL88" s="283"/>
      <c r="AM88" s="283"/>
      <c r="AN88" s="283"/>
    </row>
    <row r="89" spans="1:40" x14ac:dyDescent="0.3">
      <c r="A89" s="836"/>
      <c r="B89" s="334" t="s">
        <v>1165</v>
      </c>
      <c r="C89" s="149">
        <f>'Inputs and eligible population'!$K$103</f>
        <v>13</v>
      </c>
      <c r="D89" s="128">
        <f>Summary!$C$17*'Capacity (local prices)'!$C89*'Inputs and eligible population'!$E$55</f>
        <v>0</v>
      </c>
      <c r="E89" s="128">
        <f>(Summary!$D$17*'Capacity (local prices)'!$C89*'Inputs and eligible population'!$E$55)</f>
        <v>0</v>
      </c>
      <c r="F89" s="128">
        <f>(Summary!$E$17*'Capacity (local prices)'!$C89*'Inputs and eligible population'!$E$55)</f>
        <v>0</v>
      </c>
      <c r="G89" s="128">
        <f>(Summary!$F$17*'Capacity (local prices)'!$C89*'Inputs and eligible population'!$E$55)</f>
        <v>0</v>
      </c>
      <c r="H89" s="128">
        <f>(Summary!$G$17*'Capacity (local prices)'!$C89*'Inputs and eligible population'!$E$55)</f>
        <v>0</v>
      </c>
      <c r="I89" s="128">
        <f>(Summary!$H$17*'Capacity (local prices)'!$C89*'Inputs and eligible population'!$E$55)</f>
        <v>0</v>
      </c>
      <c r="J89" s="409"/>
      <c r="K89" s="544">
        <f>'Inputs and eligible population'!$N$103</f>
        <v>42.15</v>
      </c>
      <c r="L89" s="546">
        <f t="shared" si="81"/>
        <v>0</v>
      </c>
      <c r="M89" s="546">
        <f t="shared" si="76"/>
        <v>0</v>
      </c>
      <c r="N89" s="546">
        <f t="shared" si="77"/>
        <v>0</v>
      </c>
      <c r="O89" s="546">
        <f t="shared" si="78"/>
        <v>0</v>
      </c>
      <c r="P89" s="546">
        <f t="shared" si="79"/>
        <v>0</v>
      </c>
      <c r="Q89" s="546">
        <f t="shared" si="80"/>
        <v>0</v>
      </c>
      <c r="R89" s="133"/>
      <c r="S89" s="133"/>
      <c r="T89" s="133"/>
      <c r="U89" s="133"/>
      <c r="V89" s="133"/>
      <c r="W89" s="133"/>
      <c r="X89" s="133"/>
      <c r="Y89" s="133"/>
      <c r="Z89" s="133"/>
      <c r="AJ89" s="283"/>
      <c r="AK89" s="283"/>
      <c r="AL89" s="283"/>
      <c r="AM89" s="283"/>
      <c r="AN89" s="283"/>
    </row>
    <row r="90" spans="1:40" x14ac:dyDescent="0.3">
      <c r="A90" s="836"/>
      <c r="B90" s="334" t="s">
        <v>1166</v>
      </c>
      <c r="C90" s="149">
        <f>'Inputs and eligible population'!$K$103</f>
        <v>13</v>
      </c>
      <c r="D90" s="128">
        <f>Summary!$C$17*'Capacity (local prices)'!$C89*'Inputs and eligible population'!$F$55</f>
        <v>0</v>
      </c>
      <c r="E90" s="128">
        <f>Summary!$C$17*'Capacity (local prices)'!$C89*'Inputs and eligible population'!$F$55</f>
        <v>0</v>
      </c>
      <c r="F90" s="128">
        <f>(Summary!$D$17*'Capacity (local prices)'!$C89*'Inputs and eligible population'!$F$55)</f>
        <v>0</v>
      </c>
      <c r="G90" s="128">
        <f>(Summary!$E$17*'Capacity (local prices)'!$C89*'Inputs and eligible population'!$F$55)</f>
        <v>0</v>
      </c>
      <c r="H90" s="128">
        <f>(Summary!$F$17*'Capacity (local prices)'!$C89*'Inputs and eligible population'!$F$55)</f>
        <v>0</v>
      </c>
      <c r="I90" s="128">
        <f>(Summary!$G$17*'Capacity (local prices)'!$C89*'Inputs and eligible population'!$F$55)</f>
        <v>0</v>
      </c>
      <c r="J90" s="409"/>
      <c r="K90" s="544">
        <f>'Inputs and eligible population'!$N$103</f>
        <v>42.15</v>
      </c>
      <c r="L90" s="546">
        <f t="shared" si="81"/>
        <v>0</v>
      </c>
      <c r="M90" s="546">
        <f t="shared" si="76"/>
        <v>0</v>
      </c>
      <c r="N90" s="546">
        <f t="shared" si="77"/>
        <v>0</v>
      </c>
      <c r="O90" s="546">
        <f t="shared" si="78"/>
        <v>0</v>
      </c>
      <c r="P90" s="546">
        <f t="shared" si="79"/>
        <v>0</v>
      </c>
      <c r="Q90" s="546">
        <f t="shared" si="80"/>
        <v>0</v>
      </c>
      <c r="R90" s="133"/>
      <c r="S90" s="133"/>
      <c r="T90" s="133"/>
      <c r="U90" s="133"/>
      <c r="V90" s="133"/>
      <c r="W90" s="133"/>
      <c r="X90" s="133"/>
      <c r="Y90" s="133"/>
      <c r="Z90" s="133"/>
      <c r="AJ90" s="283"/>
      <c r="AK90" s="283"/>
      <c r="AL90" s="283"/>
      <c r="AM90" s="283"/>
      <c r="AN90" s="283"/>
    </row>
    <row r="91" spans="1:40" x14ac:dyDescent="0.3">
      <c r="A91" s="836"/>
      <c r="B91" s="334" t="s">
        <v>1167</v>
      </c>
      <c r="C91" s="149">
        <f>'Inputs and eligible population'!$K$103</f>
        <v>13</v>
      </c>
      <c r="D91" s="128">
        <f>Summary!$C$17*'Capacity (local prices)'!$C89*'Inputs and eligible population'!$G$55</f>
        <v>0</v>
      </c>
      <c r="E91" s="128">
        <f>Summary!$C$17*'Capacity (local prices)'!$C89*'Inputs and eligible population'!$G$55</f>
        <v>0</v>
      </c>
      <c r="F91" s="128">
        <f>Summary!$C$17*'Capacity (local prices)'!$C89*'Inputs and eligible population'!$G$55</f>
        <v>0</v>
      </c>
      <c r="G91" s="128">
        <f>(Summary!$D$17*'Capacity (local prices)'!$C89*'Inputs and eligible population'!$G$55)</f>
        <v>0</v>
      </c>
      <c r="H91" s="128">
        <f>(Summary!$E$17*'Capacity (local prices)'!$C89*'Inputs and eligible population'!$G$55)</f>
        <v>0</v>
      </c>
      <c r="I91" s="128">
        <f>(Summary!$F$17*'Capacity (local prices)'!$C89*'Inputs and eligible population'!$G$55)</f>
        <v>0</v>
      </c>
      <c r="J91" s="409"/>
      <c r="K91" s="544">
        <f>'Inputs and eligible population'!$N$103</f>
        <v>42.15</v>
      </c>
      <c r="L91" s="546">
        <f t="shared" si="81"/>
        <v>0</v>
      </c>
      <c r="M91" s="546">
        <f t="shared" si="76"/>
        <v>0</v>
      </c>
      <c r="N91" s="546">
        <f t="shared" si="77"/>
        <v>0</v>
      </c>
      <c r="O91" s="546">
        <f t="shared" si="78"/>
        <v>0</v>
      </c>
      <c r="P91" s="546">
        <f t="shared" si="79"/>
        <v>0</v>
      </c>
      <c r="Q91" s="546">
        <f t="shared" si="80"/>
        <v>0</v>
      </c>
      <c r="R91" s="133"/>
      <c r="S91" s="133"/>
      <c r="T91" s="133"/>
      <c r="U91" s="133"/>
      <c r="V91" s="133"/>
      <c r="W91" s="133"/>
      <c r="X91" s="133"/>
      <c r="Y91" s="133"/>
      <c r="Z91" s="133"/>
      <c r="AJ91" s="283"/>
      <c r="AK91" s="283"/>
      <c r="AL91" s="283"/>
      <c r="AM91" s="283"/>
      <c r="AN91" s="283"/>
    </row>
    <row r="92" spans="1:40" x14ac:dyDescent="0.3">
      <c r="A92" s="836"/>
      <c r="B92" s="832" t="s">
        <v>1069</v>
      </c>
      <c r="C92" s="149">
        <f>'Inputs and eligible population'!L103</f>
        <v>13</v>
      </c>
      <c r="D92" s="128">
        <f>(Summary!C$18*'Capacity (local prices)'!$C92*'Inputs and eligible population'!$E$56)/60</f>
        <v>281.19066892905607</v>
      </c>
      <c r="E92" s="128">
        <f>(Summary!D$18*'Capacity (local prices)'!$C92*'Inputs and eligible population'!$E$56)/60</f>
        <v>212.92639141464252</v>
      </c>
      <c r="F92" s="128">
        <f>(Summary!E$18*'Capacity (local prices)'!$C92*'Inputs and eligible population'!$E$56)/60</f>
        <v>143.31959112310113</v>
      </c>
      <c r="G92" s="128">
        <f>(Summary!F$18*'Capacity (local prices)'!$C92*'Inputs and eligible population'!$E$56)/60</f>
        <v>144.70145102651909</v>
      </c>
      <c r="H92" s="128">
        <f>(Summary!G$18*'Capacity (local prices)'!$C92*'Inputs and eligible population'!$E$56)/60</f>
        <v>146.09663455706792</v>
      </c>
      <c r="I92" s="128">
        <f>(Summary!H$18*'Capacity (local prices)'!$C92*'Inputs and eligible population'!$E$56)/60</f>
        <v>147.50527017859514</v>
      </c>
      <c r="J92" s="409"/>
      <c r="K92" s="544">
        <f>'Inputs and eligible population'!$N$103</f>
        <v>42.15</v>
      </c>
      <c r="L92" s="546">
        <f t="shared" si="81"/>
        <v>11.852186695359714</v>
      </c>
      <c r="M92" s="546">
        <f t="shared" si="76"/>
        <v>8.9748473981271832</v>
      </c>
      <c r="N92" s="546">
        <f t="shared" si="77"/>
        <v>6.0409207658387132</v>
      </c>
      <c r="O92" s="546">
        <f t="shared" si="78"/>
        <v>6.0991661607677798</v>
      </c>
      <c r="P92" s="546">
        <f t="shared" si="79"/>
        <v>6.1579731465804128</v>
      </c>
      <c r="Q92" s="546">
        <f t="shared" si="80"/>
        <v>6.2173471380277849</v>
      </c>
      <c r="R92" s="133"/>
      <c r="S92" s="133"/>
      <c r="T92" s="133"/>
      <c r="U92" s="133"/>
      <c r="V92" s="133"/>
      <c r="W92" s="133"/>
      <c r="X92" s="133"/>
      <c r="Y92" s="133"/>
      <c r="Z92" s="133"/>
      <c r="AJ92" s="283"/>
      <c r="AK92" s="283"/>
      <c r="AL92" s="283"/>
      <c r="AM92" s="283"/>
      <c r="AN92" s="283"/>
    </row>
    <row r="93" spans="1:40" x14ac:dyDescent="0.3">
      <c r="A93" s="836"/>
      <c r="B93" s="504"/>
      <c r="C93" s="280"/>
      <c r="D93" s="186">
        <f>SUM(D82:D92)</f>
        <v>281.19066892905607</v>
      </c>
      <c r="E93" s="186">
        <f t="shared" ref="E93" si="82">SUM(E82:E92)</f>
        <v>212.92639141464252</v>
      </c>
      <c r="F93" s="186">
        <f t="shared" ref="F93" si="83">SUM(F82:F92)</f>
        <v>143.31959112310113</v>
      </c>
      <c r="G93" s="186">
        <f t="shared" ref="G93" si="84">SUM(G82:G92)</f>
        <v>144.70145102651909</v>
      </c>
      <c r="H93" s="186">
        <f t="shared" ref="H93" si="85">SUM(H82:H92)</f>
        <v>146.09663455706792</v>
      </c>
      <c r="I93" s="186">
        <f t="shared" ref="I93" si="86">SUM(I82:I92)</f>
        <v>147.50527017859514</v>
      </c>
      <c r="J93" s="409"/>
      <c r="K93" s="215"/>
      <c r="L93" s="290">
        <f>SUM(L82:L92)</f>
        <v>11.852186695359714</v>
      </c>
      <c r="M93" s="290">
        <f t="shared" ref="M93" si="87">SUM(M82:M92)</f>
        <v>8.9748473981271832</v>
      </c>
      <c r="N93" s="290">
        <f t="shared" ref="N93" si="88">SUM(N82:N92)</f>
        <v>6.0409207658387132</v>
      </c>
      <c r="O93" s="290">
        <f t="shared" ref="O93" si="89">SUM(O82:O92)</f>
        <v>6.0991661607677798</v>
      </c>
      <c r="P93" s="290">
        <f t="shared" ref="P93" si="90">SUM(P82:P92)</f>
        <v>6.1579731465804128</v>
      </c>
      <c r="Q93" s="290">
        <f t="shared" ref="Q93" si="91">SUM(Q82:Q92)</f>
        <v>6.2173471380277849</v>
      </c>
      <c r="R93" s="133"/>
      <c r="S93" s="133"/>
      <c r="T93" s="133"/>
      <c r="U93" s="133"/>
      <c r="V93" s="133"/>
      <c r="W93" s="133"/>
      <c r="X93" s="133"/>
      <c r="Y93" s="133"/>
      <c r="Z93" s="133"/>
      <c r="AJ93" s="283"/>
      <c r="AK93" s="283"/>
      <c r="AL93" s="283"/>
      <c r="AM93" s="283"/>
      <c r="AN93" s="283"/>
    </row>
    <row r="94" spans="1:40" x14ac:dyDescent="0.3">
      <c r="A94" s="836"/>
      <c r="B94" s="255"/>
      <c r="C94" s="255"/>
      <c r="D94" s="282" t="s">
        <v>844</v>
      </c>
      <c r="E94" s="186">
        <f>E93-$D$93</f>
        <v>-68.26427751441355</v>
      </c>
      <c r="F94" s="186">
        <f t="shared" ref="F94:I94" si="92">F93-$D$93</f>
        <v>-137.87107780595494</v>
      </c>
      <c r="G94" s="186">
        <f t="shared" si="92"/>
        <v>-136.48921790253698</v>
      </c>
      <c r="H94" s="186">
        <f t="shared" si="92"/>
        <v>-135.09403437198816</v>
      </c>
      <c r="I94" s="186">
        <f t="shared" si="92"/>
        <v>-133.68539875046093</v>
      </c>
      <c r="J94" s="409"/>
      <c r="K94" s="215"/>
      <c r="L94" s="215"/>
      <c r="M94" s="290">
        <f>M93-$L93</f>
        <v>-2.8773392972325311</v>
      </c>
      <c r="N94" s="290">
        <f t="shared" ref="N94:Q94" si="93">N93-$L93</f>
        <v>-5.8112659295210012</v>
      </c>
      <c r="O94" s="290">
        <f t="shared" si="93"/>
        <v>-5.7530205345919345</v>
      </c>
      <c r="P94" s="290">
        <f t="shared" si="93"/>
        <v>-5.6942135487793015</v>
      </c>
      <c r="Q94" s="290">
        <f t="shared" si="93"/>
        <v>-5.6348395573319294</v>
      </c>
      <c r="R94" s="133"/>
      <c r="S94" s="133"/>
      <c r="T94" s="133"/>
      <c r="U94" s="133"/>
      <c r="V94" s="133"/>
      <c r="W94" s="133"/>
      <c r="X94" s="133"/>
      <c r="Y94" s="133"/>
      <c r="Z94" s="133"/>
      <c r="AJ94" s="283"/>
      <c r="AK94" s="283"/>
      <c r="AL94" s="283"/>
      <c r="AM94" s="283"/>
      <c r="AN94" s="283"/>
    </row>
    <row r="95" spans="1:40" ht="30.6" customHeight="1" x14ac:dyDescent="0.3">
      <c r="A95" s="284"/>
      <c r="B95" s="837"/>
      <c r="C95" s="838"/>
      <c r="D95" s="839"/>
      <c r="E95" s="840"/>
      <c r="F95" s="284"/>
      <c r="G95" s="284"/>
      <c r="H95" s="284"/>
      <c r="I95" s="295"/>
      <c r="J95" s="215"/>
      <c r="K95" s="215"/>
      <c r="L95" s="215"/>
      <c r="M95" s="215"/>
      <c r="N95" s="215"/>
      <c r="O95" s="215"/>
      <c r="P95" s="215"/>
      <c r="Q95" s="215"/>
      <c r="R95" s="133"/>
      <c r="S95" s="133"/>
      <c r="T95" s="133"/>
      <c r="U95" s="133"/>
      <c r="V95" s="133"/>
      <c r="W95" s="133"/>
      <c r="X95" s="133"/>
      <c r="Y95" s="133"/>
      <c r="Z95" s="133"/>
      <c r="AJ95" s="283"/>
      <c r="AK95" s="283"/>
      <c r="AL95" s="283"/>
      <c r="AM95" s="283"/>
      <c r="AN95" s="283"/>
    </row>
    <row r="96" spans="1:40" x14ac:dyDescent="0.3">
      <c r="A96" s="284"/>
      <c r="B96" s="308" t="s">
        <v>842</v>
      </c>
      <c r="C96" s="292"/>
      <c r="D96" s="292"/>
      <c r="E96" s="293"/>
      <c r="F96" s="294"/>
      <c r="G96" s="295"/>
      <c r="H96" s="295"/>
      <c r="I96" s="295"/>
      <c r="J96" s="412"/>
      <c r="K96" s="284"/>
      <c r="L96" s="284"/>
      <c r="M96" s="284"/>
      <c r="N96" s="284"/>
      <c r="O96" s="284"/>
      <c r="P96" s="284"/>
      <c r="Q96" s="215"/>
      <c r="V96" s="133"/>
    </row>
    <row r="97" spans="1:40" x14ac:dyDescent="0.3">
      <c r="A97" s="284"/>
      <c r="B97" s="373" t="s">
        <v>1106</v>
      </c>
      <c r="C97" s="374"/>
      <c r="D97" s="374"/>
      <c r="E97" s="374"/>
      <c r="F97" s="374"/>
      <c r="G97" s="374"/>
      <c r="H97" s="374"/>
      <c r="I97" s="214"/>
      <c r="J97" s="409"/>
      <c r="K97" s="215"/>
      <c r="L97" s="408"/>
      <c r="M97" s="408"/>
      <c r="N97" s="408"/>
      <c r="O97" s="408"/>
      <c r="P97" s="408"/>
      <c r="Q97" s="408"/>
      <c r="V97" s="133"/>
    </row>
    <row r="98" spans="1:40" ht="74.55" customHeight="1" x14ac:dyDescent="0.3">
      <c r="A98" s="284"/>
      <c r="B98" s="279" t="s">
        <v>766</v>
      </c>
      <c r="C98" s="166" t="s">
        <v>843</v>
      </c>
      <c r="D98" s="402" t="s">
        <v>831</v>
      </c>
      <c r="E98" s="254" t="s">
        <v>676</v>
      </c>
      <c r="F98" s="254" t="s">
        <v>677</v>
      </c>
      <c r="G98" s="165" t="s">
        <v>803</v>
      </c>
      <c r="H98" s="165" t="s">
        <v>804</v>
      </c>
      <c r="I98" s="254" t="s">
        <v>805</v>
      </c>
      <c r="J98" s="284"/>
      <c r="K98" s="531" t="s">
        <v>840</v>
      </c>
      <c r="L98" s="402" t="s">
        <v>831</v>
      </c>
      <c r="M98" s="521" t="s">
        <v>676</v>
      </c>
      <c r="N98" s="521" t="s">
        <v>677</v>
      </c>
      <c r="O98" s="403" t="s">
        <v>803</v>
      </c>
      <c r="P98" s="403" t="s">
        <v>804</v>
      </c>
      <c r="Q98" s="521" t="s">
        <v>805</v>
      </c>
      <c r="V98" s="133"/>
    </row>
    <row r="99" spans="1:40" x14ac:dyDescent="0.3">
      <c r="A99" s="836"/>
      <c r="B99" s="334" t="s">
        <v>1065</v>
      </c>
      <c r="C99" s="149">
        <f>'Inputs and eligible population'!F104</f>
        <v>0</v>
      </c>
      <c r="D99" s="128">
        <f>(Summary!$C$16*'Capacity (local prices)'!$C99*'Inputs and eligible population'!$E$50)/60</f>
        <v>0</v>
      </c>
      <c r="E99" s="128">
        <f>(Summary!$D$16*'Capacity (local prices)'!$C99*'Inputs and eligible population'!$E$50)/60</f>
        <v>0</v>
      </c>
      <c r="F99" s="128">
        <f>(Summary!E$16*'Capacity (local prices)'!$C99*'Inputs and eligible population'!$E$50)/60</f>
        <v>0</v>
      </c>
      <c r="G99" s="128">
        <f>(Summary!F$16*'Capacity (local prices)'!$C99*'Inputs and eligible population'!$E$50)/60</f>
        <v>0</v>
      </c>
      <c r="H99" s="128">
        <f>(Summary!G$16*'Capacity (local prices)'!$C99*'Inputs and eligible population'!$E$50)/60</f>
        <v>0</v>
      </c>
      <c r="I99" s="128">
        <f>(Summary!H$16*'Capacity (local prices)'!$C99*'Inputs and eligible population'!$E$50)/60</f>
        <v>0</v>
      </c>
      <c r="J99" s="409"/>
      <c r="K99" s="544">
        <f>'Inputs and eligible population'!$N$104</f>
        <v>42.15</v>
      </c>
      <c r="L99" s="546">
        <f>$K99/1000*D99</f>
        <v>0</v>
      </c>
      <c r="M99" s="546">
        <f t="shared" ref="M99:M109" si="94">$K99/1000*E99</f>
        <v>0</v>
      </c>
      <c r="N99" s="546">
        <f t="shared" ref="N99:N109" si="95">$K99/1000*F99</f>
        <v>0</v>
      </c>
      <c r="O99" s="546">
        <f t="shared" ref="O99:O109" si="96">$K99/1000*G99</f>
        <v>0</v>
      </c>
      <c r="P99" s="546">
        <f t="shared" ref="P99:P109" si="97">$K99/1000*H99</f>
        <v>0</v>
      </c>
      <c r="Q99" s="546">
        <f t="shared" ref="Q99:Q109" si="98">$K99/1000*I99</f>
        <v>0</v>
      </c>
      <c r="R99" s="133"/>
      <c r="S99" s="133"/>
      <c r="T99" s="133"/>
      <c r="U99" s="133"/>
      <c r="V99" s="133"/>
      <c r="W99" s="133"/>
      <c r="X99" s="133"/>
      <c r="Y99" s="133"/>
      <c r="Z99" s="133"/>
      <c r="AJ99" s="283"/>
      <c r="AK99" s="283"/>
      <c r="AL99" s="283"/>
      <c r="AM99" s="283"/>
      <c r="AN99" s="283"/>
    </row>
    <row r="100" spans="1:40" x14ac:dyDescent="0.3">
      <c r="A100" s="836"/>
      <c r="B100" s="334" t="s">
        <v>1064</v>
      </c>
      <c r="C100" s="149">
        <f>'Inputs and eligible population'!G104</f>
        <v>0</v>
      </c>
      <c r="D100" s="128">
        <f>(Summary!C$16*'Capacity (local prices)'!$C100*'Inputs and eligible population'!$E$51)/60</f>
        <v>0</v>
      </c>
      <c r="E100" s="128">
        <f>(Summary!D$16*'Capacity (local prices)'!$C100*'Inputs and eligible population'!$E$51)/60</f>
        <v>0</v>
      </c>
      <c r="F100" s="128">
        <f>(Summary!E$16*'Capacity (local prices)'!$C100*'Inputs and eligible population'!$E$51)/60</f>
        <v>0</v>
      </c>
      <c r="G100" s="128">
        <f>(Summary!F$16*'Capacity (local prices)'!$C100*'Inputs and eligible population'!$E$51)/60</f>
        <v>0</v>
      </c>
      <c r="H100" s="128">
        <f>(Summary!G$16*'Capacity (local prices)'!$C100*'Inputs and eligible population'!$E$51)/60</f>
        <v>0</v>
      </c>
      <c r="I100" s="128">
        <f>(Summary!H$16*'Capacity (local prices)'!$C100*'Inputs and eligible population'!$E$51)/60</f>
        <v>0</v>
      </c>
      <c r="J100" s="409"/>
      <c r="K100" s="544">
        <f>'Inputs and eligible population'!$N$104</f>
        <v>42.15</v>
      </c>
      <c r="L100" s="546">
        <f t="shared" ref="L100:L109" si="99">$K100/1000*D100</f>
        <v>0</v>
      </c>
      <c r="M100" s="546">
        <f t="shared" si="94"/>
        <v>0</v>
      </c>
      <c r="N100" s="546">
        <f t="shared" si="95"/>
        <v>0</v>
      </c>
      <c r="O100" s="546">
        <f t="shared" si="96"/>
        <v>0</v>
      </c>
      <c r="P100" s="546">
        <f t="shared" si="97"/>
        <v>0</v>
      </c>
      <c r="Q100" s="546">
        <f t="shared" si="98"/>
        <v>0</v>
      </c>
      <c r="R100" s="133"/>
      <c r="S100" s="133"/>
      <c r="T100" s="133"/>
      <c r="U100" s="133"/>
      <c r="V100" s="133"/>
      <c r="W100" s="133"/>
      <c r="X100" s="133"/>
      <c r="Y100" s="133"/>
      <c r="Z100" s="133"/>
      <c r="AJ100" s="283"/>
      <c r="AK100" s="283"/>
      <c r="AL100" s="283"/>
      <c r="AM100" s="283"/>
      <c r="AN100" s="283"/>
    </row>
    <row r="101" spans="1:40" x14ac:dyDescent="0.3">
      <c r="A101" s="836"/>
      <c r="B101" s="334" t="s">
        <v>1162</v>
      </c>
      <c r="C101" s="149">
        <f>'Inputs and eligible population'!$H$104</f>
        <v>0</v>
      </c>
      <c r="D101" s="128">
        <f>'Inputs and eligible population'!$E$52*'Inputs and eligible population'!$L$84*'Capacity (local prices)'!$C$33</f>
        <v>0</v>
      </c>
      <c r="E101" s="128">
        <f>'Inputs and eligible population'!$E$52*'Inputs and eligible population'!$M$84*'Capacity (local prices)'!$C101</f>
        <v>0</v>
      </c>
      <c r="F101" s="128">
        <f>'Inputs and eligible population'!$E$52*'Inputs and eligible population'!$N$84*'Capacity (local prices)'!$C101</f>
        <v>0</v>
      </c>
      <c r="G101" s="128">
        <f>'Inputs and eligible population'!$E$52*'Inputs and eligible population'!$O$84*'Capacity (local prices)'!$C101</f>
        <v>0</v>
      </c>
      <c r="H101" s="128">
        <f>'Inputs and eligible population'!$E$52*'Inputs and eligible population'!$P$84*'Capacity (local prices)'!$C101</f>
        <v>0</v>
      </c>
      <c r="I101" s="128">
        <f>'Inputs and eligible population'!$E$52*'Inputs and eligible population'!$Q$84*'Capacity (local prices)'!$C101</f>
        <v>0</v>
      </c>
      <c r="J101" s="409"/>
      <c r="K101" s="544">
        <f>'Inputs and eligible population'!$N$104</f>
        <v>42.15</v>
      </c>
      <c r="L101" s="546">
        <f t="shared" si="99"/>
        <v>0</v>
      </c>
      <c r="M101" s="546">
        <f t="shared" si="94"/>
        <v>0</v>
      </c>
      <c r="N101" s="546">
        <f t="shared" si="95"/>
        <v>0</v>
      </c>
      <c r="O101" s="546">
        <f t="shared" si="96"/>
        <v>0</v>
      </c>
      <c r="P101" s="546">
        <f t="shared" si="97"/>
        <v>0</v>
      </c>
      <c r="Q101" s="546">
        <f t="shared" si="98"/>
        <v>0</v>
      </c>
      <c r="R101" s="133"/>
      <c r="S101" s="133"/>
      <c r="T101" s="133"/>
      <c r="U101" s="133"/>
      <c r="V101" s="133"/>
      <c r="W101" s="133"/>
      <c r="X101" s="133"/>
      <c r="Y101" s="133"/>
      <c r="Z101" s="133"/>
      <c r="AJ101" s="283"/>
      <c r="AK101" s="283"/>
      <c r="AL101" s="283"/>
      <c r="AM101" s="283"/>
      <c r="AN101" s="283"/>
    </row>
    <row r="102" spans="1:40" x14ac:dyDescent="0.3">
      <c r="A102" s="836"/>
      <c r="B102" s="334" t="s">
        <v>1163</v>
      </c>
      <c r="C102" s="149">
        <f>'Inputs and eligible population'!$H$104</f>
        <v>0</v>
      </c>
      <c r="D102" s="128">
        <f>'Inputs and eligible population'!$F$52*'Inputs and eligible population'!$L$84*'Capacity (local prices)'!$C102</f>
        <v>0</v>
      </c>
      <c r="E102" s="128">
        <f>'Inputs and eligible population'!$F$52*'Inputs and eligible population'!$L$84*'Capacity (local prices)'!$C102</f>
        <v>0</v>
      </c>
      <c r="F102" s="128">
        <f>'Inputs and eligible population'!$F$52*'Inputs and eligible population'!$M$84*'Capacity (local prices)'!$C102</f>
        <v>0</v>
      </c>
      <c r="G102" s="128">
        <f>'Inputs and eligible population'!$F$52*'Inputs and eligible population'!$N$84*'Capacity (local prices)'!$C102</f>
        <v>0</v>
      </c>
      <c r="H102" s="128">
        <f>'Inputs and eligible population'!$F$52*'Inputs and eligible population'!$O$84*'Capacity (local prices)'!$C102</f>
        <v>0</v>
      </c>
      <c r="I102" s="128">
        <f>'Inputs and eligible population'!$F$52*'Inputs and eligible population'!$P$84*'Capacity (local prices)'!$C102</f>
        <v>0</v>
      </c>
      <c r="J102" s="409"/>
      <c r="K102" s="544">
        <f>'Inputs and eligible population'!$N$104</f>
        <v>42.15</v>
      </c>
      <c r="L102" s="546">
        <f t="shared" si="99"/>
        <v>0</v>
      </c>
      <c r="M102" s="546">
        <f t="shared" si="94"/>
        <v>0</v>
      </c>
      <c r="N102" s="546">
        <f t="shared" si="95"/>
        <v>0</v>
      </c>
      <c r="O102" s="546">
        <f t="shared" si="96"/>
        <v>0</v>
      </c>
      <c r="P102" s="546">
        <f t="shared" si="97"/>
        <v>0</v>
      </c>
      <c r="Q102" s="546">
        <f t="shared" si="98"/>
        <v>0</v>
      </c>
      <c r="R102" s="133"/>
      <c r="S102" s="133"/>
      <c r="T102" s="133"/>
      <c r="U102" s="133"/>
      <c r="V102" s="133"/>
      <c r="W102" s="133"/>
      <c r="X102" s="133"/>
      <c r="Y102" s="133"/>
      <c r="Z102" s="133"/>
      <c r="AJ102" s="283"/>
      <c r="AK102" s="283"/>
      <c r="AL102" s="283"/>
      <c r="AM102" s="283"/>
      <c r="AN102" s="283"/>
    </row>
    <row r="103" spans="1:40" x14ac:dyDescent="0.3">
      <c r="A103" s="836"/>
      <c r="B103" s="334" t="s">
        <v>1164</v>
      </c>
      <c r="C103" s="149">
        <f>'Inputs and eligible population'!$H$104</f>
        <v>0</v>
      </c>
      <c r="D103" s="128">
        <f>'Inputs and eligible population'!$G$52*'Inputs and eligible population'!$L$84*'Capacity (local prices)'!$C103</f>
        <v>0</v>
      </c>
      <c r="E103" s="128">
        <f>'Inputs and eligible population'!$G$52*'Inputs and eligible population'!$L$84*'Capacity (local prices)'!$C103</f>
        <v>0</v>
      </c>
      <c r="F103" s="128">
        <f>'Inputs and eligible population'!$G$52*'Inputs and eligible population'!$L$84*'Capacity (local prices)'!$C103</f>
        <v>0</v>
      </c>
      <c r="G103" s="128">
        <f>'Inputs and eligible population'!$G$52*'Inputs and eligible population'!$M$84*'Capacity (local prices)'!$C103</f>
        <v>0</v>
      </c>
      <c r="H103" s="128">
        <f>'Inputs and eligible population'!$G$52*'Inputs and eligible population'!$N$84*'Capacity (local prices)'!$C103</f>
        <v>0</v>
      </c>
      <c r="I103" s="128">
        <f>'Inputs and eligible population'!$G$52*'Inputs and eligible population'!$O$84*'Capacity (local prices)'!$C103</f>
        <v>0</v>
      </c>
      <c r="J103" s="409"/>
      <c r="K103" s="544">
        <f>'Inputs and eligible population'!$N$104</f>
        <v>42.15</v>
      </c>
      <c r="L103" s="546">
        <f t="shared" si="99"/>
        <v>0</v>
      </c>
      <c r="M103" s="546">
        <f t="shared" si="94"/>
        <v>0</v>
      </c>
      <c r="N103" s="546">
        <f t="shared" si="95"/>
        <v>0</v>
      </c>
      <c r="O103" s="546">
        <f t="shared" si="96"/>
        <v>0</v>
      </c>
      <c r="P103" s="546">
        <f t="shared" si="97"/>
        <v>0</v>
      </c>
      <c r="Q103" s="546">
        <f t="shared" si="98"/>
        <v>0</v>
      </c>
      <c r="R103" s="133"/>
      <c r="S103" s="133"/>
      <c r="T103" s="133"/>
      <c r="U103" s="133"/>
      <c r="V103" s="133"/>
      <c r="W103" s="133"/>
      <c r="X103" s="133"/>
      <c r="Y103" s="133"/>
      <c r="Z103" s="133"/>
      <c r="AJ103" s="283"/>
      <c r="AK103" s="283"/>
      <c r="AL103" s="283"/>
      <c r="AM103" s="283"/>
      <c r="AN103" s="283"/>
    </row>
    <row r="104" spans="1:40" x14ac:dyDescent="0.3">
      <c r="A104" s="836"/>
      <c r="B104" s="334" t="s">
        <v>1066</v>
      </c>
      <c r="C104" s="149">
        <f>'Inputs and eligible population'!I104</f>
        <v>0</v>
      </c>
      <c r="D104" s="128">
        <f>('Financial impact (cash)'!D$15*$C104*'Inputs and eligible population'!$E$53)/60</f>
        <v>0</v>
      </c>
      <c r="E104" s="128">
        <f>('Financial impact (cash)'!E$15*$C104*'Inputs and eligible population'!$E$53)/60</f>
        <v>0</v>
      </c>
      <c r="F104" s="128">
        <f>('Financial impact (cash)'!F$15*$C104*'Inputs and eligible population'!$E$53)/60</f>
        <v>0</v>
      </c>
      <c r="G104" s="128">
        <f>('Financial impact (cash)'!G$15*$C104*'Inputs and eligible population'!$E$53)/60</f>
        <v>0</v>
      </c>
      <c r="H104" s="128">
        <f>('Financial impact (cash)'!H$15*$C104*'Inputs and eligible population'!$E$53)/60</f>
        <v>0</v>
      </c>
      <c r="I104" s="128">
        <f>('Financial impact (cash)'!I$15*$C104*'Inputs and eligible population'!$E$53)/60</f>
        <v>0</v>
      </c>
      <c r="J104" s="409"/>
      <c r="K104" s="544">
        <f>'Inputs and eligible population'!$N$104</f>
        <v>42.15</v>
      </c>
      <c r="L104" s="546">
        <f t="shared" si="99"/>
        <v>0</v>
      </c>
      <c r="M104" s="546">
        <f t="shared" si="94"/>
        <v>0</v>
      </c>
      <c r="N104" s="546">
        <f t="shared" si="95"/>
        <v>0</v>
      </c>
      <c r="O104" s="546">
        <f t="shared" si="96"/>
        <v>0</v>
      </c>
      <c r="P104" s="546">
        <f t="shared" si="97"/>
        <v>0</v>
      </c>
      <c r="Q104" s="546">
        <f t="shared" si="98"/>
        <v>0</v>
      </c>
      <c r="R104" s="133"/>
      <c r="S104" s="133"/>
      <c r="T104" s="133"/>
      <c r="U104" s="133"/>
      <c r="V104" s="133"/>
      <c r="W104" s="133"/>
      <c r="X104" s="133"/>
      <c r="Y104" s="133"/>
      <c r="Z104" s="133"/>
      <c r="AJ104" s="283"/>
      <c r="AK104" s="283"/>
      <c r="AL104" s="283"/>
      <c r="AM104" s="283"/>
      <c r="AN104" s="283"/>
    </row>
    <row r="105" spans="1:40" x14ac:dyDescent="0.3">
      <c r="A105" s="836"/>
      <c r="B105" s="334" t="s">
        <v>1067</v>
      </c>
      <c r="C105" s="149">
        <f>'Inputs and eligible population'!J104</f>
        <v>0</v>
      </c>
      <c r="D105" s="128">
        <f>('Financial impact (cash)'!D$15*$C105*'Inputs and eligible population'!$E$54)/60</f>
        <v>0</v>
      </c>
      <c r="E105" s="128">
        <f>('Financial impact (cash)'!E$15*$C105*'Inputs and eligible population'!$E$54)/60</f>
        <v>0</v>
      </c>
      <c r="F105" s="128">
        <f>('Financial impact (cash)'!F$15*$C105*'Inputs and eligible population'!$E$54)/60</f>
        <v>0</v>
      </c>
      <c r="G105" s="128">
        <f>('Financial impact (cash)'!G$15*$C105*'Inputs and eligible population'!$E$54)/60</f>
        <v>0</v>
      </c>
      <c r="H105" s="128">
        <f>('Financial impact (cash)'!H$15*$C105*'Inputs and eligible population'!$E$54)/60</f>
        <v>0</v>
      </c>
      <c r="I105" s="128">
        <f>('Financial impact (cash)'!I$15*$C105*'Inputs and eligible population'!$E$54)/60</f>
        <v>0</v>
      </c>
      <c r="J105" s="409"/>
      <c r="K105" s="544">
        <f>'Inputs and eligible population'!$N$104</f>
        <v>42.15</v>
      </c>
      <c r="L105" s="546">
        <f t="shared" si="99"/>
        <v>0</v>
      </c>
      <c r="M105" s="546">
        <f t="shared" si="94"/>
        <v>0</v>
      </c>
      <c r="N105" s="546">
        <f t="shared" si="95"/>
        <v>0</v>
      </c>
      <c r="O105" s="546">
        <f t="shared" si="96"/>
        <v>0</v>
      </c>
      <c r="P105" s="546">
        <f t="shared" si="97"/>
        <v>0</v>
      </c>
      <c r="Q105" s="546">
        <f t="shared" si="98"/>
        <v>0</v>
      </c>
      <c r="R105" s="133"/>
      <c r="S105" s="133"/>
      <c r="T105" s="133"/>
      <c r="U105" s="133"/>
      <c r="V105" s="133"/>
      <c r="W105" s="133"/>
      <c r="X105" s="133"/>
      <c r="Y105" s="133"/>
      <c r="Z105" s="133"/>
      <c r="AJ105" s="283"/>
      <c r="AK105" s="283"/>
      <c r="AL105" s="283"/>
      <c r="AM105" s="283"/>
      <c r="AN105" s="283"/>
    </row>
    <row r="106" spans="1:40" x14ac:dyDescent="0.3">
      <c r="A106" s="836"/>
      <c r="B106" s="334" t="s">
        <v>1165</v>
      </c>
      <c r="C106" s="149">
        <f>'Inputs and eligible population'!$K$104</f>
        <v>0</v>
      </c>
      <c r="D106" s="128">
        <f>Summary!$C$17*'Capacity (local prices)'!$C106*'Inputs and eligible population'!$E$55</f>
        <v>0</v>
      </c>
      <c r="E106" s="128">
        <f>(Summary!$D$17*'Capacity (local prices)'!$C106*'Inputs and eligible population'!$E$55)</f>
        <v>0</v>
      </c>
      <c r="F106" s="128">
        <f>(Summary!$E$17*'Capacity (local prices)'!$C106*'Inputs and eligible population'!$E$55)</f>
        <v>0</v>
      </c>
      <c r="G106" s="128">
        <f>(Summary!$F$17*'Capacity (local prices)'!$C106*'Inputs and eligible population'!$E$55)</f>
        <v>0</v>
      </c>
      <c r="H106" s="128">
        <f>(Summary!$G$17*'Capacity (local prices)'!$C106*'Inputs and eligible population'!$E$55)</f>
        <v>0</v>
      </c>
      <c r="I106" s="128">
        <f>(Summary!$H$17*'Capacity (local prices)'!$C106*'Inputs and eligible population'!$E$55)</f>
        <v>0</v>
      </c>
      <c r="J106" s="409"/>
      <c r="K106" s="544">
        <f>'Inputs and eligible population'!$N$104</f>
        <v>42.15</v>
      </c>
      <c r="L106" s="546">
        <f t="shared" si="99"/>
        <v>0</v>
      </c>
      <c r="M106" s="546">
        <f t="shared" si="94"/>
        <v>0</v>
      </c>
      <c r="N106" s="546">
        <f t="shared" si="95"/>
        <v>0</v>
      </c>
      <c r="O106" s="546">
        <f t="shared" si="96"/>
        <v>0</v>
      </c>
      <c r="P106" s="546">
        <f t="shared" si="97"/>
        <v>0</v>
      </c>
      <c r="Q106" s="546">
        <f t="shared" si="98"/>
        <v>0</v>
      </c>
      <c r="R106" s="133"/>
      <c r="S106" s="133"/>
      <c r="T106" s="133"/>
      <c r="U106" s="133"/>
      <c r="V106" s="133"/>
      <c r="W106" s="133"/>
      <c r="X106" s="133"/>
      <c r="Y106" s="133"/>
      <c r="Z106" s="133"/>
      <c r="AJ106" s="283"/>
      <c r="AK106" s="283"/>
      <c r="AL106" s="283"/>
      <c r="AM106" s="283"/>
      <c r="AN106" s="283"/>
    </row>
    <row r="107" spans="1:40" x14ac:dyDescent="0.3">
      <c r="A107" s="836"/>
      <c r="B107" s="334" t="s">
        <v>1166</v>
      </c>
      <c r="C107" s="149">
        <f>'Inputs and eligible population'!$K$104</f>
        <v>0</v>
      </c>
      <c r="D107" s="128">
        <f>Summary!$C$17*'Capacity (local prices)'!$C106*'Inputs and eligible population'!$F$55</f>
        <v>0</v>
      </c>
      <c r="E107" s="128">
        <f>Summary!$C$17*'Capacity (local prices)'!$C106*'Inputs and eligible population'!$F$55</f>
        <v>0</v>
      </c>
      <c r="F107" s="128">
        <f>(Summary!$D$17*'Capacity (local prices)'!$C106*'Inputs and eligible population'!$F$55)</f>
        <v>0</v>
      </c>
      <c r="G107" s="128">
        <f>(Summary!$E$17*'Capacity (local prices)'!$C106*'Inputs and eligible population'!$F$55)</f>
        <v>0</v>
      </c>
      <c r="H107" s="128">
        <f>(Summary!$F$17*'Capacity (local prices)'!$C106*'Inputs and eligible population'!$F$55)</f>
        <v>0</v>
      </c>
      <c r="I107" s="128">
        <f>(Summary!$G$17*'Capacity (local prices)'!$C106*'Inputs and eligible population'!$F$55)</f>
        <v>0</v>
      </c>
      <c r="J107" s="409"/>
      <c r="K107" s="544">
        <f>'Inputs and eligible population'!$N$104</f>
        <v>42.15</v>
      </c>
      <c r="L107" s="546">
        <f t="shared" si="99"/>
        <v>0</v>
      </c>
      <c r="M107" s="546">
        <f t="shared" si="94"/>
        <v>0</v>
      </c>
      <c r="N107" s="546">
        <f t="shared" si="95"/>
        <v>0</v>
      </c>
      <c r="O107" s="546">
        <f t="shared" si="96"/>
        <v>0</v>
      </c>
      <c r="P107" s="546">
        <f t="shared" si="97"/>
        <v>0</v>
      </c>
      <c r="Q107" s="546">
        <f t="shared" si="98"/>
        <v>0</v>
      </c>
      <c r="R107" s="133"/>
      <c r="S107" s="133"/>
      <c r="T107" s="133"/>
      <c r="U107" s="133"/>
      <c r="V107" s="133"/>
      <c r="W107" s="133"/>
      <c r="X107" s="133"/>
      <c r="Y107" s="133"/>
      <c r="Z107" s="133"/>
      <c r="AJ107" s="283"/>
      <c r="AK107" s="283"/>
      <c r="AL107" s="283"/>
      <c r="AM107" s="283"/>
      <c r="AN107" s="283"/>
    </row>
    <row r="108" spans="1:40" x14ac:dyDescent="0.3">
      <c r="A108" s="836"/>
      <c r="B108" s="334" t="s">
        <v>1167</v>
      </c>
      <c r="C108" s="149">
        <f>'Inputs and eligible population'!$K$104</f>
        <v>0</v>
      </c>
      <c r="D108" s="128">
        <f>Summary!$C$17*'Capacity (local prices)'!$C106*'Inputs and eligible population'!$G$55</f>
        <v>0</v>
      </c>
      <c r="E108" s="128">
        <f>Summary!$C$17*'Capacity (local prices)'!$C106*'Inputs and eligible population'!$G$55</f>
        <v>0</v>
      </c>
      <c r="F108" s="128">
        <f>Summary!$C$17*'Capacity (local prices)'!$C106*'Inputs and eligible population'!$G$55</f>
        <v>0</v>
      </c>
      <c r="G108" s="128">
        <f>(Summary!$D$17*'Capacity (local prices)'!$C106*'Inputs and eligible population'!$G$55)</f>
        <v>0</v>
      </c>
      <c r="H108" s="128">
        <f>(Summary!$E$17*'Capacity (local prices)'!$C106*'Inputs and eligible population'!$G$55)</f>
        <v>0</v>
      </c>
      <c r="I108" s="128">
        <f>(Summary!$F$17*'Capacity (local prices)'!$C106*'Inputs and eligible population'!$G$55)</f>
        <v>0</v>
      </c>
      <c r="J108" s="409"/>
      <c r="K108" s="544">
        <f>'Inputs and eligible population'!$N$104</f>
        <v>42.15</v>
      </c>
      <c r="L108" s="546">
        <f t="shared" si="99"/>
        <v>0</v>
      </c>
      <c r="M108" s="546">
        <f t="shared" si="94"/>
        <v>0</v>
      </c>
      <c r="N108" s="546">
        <f t="shared" si="95"/>
        <v>0</v>
      </c>
      <c r="O108" s="546">
        <f t="shared" si="96"/>
        <v>0</v>
      </c>
      <c r="P108" s="546">
        <f t="shared" si="97"/>
        <v>0</v>
      </c>
      <c r="Q108" s="546">
        <f t="shared" si="98"/>
        <v>0</v>
      </c>
      <c r="R108" s="133"/>
      <c r="S108" s="133"/>
      <c r="T108" s="133"/>
      <c r="U108" s="133"/>
      <c r="V108" s="133"/>
      <c r="W108" s="133"/>
      <c r="X108" s="133"/>
      <c r="Y108" s="133"/>
      <c r="Z108" s="133"/>
      <c r="AJ108" s="283"/>
      <c r="AK108" s="283"/>
      <c r="AL108" s="283"/>
      <c r="AM108" s="283"/>
      <c r="AN108" s="283"/>
    </row>
    <row r="109" spans="1:40" x14ac:dyDescent="0.3">
      <c r="A109" s="836"/>
      <c r="B109" s="832" t="s">
        <v>1069</v>
      </c>
      <c r="C109" s="149">
        <f>'Inputs and eligible population'!L104</f>
        <v>0</v>
      </c>
      <c r="D109" s="128">
        <f>(Summary!C$18*'Capacity (local prices)'!$C109*'Inputs and eligible population'!$E$56)/60</f>
        <v>0</v>
      </c>
      <c r="E109" s="128">
        <f>(Summary!D$18*'Capacity (local prices)'!$C109*'Inputs and eligible population'!$E$56)/60</f>
        <v>0</v>
      </c>
      <c r="F109" s="128">
        <f>(Summary!E$18*'Capacity (local prices)'!$C109*'Inputs and eligible population'!$E$56)/60</f>
        <v>0</v>
      </c>
      <c r="G109" s="128">
        <f>(Summary!F$18*'Capacity (local prices)'!$C109*'Inputs and eligible population'!$E$56)/60</f>
        <v>0</v>
      </c>
      <c r="H109" s="128">
        <f>(Summary!G$18*'Capacity (local prices)'!$C109*'Inputs and eligible population'!$E$56)/60</f>
        <v>0</v>
      </c>
      <c r="I109" s="128">
        <f>(Summary!H$18*'Capacity (local prices)'!$C109*'Inputs and eligible population'!$E$56)/60</f>
        <v>0</v>
      </c>
      <c r="J109" s="409"/>
      <c r="K109" s="544">
        <f>'Inputs and eligible population'!$N$104</f>
        <v>42.15</v>
      </c>
      <c r="L109" s="546">
        <f t="shared" si="99"/>
        <v>0</v>
      </c>
      <c r="M109" s="546">
        <f t="shared" si="94"/>
        <v>0</v>
      </c>
      <c r="N109" s="546">
        <f t="shared" si="95"/>
        <v>0</v>
      </c>
      <c r="O109" s="546">
        <f t="shared" si="96"/>
        <v>0</v>
      </c>
      <c r="P109" s="546">
        <f t="shared" si="97"/>
        <v>0</v>
      </c>
      <c r="Q109" s="546">
        <f t="shared" si="98"/>
        <v>0</v>
      </c>
      <c r="R109" s="133"/>
      <c r="S109" s="133"/>
      <c r="T109" s="133"/>
      <c r="U109" s="133"/>
      <c r="V109" s="133"/>
      <c r="W109" s="133"/>
      <c r="X109" s="133"/>
      <c r="Y109" s="133"/>
      <c r="Z109" s="133"/>
      <c r="AJ109" s="283"/>
      <c r="AK109" s="283"/>
      <c r="AL109" s="283"/>
      <c r="AM109" s="283"/>
      <c r="AN109" s="283"/>
    </row>
    <row r="110" spans="1:40" x14ac:dyDescent="0.3">
      <c r="A110" s="836"/>
      <c r="B110" s="504"/>
      <c r="C110" s="280"/>
      <c r="D110" s="186">
        <f>SUM(D99:D109)</f>
        <v>0</v>
      </c>
      <c r="E110" s="186">
        <f t="shared" ref="E110" si="100">SUM(E99:E109)</f>
        <v>0</v>
      </c>
      <c r="F110" s="186">
        <f t="shared" ref="F110" si="101">SUM(F99:F109)</f>
        <v>0</v>
      </c>
      <c r="G110" s="186">
        <f t="shared" ref="G110" si="102">SUM(G99:G109)</f>
        <v>0</v>
      </c>
      <c r="H110" s="186">
        <f t="shared" ref="H110" si="103">SUM(H99:H109)</f>
        <v>0</v>
      </c>
      <c r="I110" s="186">
        <f t="shared" ref="I110" si="104">SUM(I99:I109)</f>
        <v>0</v>
      </c>
      <c r="J110" s="409"/>
      <c r="K110" s="215"/>
      <c r="L110" s="289">
        <f>SUM(L99:L109)</f>
        <v>0</v>
      </c>
      <c r="M110" s="290">
        <f t="shared" ref="M110" si="105">SUM(M99:M109)</f>
        <v>0</v>
      </c>
      <c r="N110" s="290">
        <f t="shared" ref="N110" si="106">SUM(N99:N109)</f>
        <v>0</v>
      </c>
      <c r="O110" s="290">
        <f t="shared" ref="O110" si="107">SUM(O99:O109)</f>
        <v>0</v>
      </c>
      <c r="P110" s="290">
        <f t="shared" ref="P110" si="108">SUM(P99:P109)</f>
        <v>0</v>
      </c>
      <c r="Q110" s="290">
        <f t="shared" ref="Q110" si="109">SUM(Q99:Q109)</f>
        <v>0</v>
      </c>
      <c r="R110" s="133"/>
      <c r="S110" s="133"/>
      <c r="T110" s="133"/>
      <c r="U110" s="133"/>
      <c r="V110" s="133"/>
      <c r="W110" s="133"/>
      <c r="X110" s="133"/>
      <c r="Y110" s="133"/>
      <c r="Z110" s="133"/>
      <c r="AJ110" s="283"/>
      <c r="AK110" s="283"/>
      <c r="AL110" s="283"/>
      <c r="AM110" s="283"/>
      <c r="AN110" s="283"/>
    </row>
    <row r="111" spans="1:40" x14ac:dyDescent="0.3">
      <c r="A111" s="836"/>
      <c r="B111" s="255"/>
      <c r="C111" s="255"/>
      <c r="D111" s="282" t="s">
        <v>844</v>
      </c>
      <c r="E111" s="186">
        <f>E110-$D$110</f>
        <v>0</v>
      </c>
      <c r="F111" s="186">
        <f t="shared" ref="F111:I111" si="110">F110-$D$110</f>
        <v>0</v>
      </c>
      <c r="G111" s="186">
        <f t="shared" si="110"/>
        <v>0</v>
      </c>
      <c r="H111" s="186">
        <f t="shared" si="110"/>
        <v>0</v>
      </c>
      <c r="I111" s="186">
        <f t="shared" si="110"/>
        <v>0</v>
      </c>
      <c r="J111" s="409"/>
      <c r="K111" s="215"/>
      <c r="L111" s="215"/>
      <c r="M111" s="290">
        <f>M110-$L110</f>
        <v>0</v>
      </c>
      <c r="N111" s="290">
        <f t="shared" ref="N111:Q111" si="111">N110-$L110</f>
        <v>0</v>
      </c>
      <c r="O111" s="290">
        <f t="shared" si="111"/>
        <v>0</v>
      </c>
      <c r="P111" s="290">
        <f t="shared" si="111"/>
        <v>0</v>
      </c>
      <c r="Q111" s="290">
        <f t="shared" si="111"/>
        <v>0</v>
      </c>
      <c r="R111" s="133"/>
      <c r="S111" s="133"/>
      <c r="T111" s="133"/>
      <c r="U111" s="133"/>
      <c r="V111" s="133"/>
      <c r="W111" s="133"/>
      <c r="X111" s="133"/>
      <c r="Y111" s="133"/>
      <c r="Z111" s="133"/>
      <c r="AJ111" s="283"/>
      <c r="AK111" s="283"/>
      <c r="AL111" s="283"/>
      <c r="AM111" s="283"/>
      <c r="AN111" s="283"/>
    </row>
    <row r="112" spans="1:40" ht="30.6" customHeight="1" x14ac:dyDescent="0.3">
      <c r="A112" s="284"/>
      <c r="B112" s="837"/>
      <c r="C112" s="838"/>
      <c r="D112" s="839"/>
      <c r="E112" s="840"/>
      <c r="F112" s="284"/>
      <c r="G112" s="284"/>
      <c r="H112" s="284"/>
      <c r="I112" s="295"/>
      <c r="J112" s="215"/>
      <c r="K112" s="215"/>
      <c r="L112" s="215"/>
      <c r="M112" s="215"/>
      <c r="N112" s="215"/>
      <c r="O112" s="215"/>
      <c r="P112" s="215"/>
      <c r="Q112" s="215"/>
      <c r="R112" s="133"/>
      <c r="S112" s="133"/>
      <c r="T112" s="133"/>
      <c r="U112" s="133"/>
      <c r="V112" s="133"/>
      <c r="W112" s="133"/>
      <c r="X112" s="133"/>
      <c r="Y112" s="133"/>
      <c r="Z112" s="133"/>
      <c r="AJ112" s="283"/>
      <c r="AK112" s="283"/>
      <c r="AL112" s="283"/>
      <c r="AM112" s="283"/>
      <c r="AN112" s="283"/>
    </row>
    <row r="113" spans="1:40" x14ac:dyDescent="0.3">
      <c r="A113" s="284"/>
      <c r="B113" s="308" t="s">
        <v>842</v>
      </c>
      <c r="C113" s="292"/>
      <c r="D113" s="292"/>
      <c r="E113" s="293"/>
      <c r="F113" s="294"/>
      <c r="G113" s="295"/>
      <c r="H113" s="295"/>
      <c r="I113" s="295"/>
      <c r="J113" s="412"/>
      <c r="K113" s="284"/>
      <c r="L113" s="284"/>
      <c r="M113" s="284"/>
      <c r="N113" s="284"/>
      <c r="O113" s="284"/>
      <c r="P113" s="284"/>
      <c r="Q113" s="215"/>
      <c r="V113" s="133"/>
    </row>
    <row r="114" spans="1:40" x14ac:dyDescent="0.3">
      <c r="A114" s="284"/>
      <c r="B114" s="373" t="s">
        <v>1146</v>
      </c>
      <c r="C114" s="374"/>
      <c r="D114" s="374"/>
      <c r="E114" s="374"/>
      <c r="F114" s="374"/>
      <c r="G114" s="374"/>
      <c r="H114" s="374"/>
      <c r="I114" s="214"/>
      <c r="J114" s="409"/>
      <c r="K114" s="215"/>
      <c r="L114" s="408"/>
      <c r="M114" s="408"/>
      <c r="N114" s="408"/>
      <c r="O114" s="408"/>
      <c r="P114" s="408"/>
      <c r="Q114" s="408"/>
      <c r="V114" s="133"/>
    </row>
    <row r="115" spans="1:40" ht="74.55" customHeight="1" x14ac:dyDescent="0.3">
      <c r="A115" s="284"/>
      <c r="B115" s="279" t="s">
        <v>766</v>
      </c>
      <c r="C115" s="166" t="s">
        <v>843</v>
      </c>
      <c r="D115" s="402" t="s">
        <v>831</v>
      </c>
      <c r="E115" s="254" t="s">
        <v>676</v>
      </c>
      <c r="F115" s="254" t="s">
        <v>677</v>
      </c>
      <c r="G115" s="165" t="s">
        <v>803</v>
      </c>
      <c r="H115" s="165" t="s">
        <v>804</v>
      </c>
      <c r="I115" s="254" t="s">
        <v>805</v>
      </c>
      <c r="J115" s="284"/>
      <c r="K115" s="531" t="s">
        <v>840</v>
      </c>
      <c r="L115" s="402" t="s">
        <v>831</v>
      </c>
      <c r="M115" s="521" t="s">
        <v>676</v>
      </c>
      <c r="N115" s="521" t="s">
        <v>677</v>
      </c>
      <c r="O115" s="403" t="s">
        <v>803</v>
      </c>
      <c r="P115" s="403" t="s">
        <v>804</v>
      </c>
      <c r="Q115" s="521" t="s">
        <v>805</v>
      </c>
      <c r="V115" s="133"/>
    </row>
    <row r="116" spans="1:40" x14ac:dyDescent="0.3">
      <c r="A116" s="836"/>
      <c r="B116" s="334" t="s">
        <v>1065</v>
      </c>
      <c r="C116" s="149">
        <f>'Inputs and eligible population'!F105</f>
        <v>0</v>
      </c>
      <c r="D116" s="128">
        <f>(Summary!$C$16*'Capacity (local prices)'!$C116*'Inputs and eligible population'!$E$50)/60</f>
        <v>0</v>
      </c>
      <c r="E116" s="128">
        <f>(Summary!$D$16*'Capacity (local prices)'!$C116*'Inputs and eligible population'!$E$50)/60</f>
        <v>0</v>
      </c>
      <c r="F116" s="128">
        <f>(Summary!E$16*'Capacity (local prices)'!$C116*'Inputs and eligible population'!$E$50)/60</f>
        <v>0</v>
      </c>
      <c r="G116" s="128">
        <f>(Summary!F$16*'Capacity (local prices)'!$C116*'Inputs and eligible population'!$E$50)/60</f>
        <v>0</v>
      </c>
      <c r="H116" s="128">
        <f>(Summary!G$16*'Capacity (local prices)'!$C116*'Inputs and eligible population'!$E$50)/60</f>
        <v>0</v>
      </c>
      <c r="I116" s="128">
        <f>(Summary!H$16*'Capacity (local prices)'!$C116*'Inputs and eligible population'!$E$50)/60</f>
        <v>0</v>
      </c>
      <c r="J116" s="409"/>
      <c r="K116" s="544">
        <f>'Inputs and eligible population'!$N$105</f>
        <v>42.15</v>
      </c>
      <c r="L116" s="546">
        <f>$K116/1000*D116</f>
        <v>0</v>
      </c>
      <c r="M116" s="546">
        <f t="shared" ref="M116:M126" si="112">$K116/1000*E116</f>
        <v>0</v>
      </c>
      <c r="N116" s="546">
        <f t="shared" ref="N116:N126" si="113">$K116/1000*F116</f>
        <v>0</v>
      </c>
      <c r="O116" s="546">
        <f t="shared" ref="O116:O126" si="114">$K116/1000*G116</f>
        <v>0</v>
      </c>
      <c r="P116" s="546">
        <f t="shared" ref="P116:P126" si="115">$K116/1000*H116</f>
        <v>0</v>
      </c>
      <c r="Q116" s="546">
        <f t="shared" ref="Q116:Q126" si="116">$K116/1000*I116</f>
        <v>0</v>
      </c>
      <c r="R116" s="133"/>
      <c r="S116" s="133"/>
      <c r="T116" s="133"/>
      <c r="U116" s="133"/>
      <c r="V116" s="133"/>
      <c r="W116" s="133"/>
      <c r="X116" s="133"/>
      <c r="Y116" s="133"/>
      <c r="Z116" s="133"/>
      <c r="AJ116" s="283"/>
      <c r="AK116" s="283"/>
      <c r="AL116" s="283"/>
      <c r="AM116" s="283"/>
      <c r="AN116" s="283"/>
    </row>
    <row r="117" spans="1:40" x14ac:dyDescent="0.3">
      <c r="A117" s="836"/>
      <c r="B117" s="334" t="s">
        <v>1064</v>
      </c>
      <c r="C117" s="149">
        <f>'Inputs and eligible population'!G105</f>
        <v>0</v>
      </c>
      <c r="D117" s="128">
        <f>(Summary!C$16*'Capacity (local prices)'!$C117*'Inputs and eligible population'!$E$51)/60</f>
        <v>0</v>
      </c>
      <c r="E117" s="128">
        <f>(Summary!D$16*'Capacity (local prices)'!$C117*'Inputs and eligible population'!$E$51)/60</f>
        <v>0</v>
      </c>
      <c r="F117" s="128">
        <f>(Summary!E$16*'Capacity (local prices)'!$C117*'Inputs and eligible population'!$E$51)/60</f>
        <v>0</v>
      </c>
      <c r="G117" s="128">
        <f>(Summary!F$16*'Capacity (local prices)'!$C117*'Inputs and eligible population'!$E$51)/60</f>
        <v>0</v>
      </c>
      <c r="H117" s="128">
        <f>(Summary!G$16*'Capacity (local prices)'!$C117*'Inputs and eligible population'!$E$51)/60</f>
        <v>0</v>
      </c>
      <c r="I117" s="128">
        <f>(Summary!H$16*'Capacity (local prices)'!$C117*'Inputs and eligible population'!$E$51)/60</f>
        <v>0</v>
      </c>
      <c r="J117" s="409"/>
      <c r="K117" s="544">
        <f>'Inputs and eligible population'!$N$105</f>
        <v>42.15</v>
      </c>
      <c r="L117" s="546">
        <f>$K117/1000*D117</f>
        <v>0</v>
      </c>
      <c r="M117" s="546">
        <f t="shared" si="112"/>
        <v>0</v>
      </c>
      <c r="N117" s="546">
        <f t="shared" si="113"/>
        <v>0</v>
      </c>
      <c r="O117" s="546">
        <f t="shared" si="114"/>
        <v>0</v>
      </c>
      <c r="P117" s="546">
        <f t="shared" si="115"/>
        <v>0</v>
      </c>
      <c r="Q117" s="546">
        <f t="shared" si="116"/>
        <v>0</v>
      </c>
      <c r="R117" s="133"/>
      <c r="S117" s="133"/>
      <c r="T117" s="133"/>
      <c r="U117" s="133"/>
      <c r="V117" s="133"/>
      <c r="W117" s="133"/>
      <c r="X117" s="133"/>
      <c r="Y117" s="133"/>
      <c r="Z117" s="133"/>
      <c r="AJ117" s="283"/>
      <c r="AK117" s="283"/>
      <c r="AL117" s="283"/>
      <c r="AM117" s="283"/>
      <c r="AN117" s="283"/>
    </row>
    <row r="118" spans="1:40" x14ac:dyDescent="0.3">
      <c r="A118" s="836"/>
      <c r="B118" s="334" t="s">
        <v>1162</v>
      </c>
      <c r="C118" s="149">
        <f>'Inputs and eligible population'!$H$105</f>
        <v>0</v>
      </c>
      <c r="D118" s="128">
        <f>'Inputs and eligible population'!$E$52*'Inputs and eligible population'!$L$84*'Capacity (local prices)'!$C$33</f>
        <v>0</v>
      </c>
      <c r="E118" s="128">
        <f>'Inputs and eligible population'!$E$52*'Inputs and eligible population'!$M$84*'Capacity (local prices)'!$C118</f>
        <v>0</v>
      </c>
      <c r="F118" s="128">
        <f>'Inputs and eligible population'!$E$52*'Inputs and eligible population'!$N$84*'Capacity (local prices)'!$C118</f>
        <v>0</v>
      </c>
      <c r="G118" s="128">
        <f>'Inputs and eligible population'!$E$52*'Inputs and eligible population'!$O$84*'Capacity (local prices)'!$C118</f>
        <v>0</v>
      </c>
      <c r="H118" s="128">
        <f>'Inputs and eligible population'!$E$52*'Inputs and eligible population'!$P$84*'Capacity (local prices)'!$C118</f>
        <v>0</v>
      </c>
      <c r="I118" s="128">
        <f>'Inputs and eligible population'!$E$52*'Inputs and eligible population'!$Q$84*'Capacity (local prices)'!$C118</f>
        <v>0</v>
      </c>
      <c r="J118" s="409"/>
      <c r="K118" s="544">
        <f>'Inputs and eligible population'!$N$105</f>
        <v>42.15</v>
      </c>
      <c r="L118" s="546">
        <f t="shared" ref="L118:L126" si="117">$K118/1000*D118</f>
        <v>0</v>
      </c>
      <c r="M118" s="546">
        <f t="shared" si="112"/>
        <v>0</v>
      </c>
      <c r="N118" s="546">
        <f t="shared" si="113"/>
        <v>0</v>
      </c>
      <c r="O118" s="546">
        <f t="shared" si="114"/>
        <v>0</v>
      </c>
      <c r="P118" s="546">
        <f t="shared" si="115"/>
        <v>0</v>
      </c>
      <c r="Q118" s="546">
        <f t="shared" si="116"/>
        <v>0</v>
      </c>
      <c r="R118" s="133"/>
      <c r="S118" s="133"/>
      <c r="T118" s="133"/>
      <c r="U118" s="133"/>
      <c r="V118" s="133"/>
      <c r="W118" s="133"/>
      <c r="X118" s="133"/>
      <c r="Y118" s="133"/>
      <c r="Z118" s="133"/>
      <c r="AJ118" s="283"/>
      <c r="AK118" s="283"/>
      <c r="AL118" s="283"/>
      <c r="AM118" s="283"/>
      <c r="AN118" s="283"/>
    </row>
    <row r="119" spans="1:40" x14ac:dyDescent="0.3">
      <c r="A119" s="836"/>
      <c r="B119" s="334" t="s">
        <v>1163</v>
      </c>
      <c r="C119" s="149">
        <f>'Inputs and eligible population'!$H$105</f>
        <v>0</v>
      </c>
      <c r="D119" s="128">
        <f>'Inputs and eligible population'!$F$52*'Inputs and eligible population'!$L$84*'Capacity (local prices)'!$C119</f>
        <v>0</v>
      </c>
      <c r="E119" s="128">
        <f>'Inputs and eligible population'!$F$52*'Inputs and eligible population'!$L$84*'Capacity (local prices)'!$C119</f>
        <v>0</v>
      </c>
      <c r="F119" s="128">
        <f>'Inputs and eligible population'!$F$52*'Inputs and eligible population'!$M$84*'Capacity (local prices)'!$C119</f>
        <v>0</v>
      </c>
      <c r="G119" s="128">
        <f>'Inputs and eligible population'!$F$52*'Inputs and eligible population'!$N$84*'Capacity (local prices)'!$C119</f>
        <v>0</v>
      </c>
      <c r="H119" s="128">
        <f>'Inputs and eligible population'!$F$52*'Inputs and eligible population'!$O$84*'Capacity (local prices)'!$C119</f>
        <v>0</v>
      </c>
      <c r="I119" s="128">
        <f>'Inputs and eligible population'!$F$52*'Inputs and eligible population'!$P$84*'Capacity (local prices)'!$C119</f>
        <v>0</v>
      </c>
      <c r="J119" s="409"/>
      <c r="K119" s="544">
        <f>'Inputs and eligible population'!$N$105</f>
        <v>42.15</v>
      </c>
      <c r="L119" s="546">
        <f t="shared" ref="L119:L120" si="118">$K119/1000*D119</f>
        <v>0</v>
      </c>
      <c r="M119" s="546">
        <f t="shared" si="112"/>
        <v>0</v>
      </c>
      <c r="N119" s="546">
        <f t="shared" si="113"/>
        <v>0</v>
      </c>
      <c r="O119" s="546">
        <f t="shared" si="114"/>
        <v>0</v>
      </c>
      <c r="P119" s="546">
        <f t="shared" si="115"/>
        <v>0</v>
      </c>
      <c r="Q119" s="546">
        <f t="shared" si="116"/>
        <v>0</v>
      </c>
      <c r="R119" s="133"/>
      <c r="S119" s="133"/>
      <c r="T119" s="133"/>
      <c r="U119" s="133"/>
      <c r="V119" s="133"/>
      <c r="W119" s="133"/>
      <c r="X119" s="133"/>
      <c r="Y119" s="133"/>
      <c r="Z119" s="133"/>
      <c r="AJ119" s="283"/>
      <c r="AK119" s="283"/>
      <c r="AL119" s="283"/>
      <c r="AM119" s="283"/>
      <c r="AN119" s="283"/>
    </row>
    <row r="120" spans="1:40" x14ac:dyDescent="0.3">
      <c r="A120" s="836"/>
      <c r="B120" s="334" t="s">
        <v>1164</v>
      </c>
      <c r="C120" s="149">
        <f>'Inputs and eligible population'!$H$105</f>
        <v>0</v>
      </c>
      <c r="D120" s="128">
        <f>'Inputs and eligible population'!$G$52*'Inputs and eligible population'!$L$84*'Capacity (local prices)'!$C120</f>
        <v>0</v>
      </c>
      <c r="E120" s="128">
        <f>'Inputs and eligible population'!$G$52*'Inputs and eligible population'!$L$84*'Capacity (local prices)'!$C120</f>
        <v>0</v>
      </c>
      <c r="F120" s="128">
        <f>'Inputs and eligible population'!$G$52*'Inputs and eligible population'!$L$84*'Capacity (local prices)'!$C120</f>
        <v>0</v>
      </c>
      <c r="G120" s="128">
        <f>'Inputs and eligible population'!$G$52*'Inputs and eligible population'!$M$84*'Capacity (local prices)'!$C120</f>
        <v>0</v>
      </c>
      <c r="H120" s="128">
        <f>'Inputs and eligible population'!$G$52*'Inputs and eligible population'!$N$84*'Capacity (local prices)'!$C120</f>
        <v>0</v>
      </c>
      <c r="I120" s="128">
        <f>'Inputs and eligible population'!$G$52*'Inputs and eligible population'!$O$84*'Capacity (local prices)'!$C120</f>
        <v>0</v>
      </c>
      <c r="J120" s="409"/>
      <c r="K120" s="544">
        <f>'Inputs and eligible population'!$N$105</f>
        <v>42.15</v>
      </c>
      <c r="L120" s="546">
        <f t="shared" si="118"/>
        <v>0</v>
      </c>
      <c r="M120" s="546">
        <f t="shared" si="112"/>
        <v>0</v>
      </c>
      <c r="N120" s="546">
        <f t="shared" si="113"/>
        <v>0</v>
      </c>
      <c r="O120" s="546">
        <f t="shared" si="114"/>
        <v>0</v>
      </c>
      <c r="P120" s="546">
        <f t="shared" si="115"/>
        <v>0</v>
      </c>
      <c r="Q120" s="546">
        <f t="shared" si="116"/>
        <v>0</v>
      </c>
      <c r="R120" s="133"/>
      <c r="S120" s="133"/>
      <c r="T120" s="133"/>
      <c r="U120" s="133"/>
      <c r="V120" s="133"/>
      <c r="W120" s="133"/>
      <c r="X120" s="133"/>
      <c r="Y120" s="133"/>
      <c r="Z120" s="133"/>
      <c r="AJ120" s="283"/>
      <c r="AK120" s="283"/>
      <c r="AL120" s="283"/>
      <c r="AM120" s="283"/>
      <c r="AN120" s="283"/>
    </row>
    <row r="121" spans="1:40" x14ac:dyDescent="0.3">
      <c r="A121" s="836"/>
      <c r="B121" s="334" t="s">
        <v>1066</v>
      </c>
      <c r="C121" s="149">
        <f>'Inputs and eligible population'!I105</f>
        <v>0</v>
      </c>
      <c r="D121" s="128">
        <f>('Financial impact (cash)'!D$15*$C121*'Inputs and eligible population'!$E$53)/60</f>
        <v>0</v>
      </c>
      <c r="E121" s="128">
        <f>('Financial impact (cash)'!E$15*$C121*'Inputs and eligible population'!$E$53)/60</f>
        <v>0</v>
      </c>
      <c r="F121" s="128">
        <f>('Financial impact (cash)'!F$15*$C121*'Inputs and eligible population'!$E$53)/60</f>
        <v>0</v>
      </c>
      <c r="G121" s="128">
        <f>('Financial impact (cash)'!G$15*$C121*'Inputs and eligible population'!$E$53)/60</f>
        <v>0</v>
      </c>
      <c r="H121" s="128">
        <f>('Financial impact (cash)'!H$15*$C121*'Inputs and eligible population'!$E$53)/60</f>
        <v>0</v>
      </c>
      <c r="I121" s="128">
        <f>('Financial impact (cash)'!I$15*$C121*'Inputs and eligible population'!$E$53)/60</f>
        <v>0</v>
      </c>
      <c r="J121" s="409"/>
      <c r="K121" s="544">
        <f>'Inputs and eligible population'!$N$105</f>
        <v>42.15</v>
      </c>
      <c r="L121" s="546">
        <f t="shared" si="117"/>
        <v>0</v>
      </c>
      <c r="M121" s="546">
        <f t="shared" si="112"/>
        <v>0</v>
      </c>
      <c r="N121" s="546">
        <f t="shared" si="113"/>
        <v>0</v>
      </c>
      <c r="O121" s="546">
        <f t="shared" si="114"/>
        <v>0</v>
      </c>
      <c r="P121" s="546">
        <f t="shared" si="115"/>
        <v>0</v>
      </c>
      <c r="Q121" s="546">
        <f t="shared" si="116"/>
        <v>0</v>
      </c>
      <c r="R121" s="133"/>
      <c r="S121" s="133"/>
      <c r="T121" s="133"/>
      <c r="U121" s="133"/>
      <c r="V121" s="133"/>
      <c r="W121" s="133"/>
      <c r="X121" s="133"/>
      <c r="Y121" s="133"/>
      <c r="Z121" s="133"/>
      <c r="AJ121" s="283"/>
      <c r="AK121" s="283"/>
      <c r="AL121" s="283"/>
      <c r="AM121" s="283"/>
      <c r="AN121" s="283"/>
    </row>
    <row r="122" spans="1:40" x14ac:dyDescent="0.3">
      <c r="A122" s="836"/>
      <c r="B122" s="334" t="s">
        <v>1067</v>
      </c>
      <c r="C122" s="149">
        <f>'Inputs and eligible population'!J105</f>
        <v>0</v>
      </c>
      <c r="D122" s="128">
        <f>('Financial impact (cash)'!D$15*$C122*'Inputs and eligible population'!$E$54)/60</f>
        <v>0</v>
      </c>
      <c r="E122" s="128">
        <f>('Financial impact (cash)'!E$15*$C122*'Inputs and eligible population'!$E$54)/60</f>
        <v>0</v>
      </c>
      <c r="F122" s="128">
        <f>('Financial impact (cash)'!F$15*$C122*'Inputs and eligible population'!$E$54)/60</f>
        <v>0</v>
      </c>
      <c r="G122" s="128">
        <f>('Financial impact (cash)'!G$15*$C122*'Inputs and eligible population'!$E$54)/60</f>
        <v>0</v>
      </c>
      <c r="H122" s="128">
        <f>('Financial impact (cash)'!H$15*$C122*'Inputs and eligible population'!$E$54)/60</f>
        <v>0</v>
      </c>
      <c r="I122" s="128">
        <f>('Financial impact (cash)'!I$15*$C122*'Inputs and eligible population'!$E$54)/60</f>
        <v>0</v>
      </c>
      <c r="J122" s="409"/>
      <c r="K122" s="544">
        <f>'Inputs and eligible population'!$N$105</f>
        <v>42.15</v>
      </c>
      <c r="L122" s="546">
        <f t="shared" si="117"/>
        <v>0</v>
      </c>
      <c r="M122" s="546">
        <f t="shared" si="112"/>
        <v>0</v>
      </c>
      <c r="N122" s="546">
        <f t="shared" si="113"/>
        <v>0</v>
      </c>
      <c r="O122" s="546">
        <f t="shared" si="114"/>
        <v>0</v>
      </c>
      <c r="P122" s="546">
        <f t="shared" si="115"/>
        <v>0</v>
      </c>
      <c r="Q122" s="546">
        <f t="shared" si="116"/>
        <v>0</v>
      </c>
      <c r="R122" s="133"/>
      <c r="S122" s="133"/>
      <c r="T122" s="133"/>
      <c r="U122" s="133"/>
      <c r="V122" s="133"/>
      <c r="W122" s="133"/>
      <c r="X122" s="133"/>
      <c r="Y122" s="133"/>
      <c r="Z122" s="133"/>
      <c r="AJ122" s="283"/>
      <c r="AK122" s="283"/>
      <c r="AL122" s="283"/>
      <c r="AM122" s="283"/>
      <c r="AN122" s="283"/>
    </row>
    <row r="123" spans="1:40" x14ac:dyDescent="0.3">
      <c r="A123" s="836"/>
      <c r="B123" s="334" t="s">
        <v>1165</v>
      </c>
      <c r="C123" s="149">
        <f>'Inputs and eligible population'!$K$105</f>
        <v>0</v>
      </c>
      <c r="D123" s="128">
        <f>Summary!$C$17*'Capacity (local prices)'!$C123*'Inputs and eligible population'!$E$55</f>
        <v>0</v>
      </c>
      <c r="E123" s="128">
        <f>(Summary!$D$17*'Capacity (local prices)'!$C123*'Inputs and eligible population'!$E$55)</f>
        <v>0</v>
      </c>
      <c r="F123" s="128">
        <f>(Summary!$E$17*'Capacity (local prices)'!$C123*'Inputs and eligible population'!$E$55)</f>
        <v>0</v>
      </c>
      <c r="G123" s="128">
        <f>(Summary!$F$17*'Capacity (local prices)'!$C123*'Inputs and eligible population'!$E$55)</f>
        <v>0</v>
      </c>
      <c r="H123" s="128">
        <f>(Summary!$G$17*'Capacity (local prices)'!$C123*'Inputs and eligible population'!$E$55)</f>
        <v>0</v>
      </c>
      <c r="I123" s="128">
        <f>(Summary!$H$17*'Capacity (local prices)'!$C123*'Inputs and eligible population'!$E$55)</f>
        <v>0</v>
      </c>
      <c r="J123" s="409"/>
      <c r="K123" s="544">
        <f>'Inputs and eligible population'!$N$105</f>
        <v>42.15</v>
      </c>
      <c r="L123" s="546">
        <f t="shared" ref="L123:L124" si="119">$K123/1000*D123</f>
        <v>0</v>
      </c>
      <c r="M123" s="546">
        <f t="shared" si="112"/>
        <v>0</v>
      </c>
      <c r="N123" s="546">
        <f t="shared" si="113"/>
        <v>0</v>
      </c>
      <c r="O123" s="546">
        <f t="shared" si="114"/>
        <v>0</v>
      </c>
      <c r="P123" s="546">
        <f t="shared" si="115"/>
        <v>0</v>
      </c>
      <c r="Q123" s="546">
        <f t="shared" si="116"/>
        <v>0</v>
      </c>
      <c r="R123" s="133"/>
      <c r="S123" s="133"/>
      <c r="T123" s="133"/>
      <c r="U123" s="133"/>
      <c r="V123" s="133"/>
      <c r="W123" s="133"/>
      <c r="X123" s="133"/>
      <c r="Y123" s="133"/>
      <c r="Z123" s="133"/>
      <c r="AJ123" s="283"/>
      <c r="AK123" s="283"/>
      <c r="AL123" s="283"/>
      <c r="AM123" s="283"/>
      <c r="AN123" s="283"/>
    </row>
    <row r="124" spans="1:40" x14ac:dyDescent="0.3">
      <c r="A124" s="836"/>
      <c r="B124" s="334" t="s">
        <v>1166</v>
      </c>
      <c r="C124" s="149">
        <f>'Inputs and eligible population'!$K$105</f>
        <v>0</v>
      </c>
      <c r="D124" s="128">
        <f>Summary!$C$17*'Capacity (local prices)'!$C123*'Inputs and eligible population'!$F$55</f>
        <v>0</v>
      </c>
      <c r="E124" s="128">
        <f>Summary!$C$17*'Capacity (local prices)'!$C123*'Inputs and eligible population'!$F$55</f>
        <v>0</v>
      </c>
      <c r="F124" s="128">
        <f>(Summary!$D$17*'Capacity (local prices)'!$C123*'Inputs and eligible population'!$F$55)</f>
        <v>0</v>
      </c>
      <c r="G124" s="128">
        <f>(Summary!$E$17*'Capacity (local prices)'!$C123*'Inputs and eligible population'!$F$55)</f>
        <v>0</v>
      </c>
      <c r="H124" s="128">
        <f>(Summary!$F$17*'Capacity (local prices)'!$C123*'Inputs and eligible population'!$F$55)</f>
        <v>0</v>
      </c>
      <c r="I124" s="128">
        <f>(Summary!$G$17*'Capacity (local prices)'!$C123*'Inputs and eligible population'!$F$55)</f>
        <v>0</v>
      </c>
      <c r="J124" s="409"/>
      <c r="K124" s="544">
        <f>'Inputs and eligible population'!$N$105</f>
        <v>42.15</v>
      </c>
      <c r="L124" s="546">
        <f t="shared" si="119"/>
        <v>0</v>
      </c>
      <c r="M124" s="546">
        <f t="shared" si="112"/>
        <v>0</v>
      </c>
      <c r="N124" s="546">
        <f t="shared" si="113"/>
        <v>0</v>
      </c>
      <c r="O124" s="546">
        <f t="shared" si="114"/>
        <v>0</v>
      </c>
      <c r="P124" s="546">
        <f t="shared" si="115"/>
        <v>0</v>
      </c>
      <c r="Q124" s="546">
        <f t="shared" si="116"/>
        <v>0</v>
      </c>
      <c r="R124" s="133"/>
      <c r="S124" s="133"/>
      <c r="T124" s="133"/>
      <c r="U124" s="133"/>
      <c r="V124" s="133"/>
      <c r="W124" s="133"/>
      <c r="X124" s="133"/>
      <c r="Y124" s="133"/>
      <c r="Z124" s="133"/>
      <c r="AJ124" s="283"/>
      <c r="AK124" s="283"/>
      <c r="AL124" s="283"/>
      <c r="AM124" s="283"/>
      <c r="AN124" s="283"/>
    </row>
    <row r="125" spans="1:40" x14ac:dyDescent="0.3">
      <c r="A125" s="836"/>
      <c r="B125" s="334" t="s">
        <v>1167</v>
      </c>
      <c r="C125" s="149">
        <f>'Inputs and eligible population'!$K$105</f>
        <v>0</v>
      </c>
      <c r="D125" s="128">
        <f>Summary!$C$17*'Capacity (local prices)'!$C123*'Inputs and eligible population'!$G$55</f>
        <v>0</v>
      </c>
      <c r="E125" s="128">
        <f>Summary!$C$17*'Capacity (local prices)'!$C123*'Inputs and eligible population'!$G$55</f>
        <v>0</v>
      </c>
      <c r="F125" s="128">
        <f>Summary!$C$17*'Capacity (local prices)'!$C123*'Inputs and eligible population'!$G$55</f>
        <v>0</v>
      </c>
      <c r="G125" s="128">
        <f>(Summary!$D$17*'Capacity (local prices)'!$C123*'Inputs and eligible population'!$G$55)</f>
        <v>0</v>
      </c>
      <c r="H125" s="128">
        <f>(Summary!$E$17*'Capacity (local prices)'!$C123*'Inputs and eligible population'!$G$55)</f>
        <v>0</v>
      </c>
      <c r="I125" s="128">
        <f>(Summary!$F$17*'Capacity (local prices)'!$C123*'Inputs and eligible population'!$G$55)</f>
        <v>0</v>
      </c>
      <c r="J125" s="409"/>
      <c r="K125" s="544">
        <f>'Inputs and eligible population'!$N$105</f>
        <v>42.15</v>
      </c>
      <c r="L125" s="546">
        <f t="shared" si="117"/>
        <v>0</v>
      </c>
      <c r="M125" s="546">
        <f t="shared" si="112"/>
        <v>0</v>
      </c>
      <c r="N125" s="546">
        <f t="shared" si="113"/>
        <v>0</v>
      </c>
      <c r="O125" s="546">
        <f t="shared" si="114"/>
        <v>0</v>
      </c>
      <c r="P125" s="546">
        <f t="shared" si="115"/>
        <v>0</v>
      </c>
      <c r="Q125" s="546">
        <f t="shared" si="116"/>
        <v>0</v>
      </c>
      <c r="R125" s="133"/>
      <c r="S125" s="133"/>
      <c r="T125" s="133"/>
      <c r="U125" s="133"/>
      <c r="V125" s="133"/>
      <c r="W125" s="133"/>
      <c r="X125" s="133"/>
      <c r="Y125" s="133"/>
      <c r="Z125" s="133"/>
      <c r="AJ125" s="283"/>
      <c r="AK125" s="283"/>
      <c r="AL125" s="283"/>
      <c r="AM125" s="283"/>
      <c r="AN125" s="283"/>
    </row>
    <row r="126" spans="1:40" x14ac:dyDescent="0.3">
      <c r="A126" s="836"/>
      <c r="B126" s="832" t="s">
        <v>1069</v>
      </c>
      <c r="C126" s="149">
        <f>'Inputs and eligible population'!L105</f>
        <v>0</v>
      </c>
      <c r="D126" s="128">
        <f>(Summary!C$18*'Capacity (local prices)'!$C126*'Inputs and eligible population'!$E$56)/60</f>
        <v>0</v>
      </c>
      <c r="E126" s="128">
        <f>(Summary!D$18*'Capacity (local prices)'!$C126*'Inputs and eligible population'!$E$56)/60</f>
        <v>0</v>
      </c>
      <c r="F126" s="128">
        <f>(Summary!E$18*'Capacity (local prices)'!$C126*'Inputs and eligible population'!$E$56)/60</f>
        <v>0</v>
      </c>
      <c r="G126" s="128">
        <f>(Summary!F$18*'Capacity (local prices)'!$C126*'Inputs and eligible population'!$E$56)/60</f>
        <v>0</v>
      </c>
      <c r="H126" s="128">
        <f>(Summary!G$18*'Capacity (local prices)'!$C126*'Inputs and eligible population'!$E$56)/60</f>
        <v>0</v>
      </c>
      <c r="I126" s="128">
        <f>(Summary!H$18*'Capacity (local prices)'!$C126*'Inputs and eligible population'!$E$56)/60</f>
        <v>0</v>
      </c>
      <c r="J126" s="409"/>
      <c r="K126" s="544">
        <f>'Inputs and eligible population'!$N$105</f>
        <v>42.15</v>
      </c>
      <c r="L126" s="546">
        <f t="shared" si="117"/>
        <v>0</v>
      </c>
      <c r="M126" s="546">
        <f t="shared" si="112"/>
        <v>0</v>
      </c>
      <c r="N126" s="546">
        <f t="shared" si="113"/>
        <v>0</v>
      </c>
      <c r="O126" s="546">
        <f t="shared" si="114"/>
        <v>0</v>
      </c>
      <c r="P126" s="546">
        <f t="shared" si="115"/>
        <v>0</v>
      </c>
      <c r="Q126" s="546">
        <f t="shared" si="116"/>
        <v>0</v>
      </c>
      <c r="R126" s="133"/>
      <c r="S126" s="133"/>
      <c r="T126" s="133"/>
      <c r="U126" s="133"/>
      <c r="V126" s="133"/>
      <c r="W126" s="133"/>
      <c r="X126" s="133"/>
      <c r="Y126" s="133"/>
      <c r="Z126" s="133"/>
      <c r="AJ126" s="283"/>
      <c r="AK126" s="283"/>
      <c r="AL126" s="283"/>
      <c r="AM126" s="283"/>
      <c r="AN126" s="283"/>
    </row>
    <row r="127" spans="1:40" x14ac:dyDescent="0.3">
      <c r="A127" s="836"/>
      <c r="B127" s="504"/>
      <c r="C127" s="280"/>
      <c r="D127" s="186">
        <f>SUM(D116:D126)</f>
        <v>0</v>
      </c>
      <c r="E127" s="186">
        <f t="shared" ref="E127" si="120">SUM(E116:E126)</f>
        <v>0</v>
      </c>
      <c r="F127" s="186">
        <f t="shared" ref="F127" si="121">SUM(F116:F126)</f>
        <v>0</v>
      </c>
      <c r="G127" s="186">
        <f t="shared" ref="G127" si="122">SUM(G116:G126)</f>
        <v>0</v>
      </c>
      <c r="H127" s="186">
        <f t="shared" ref="H127" si="123">SUM(H116:H126)</f>
        <v>0</v>
      </c>
      <c r="I127" s="186">
        <f t="shared" ref="I127" si="124">SUM(I116:I126)</f>
        <v>0</v>
      </c>
      <c r="J127" s="409"/>
      <c r="K127" s="215"/>
      <c r="L127" s="289">
        <f>SUM(L116:L126)</f>
        <v>0</v>
      </c>
      <c r="M127" s="290">
        <f t="shared" ref="M127" si="125">SUM(M116:M126)</f>
        <v>0</v>
      </c>
      <c r="N127" s="290">
        <f t="shared" ref="N127" si="126">SUM(N116:N126)</f>
        <v>0</v>
      </c>
      <c r="O127" s="290">
        <f t="shared" ref="O127" si="127">SUM(O116:O126)</f>
        <v>0</v>
      </c>
      <c r="P127" s="290">
        <f t="shared" ref="P127" si="128">SUM(P116:P126)</f>
        <v>0</v>
      </c>
      <c r="Q127" s="290">
        <f t="shared" ref="Q127" si="129">SUM(Q116:Q126)</f>
        <v>0</v>
      </c>
      <c r="R127" s="133"/>
      <c r="S127" s="133"/>
      <c r="T127" s="133"/>
      <c r="U127" s="133"/>
      <c r="V127" s="133"/>
      <c r="W127" s="133"/>
      <c r="X127" s="133"/>
      <c r="Y127" s="133"/>
      <c r="Z127" s="133"/>
      <c r="AJ127" s="283"/>
      <c r="AK127" s="283"/>
      <c r="AL127" s="283"/>
      <c r="AM127" s="283"/>
      <c r="AN127" s="283"/>
    </row>
    <row r="128" spans="1:40" x14ac:dyDescent="0.3">
      <c r="A128" s="836"/>
      <c r="B128" s="255"/>
      <c r="C128" s="255"/>
      <c r="D128" s="282" t="s">
        <v>844</v>
      </c>
      <c r="E128" s="186">
        <f>E127-$D$127</f>
        <v>0</v>
      </c>
      <c r="F128" s="186">
        <f t="shared" ref="F128:I128" si="130">F127-$D$127</f>
        <v>0</v>
      </c>
      <c r="G128" s="186">
        <f t="shared" si="130"/>
        <v>0</v>
      </c>
      <c r="H128" s="186">
        <f t="shared" si="130"/>
        <v>0</v>
      </c>
      <c r="I128" s="186">
        <f t="shared" si="130"/>
        <v>0</v>
      </c>
      <c r="J128" s="409"/>
      <c r="K128" s="215"/>
      <c r="L128" s="215"/>
      <c r="M128" s="290">
        <f>M127-$L127</f>
        <v>0</v>
      </c>
      <c r="N128" s="290">
        <f t="shared" ref="N128:Q128" si="131">N127-$L127</f>
        <v>0</v>
      </c>
      <c r="O128" s="290">
        <f t="shared" si="131"/>
        <v>0</v>
      </c>
      <c r="P128" s="290">
        <f t="shared" si="131"/>
        <v>0</v>
      </c>
      <c r="Q128" s="290">
        <f t="shared" si="131"/>
        <v>0</v>
      </c>
      <c r="R128" s="133"/>
      <c r="S128" s="133"/>
      <c r="T128" s="133"/>
      <c r="U128" s="133"/>
      <c r="V128" s="133"/>
      <c r="W128" s="133"/>
      <c r="X128" s="133"/>
      <c r="Y128" s="133"/>
      <c r="Z128" s="133"/>
      <c r="AJ128" s="283"/>
      <c r="AK128" s="283"/>
      <c r="AL128" s="283"/>
      <c r="AM128" s="283"/>
      <c r="AN128" s="283"/>
    </row>
    <row r="129" spans="1:40" ht="30.6" customHeight="1" x14ac:dyDescent="0.3">
      <c r="A129" s="284"/>
      <c r="B129" s="837"/>
      <c r="C129" s="838"/>
      <c r="D129" s="839"/>
      <c r="E129" s="840"/>
      <c r="F129" s="284"/>
      <c r="G129" s="284"/>
      <c r="H129" s="284"/>
      <c r="I129" s="295"/>
      <c r="J129" s="215"/>
      <c r="K129" s="215"/>
      <c r="L129" s="215"/>
      <c r="M129" s="215"/>
      <c r="N129" s="215"/>
      <c r="O129" s="215"/>
      <c r="P129" s="215"/>
      <c r="Q129" s="215"/>
      <c r="R129" s="133"/>
      <c r="S129" s="133"/>
      <c r="T129" s="133"/>
      <c r="U129" s="133"/>
      <c r="V129" s="133"/>
      <c r="W129" s="133"/>
      <c r="X129" s="133"/>
      <c r="Y129" s="133"/>
      <c r="Z129" s="133"/>
      <c r="AJ129" s="283"/>
      <c r="AK129" s="283"/>
      <c r="AL129" s="283"/>
      <c r="AM129" s="283"/>
      <c r="AN129" s="283"/>
    </row>
    <row r="130" spans="1:40" x14ac:dyDescent="0.3">
      <c r="A130" s="696"/>
      <c r="B130" s="702" t="s">
        <v>845</v>
      </c>
      <c r="C130" s="697"/>
      <c r="D130" s="698"/>
      <c r="E130" s="697"/>
      <c r="F130" s="699"/>
      <c r="G130" s="700"/>
      <c r="H130" s="700"/>
      <c r="I130" s="701"/>
      <c r="J130" s="696"/>
      <c r="K130" s="696"/>
      <c r="L130" s="696"/>
      <c r="M130" s="696"/>
      <c r="N130" s="696"/>
      <c r="O130" s="696"/>
      <c r="P130" s="696"/>
      <c r="Q130" s="696"/>
      <c r="R130" s="133"/>
      <c r="S130" s="133"/>
      <c r="T130" s="133"/>
      <c r="U130" s="133"/>
      <c r="V130" s="133"/>
      <c r="W130" s="133"/>
      <c r="X130" s="133"/>
      <c r="Y130" s="133"/>
      <c r="Z130" s="133"/>
      <c r="AJ130" s="283"/>
      <c r="AK130" s="283"/>
      <c r="AL130" s="283"/>
      <c r="AM130" s="283"/>
      <c r="AN130" s="283"/>
    </row>
    <row r="131" spans="1:40" x14ac:dyDescent="0.3">
      <c r="A131" s="286"/>
      <c r="B131" s="375" t="s">
        <v>910</v>
      </c>
      <c r="C131" s="376"/>
      <c r="D131" s="376"/>
      <c r="E131" s="376"/>
      <c r="F131" s="376"/>
      <c r="G131" s="376"/>
      <c r="H131" s="376"/>
      <c r="I131" s="218"/>
      <c r="J131" s="286"/>
      <c r="K131" s="286"/>
      <c r="L131" s="286"/>
      <c r="M131" s="286"/>
      <c r="N131" s="286"/>
      <c r="O131" s="286"/>
      <c r="P131" s="286"/>
      <c r="Q131" s="286"/>
      <c r="V131" s="133"/>
    </row>
    <row r="132" spans="1:40" ht="43.2" x14ac:dyDescent="0.3">
      <c r="A132" s="286"/>
      <c r="B132" s="276" t="s">
        <v>766</v>
      </c>
      <c r="C132" s="166" t="s">
        <v>911</v>
      </c>
      <c r="D132" s="402" t="s">
        <v>831</v>
      </c>
      <c r="E132" s="254" t="s">
        <v>676</v>
      </c>
      <c r="F132" s="254" t="s">
        <v>677</v>
      </c>
      <c r="G132" s="165" t="s">
        <v>803</v>
      </c>
      <c r="H132" s="165" t="s">
        <v>804</v>
      </c>
      <c r="I132" s="254" t="s">
        <v>805</v>
      </c>
      <c r="J132" s="286"/>
      <c r="K132" s="531" t="s">
        <v>840</v>
      </c>
      <c r="L132" s="402" t="s">
        <v>831</v>
      </c>
      <c r="M132" s="254" t="s">
        <v>676</v>
      </c>
      <c r="N132" s="254" t="s">
        <v>677</v>
      </c>
      <c r="O132" s="165" t="s">
        <v>803</v>
      </c>
      <c r="P132" s="165" t="s">
        <v>804</v>
      </c>
      <c r="Q132" s="254" t="s">
        <v>805</v>
      </c>
      <c r="V132" s="133"/>
    </row>
    <row r="133" spans="1:40" x14ac:dyDescent="0.3">
      <c r="A133" s="841"/>
      <c r="B133" s="334" t="s">
        <v>1065</v>
      </c>
      <c r="C133" s="149">
        <f>'Inputs and eligible population'!F106</f>
        <v>75</v>
      </c>
      <c r="D133" s="128">
        <f>(Summary!$C$16*'Capacity (local prices)'!$C133*'Inputs and eligible population'!$E$50)/60</f>
        <v>0</v>
      </c>
      <c r="E133" s="128">
        <f>(Summary!$D$16*'Capacity (local prices)'!$C133*'Inputs and eligible population'!$E$50)/60</f>
        <v>0</v>
      </c>
      <c r="F133" s="128">
        <f>(Summary!E$16*'Capacity (local prices)'!$C133*'Inputs and eligible population'!$E$50)/60</f>
        <v>0</v>
      </c>
      <c r="G133" s="128">
        <f>(Summary!F$16*'Capacity (local prices)'!$C133*'Inputs and eligible population'!$E$50)/60</f>
        <v>0</v>
      </c>
      <c r="H133" s="128">
        <f>(Summary!G$16*'Capacity (local prices)'!$C133*'Inputs and eligible population'!$E$50)/60</f>
        <v>0</v>
      </c>
      <c r="I133" s="128">
        <f>(Summary!H$16*'Capacity (local prices)'!$C133*'Inputs and eligible population'!$E$50)/60</f>
        <v>0</v>
      </c>
      <c r="J133" s="842"/>
      <c r="K133" s="544">
        <f>'Inputs and eligible population'!$N$106</f>
        <v>49.16</v>
      </c>
      <c r="L133" s="546">
        <f>$K133/1000*D133</f>
        <v>0</v>
      </c>
      <c r="M133" s="546">
        <f t="shared" ref="M133:M143" si="132">$K133/1000*E133</f>
        <v>0</v>
      </c>
      <c r="N133" s="546">
        <f t="shared" ref="N133:N143" si="133">$K133/1000*F133</f>
        <v>0</v>
      </c>
      <c r="O133" s="546">
        <f t="shared" ref="O133:O143" si="134">$K133/1000*G133</f>
        <v>0</v>
      </c>
      <c r="P133" s="546">
        <f t="shared" ref="P133:P143" si="135">$K133/1000*H133</f>
        <v>0</v>
      </c>
      <c r="Q133" s="546">
        <f t="shared" ref="Q133:Q143" si="136">$K133/1000*I133</f>
        <v>0</v>
      </c>
      <c r="R133" s="133"/>
      <c r="S133" s="133"/>
      <c r="T133" s="133"/>
      <c r="U133" s="133"/>
      <c r="V133" s="133"/>
      <c r="W133" s="133"/>
      <c r="X133" s="133"/>
      <c r="Y133" s="133"/>
      <c r="Z133" s="133"/>
      <c r="AJ133" s="283"/>
      <c r="AK133" s="283"/>
      <c r="AL133" s="283"/>
      <c r="AM133" s="283"/>
      <c r="AN133" s="283"/>
    </row>
    <row r="134" spans="1:40" x14ac:dyDescent="0.3">
      <c r="A134" s="841"/>
      <c r="B134" s="334" t="s">
        <v>1064</v>
      </c>
      <c r="C134" s="149">
        <f>'Inputs and eligible population'!G106</f>
        <v>2</v>
      </c>
      <c r="D134" s="128">
        <f>(Summary!C$16*'Capacity (local prices)'!$C134*'Inputs and eligible population'!$E$51)/60</f>
        <v>0</v>
      </c>
      <c r="E134" s="128">
        <f>(Summary!D$16*'Capacity (local prices)'!$C134*'Inputs and eligible population'!$E$51)/60</f>
        <v>0</v>
      </c>
      <c r="F134" s="128">
        <f>(Summary!E$16*'Capacity (local prices)'!$C134*'Inputs and eligible population'!$E$51)/60</f>
        <v>0</v>
      </c>
      <c r="G134" s="128">
        <f>(Summary!F$16*'Capacity (local prices)'!$C134*'Inputs and eligible population'!$E$51)/60</f>
        <v>0</v>
      </c>
      <c r="H134" s="128">
        <f>(Summary!G$16*'Capacity (local prices)'!$C134*'Inputs and eligible population'!$E$51)/60</f>
        <v>0</v>
      </c>
      <c r="I134" s="128">
        <f>(Summary!H$16*'Capacity (local prices)'!$C134*'Inputs and eligible population'!$E$51)/60</f>
        <v>0</v>
      </c>
      <c r="J134" s="842"/>
      <c r="K134" s="544">
        <f>'Inputs and eligible population'!$N$106</f>
        <v>49.16</v>
      </c>
      <c r="L134" s="546">
        <f t="shared" ref="L134:L143" si="137">$K134/1000*D134</f>
        <v>0</v>
      </c>
      <c r="M134" s="546">
        <f t="shared" si="132"/>
        <v>0</v>
      </c>
      <c r="N134" s="546">
        <f t="shared" si="133"/>
        <v>0</v>
      </c>
      <c r="O134" s="546">
        <f t="shared" si="134"/>
        <v>0</v>
      </c>
      <c r="P134" s="546">
        <f t="shared" si="135"/>
        <v>0</v>
      </c>
      <c r="Q134" s="546">
        <f t="shared" si="136"/>
        <v>0</v>
      </c>
      <c r="R134" s="133"/>
      <c r="S134" s="133"/>
      <c r="T134" s="133"/>
      <c r="U134" s="133"/>
      <c r="V134" s="133"/>
      <c r="W134" s="133"/>
      <c r="X134" s="133"/>
      <c r="Y134" s="133"/>
      <c r="Z134" s="133"/>
      <c r="AJ134" s="283"/>
      <c r="AK134" s="283"/>
      <c r="AL134" s="283"/>
      <c r="AM134" s="283"/>
      <c r="AN134" s="283"/>
    </row>
    <row r="135" spans="1:40" x14ac:dyDescent="0.3">
      <c r="A135" s="841"/>
      <c r="B135" s="334" t="s">
        <v>1162</v>
      </c>
      <c r="C135" s="149">
        <f>'Inputs and eligible population'!$H$106</f>
        <v>2</v>
      </c>
      <c r="D135" s="128">
        <f>'Inputs and eligible population'!$E$52*'Inputs and eligible population'!$L$84*'Capacity (local prices)'!$C$33</f>
        <v>0</v>
      </c>
      <c r="E135" s="128">
        <f>'Inputs and eligible population'!$E$52*'Inputs and eligible population'!$M$84*'Capacity (local prices)'!$C135</f>
        <v>0</v>
      </c>
      <c r="F135" s="128">
        <f>'Inputs and eligible population'!$E$52*'Inputs and eligible population'!$N$84*'Capacity (local prices)'!$C135</f>
        <v>0</v>
      </c>
      <c r="G135" s="128">
        <f>'Inputs and eligible population'!$E$52*'Inputs and eligible population'!$O$84*'Capacity (local prices)'!$C135</f>
        <v>0</v>
      </c>
      <c r="H135" s="128">
        <f>'Inputs and eligible population'!$E$52*'Inputs and eligible population'!$P$84*'Capacity (local prices)'!$C135</f>
        <v>0</v>
      </c>
      <c r="I135" s="128">
        <f>'Inputs and eligible population'!$E$52*'Inputs and eligible population'!$Q$84*'Capacity (local prices)'!$C135</f>
        <v>0</v>
      </c>
      <c r="J135" s="842"/>
      <c r="K135" s="544">
        <f>'Inputs and eligible population'!$N$106</f>
        <v>49.16</v>
      </c>
      <c r="L135" s="546">
        <f t="shared" si="137"/>
        <v>0</v>
      </c>
      <c r="M135" s="546">
        <f t="shared" si="132"/>
        <v>0</v>
      </c>
      <c r="N135" s="546">
        <f t="shared" si="133"/>
        <v>0</v>
      </c>
      <c r="O135" s="546">
        <f t="shared" si="134"/>
        <v>0</v>
      </c>
      <c r="P135" s="546">
        <f t="shared" si="135"/>
        <v>0</v>
      </c>
      <c r="Q135" s="546">
        <f t="shared" si="136"/>
        <v>0</v>
      </c>
      <c r="R135" s="133"/>
      <c r="S135" s="133"/>
      <c r="T135" s="133"/>
      <c r="U135" s="133"/>
      <c r="V135" s="133"/>
      <c r="W135" s="133"/>
      <c r="X135" s="133"/>
      <c r="Y135" s="133"/>
      <c r="Z135" s="133"/>
      <c r="AJ135" s="283"/>
      <c r="AK135" s="283"/>
      <c r="AL135" s="283"/>
      <c r="AM135" s="283"/>
      <c r="AN135" s="283"/>
    </row>
    <row r="136" spans="1:40" x14ac:dyDescent="0.3">
      <c r="A136" s="841"/>
      <c r="B136" s="334" t="s">
        <v>1163</v>
      </c>
      <c r="C136" s="149">
        <f>'Inputs and eligible population'!$H$106</f>
        <v>2</v>
      </c>
      <c r="D136" s="128">
        <f>'Inputs and eligible population'!$F$52*'Inputs and eligible population'!$L$84*'Capacity (local prices)'!$C136</f>
        <v>0</v>
      </c>
      <c r="E136" s="128">
        <f>'Inputs and eligible population'!$F$52*'Inputs and eligible population'!$L$84*'Capacity (local prices)'!$C136</f>
        <v>0</v>
      </c>
      <c r="F136" s="128">
        <f>'Inputs and eligible population'!$F$52*'Inputs and eligible population'!$M$84*'Capacity (local prices)'!$C136</f>
        <v>0</v>
      </c>
      <c r="G136" s="128">
        <f>'Inputs and eligible population'!$F$52*'Inputs and eligible population'!$N$84*'Capacity (local prices)'!$C136</f>
        <v>0</v>
      </c>
      <c r="H136" s="128">
        <f>'Inputs and eligible population'!$F$52*'Inputs and eligible population'!$O$84*'Capacity (local prices)'!$C136</f>
        <v>0</v>
      </c>
      <c r="I136" s="128">
        <f>'Inputs and eligible population'!$F$52*'Inputs and eligible population'!$P$84*'Capacity (local prices)'!$C136</f>
        <v>0</v>
      </c>
      <c r="J136" s="842"/>
      <c r="K136" s="544">
        <f>'Inputs and eligible population'!$N$106</f>
        <v>49.16</v>
      </c>
      <c r="L136" s="546">
        <f t="shared" si="137"/>
        <v>0</v>
      </c>
      <c r="M136" s="546">
        <f t="shared" si="132"/>
        <v>0</v>
      </c>
      <c r="N136" s="546">
        <f t="shared" si="133"/>
        <v>0</v>
      </c>
      <c r="O136" s="546">
        <f t="shared" si="134"/>
        <v>0</v>
      </c>
      <c r="P136" s="546">
        <f t="shared" si="135"/>
        <v>0</v>
      </c>
      <c r="Q136" s="546">
        <f t="shared" si="136"/>
        <v>0</v>
      </c>
      <c r="R136" s="133"/>
      <c r="S136" s="133"/>
      <c r="T136" s="133"/>
      <c r="U136" s="133"/>
      <c r="V136" s="133"/>
      <c r="W136" s="133"/>
      <c r="X136" s="133"/>
      <c r="Y136" s="133"/>
      <c r="Z136" s="133"/>
      <c r="AJ136" s="283"/>
      <c r="AK136" s="283"/>
      <c r="AL136" s="283"/>
      <c r="AM136" s="283"/>
      <c r="AN136" s="283"/>
    </row>
    <row r="137" spans="1:40" x14ac:dyDescent="0.3">
      <c r="A137" s="841"/>
      <c r="B137" s="334" t="s">
        <v>1164</v>
      </c>
      <c r="C137" s="149">
        <f>'Inputs and eligible population'!$H$106</f>
        <v>2</v>
      </c>
      <c r="D137" s="128">
        <f>'Inputs and eligible population'!$G$52*'Inputs and eligible population'!$L$84*'Capacity (local prices)'!$C137</f>
        <v>0</v>
      </c>
      <c r="E137" s="128">
        <f>'Inputs and eligible population'!$G$52*'Inputs and eligible population'!$L$84*'Capacity (local prices)'!$C137</f>
        <v>0</v>
      </c>
      <c r="F137" s="128">
        <f>'Inputs and eligible population'!$G$52*'Inputs and eligible population'!$L$84*'Capacity (local prices)'!$C137</f>
        <v>0</v>
      </c>
      <c r="G137" s="128">
        <f>'Inputs and eligible population'!$G$52*'Inputs and eligible population'!$M$84*'Capacity (local prices)'!$C137</f>
        <v>0</v>
      </c>
      <c r="H137" s="128">
        <f>'Inputs and eligible population'!$G$52*'Inputs and eligible population'!$N$84*'Capacity (local prices)'!$C137</f>
        <v>0</v>
      </c>
      <c r="I137" s="128">
        <f>'Inputs and eligible population'!$G$52*'Inputs and eligible population'!$O$84*'Capacity (local prices)'!$C137</f>
        <v>0</v>
      </c>
      <c r="J137" s="842"/>
      <c r="K137" s="544">
        <f>'Inputs and eligible population'!$N$106</f>
        <v>49.16</v>
      </c>
      <c r="L137" s="546">
        <f t="shared" si="137"/>
        <v>0</v>
      </c>
      <c r="M137" s="546">
        <f t="shared" si="132"/>
        <v>0</v>
      </c>
      <c r="N137" s="546">
        <f t="shared" si="133"/>
        <v>0</v>
      </c>
      <c r="O137" s="546">
        <f t="shared" si="134"/>
        <v>0</v>
      </c>
      <c r="P137" s="546">
        <f t="shared" si="135"/>
        <v>0</v>
      </c>
      <c r="Q137" s="546">
        <f t="shared" si="136"/>
        <v>0</v>
      </c>
      <c r="R137" s="133"/>
      <c r="S137" s="133"/>
      <c r="T137" s="133"/>
      <c r="U137" s="133"/>
      <c r="V137" s="133"/>
      <c r="W137" s="133"/>
      <c r="X137" s="133"/>
      <c r="Y137" s="133"/>
      <c r="Z137" s="133"/>
      <c r="AJ137" s="283"/>
      <c r="AK137" s="283"/>
      <c r="AL137" s="283"/>
      <c r="AM137" s="283"/>
      <c r="AN137" s="283"/>
    </row>
    <row r="138" spans="1:40" x14ac:dyDescent="0.3">
      <c r="A138" s="841"/>
      <c r="B138" s="334" t="s">
        <v>1066</v>
      </c>
      <c r="C138" s="149">
        <f>'Inputs and eligible population'!I106</f>
        <v>75</v>
      </c>
      <c r="D138" s="128">
        <f>('Financial impact (cash)'!D$15*$C138*'Inputs and eligible population'!$E$53)/60</f>
        <v>0</v>
      </c>
      <c r="E138" s="128">
        <f>('Financial impact (cash)'!E$15*$C138*'Inputs and eligible population'!$E$53)/60</f>
        <v>0</v>
      </c>
      <c r="F138" s="128">
        <f>('Financial impact (cash)'!F$15*$C138*'Inputs and eligible population'!$E$53)/60</f>
        <v>0</v>
      </c>
      <c r="G138" s="128">
        <f>('Financial impact (cash)'!G$15*$C138*'Inputs and eligible population'!$E$53)/60</f>
        <v>0</v>
      </c>
      <c r="H138" s="128">
        <f>('Financial impact (cash)'!H$15*$C138*'Inputs and eligible population'!$E$53)/60</f>
        <v>0</v>
      </c>
      <c r="I138" s="128">
        <f>('Financial impact (cash)'!I$15*$C138*'Inputs and eligible population'!$E$53)/60</f>
        <v>0</v>
      </c>
      <c r="J138" s="842"/>
      <c r="K138" s="544">
        <f>'Inputs and eligible population'!$N$106</f>
        <v>49.16</v>
      </c>
      <c r="L138" s="546">
        <f t="shared" si="137"/>
        <v>0</v>
      </c>
      <c r="M138" s="546">
        <f t="shared" si="132"/>
        <v>0</v>
      </c>
      <c r="N138" s="546">
        <f t="shared" si="133"/>
        <v>0</v>
      </c>
      <c r="O138" s="546">
        <f t="shared" si="134"/>
        <v>0</v>
      </c>
      <c r="P138" s="546">
        <f t="shared" si="135"/>
        <v>0</v>
      </c>
      <c r="Q138" s="546">
        <f t="shared" si="136"/>
        <v>0</v>
      </c>
      <c r="R138" s="133"/>
      <c r="S138" s="133"/>
      <c r="T138" s="133"/>
      <c r="U138" s="133"/>
      <c r="V138" s="133"/>
      <c r="W138" s="133"/>
      <c r="X138" s="133"/>
      <c r="Y138" s="133"/>
      <c r="Z138" s="133"/>
      <c r="AJ138" s="283"/>
      <c r="AK138" s="283"/>
      <c r="AL138" s="283"/>
      <c r="AM138" s="283"/>
      <c r="AN138" s="283"/>
    </row>
    <row r="139" spans="1:40" x14ac:dyDescent="0.3">
      <c r="A139" s="841"/>
      <c r="B139" s="334" t="s">
        <v>1067</v>
      </c>
      <c r="C139" s="149">
        <f>'Inputs and eligible population'!J106</f>
        <v>2</v>
      </c>
      <c r="D139" s="128">
        <f>('Financial impact (cash)'!D$15*$C139*'Inputs and eligible population'!$E$54)/60</f>
        <v>0</v>
      </c>
      <c r="E139" s="128">
        <f>('Financial impact (cash)'!E$15*$C139*'Inputs and eligible population'!$E$54)/60</f>
        <v>0</v>
      </c>
      <c r="F139" s="128">
        <f>('Financial impact (cash)'!F$15*$C139*'Inputs and eligible population'!$E$54)/60</f>
        <v>0</v>
      </c>
      <c r="G139" s="128">
        <f>('Financial impact (cash)'!G$15*$C139*'Inputs and eligible population'!$E$54)/60</f>
        <v>0</v>
      </c>
      <c r="H139" s="128">
        <f>('Financial impact (cash)'!H$15*$C139*'Inputs and eligible population'!$E$54)/60</f>
        <v>0</v>
      </c>
      <c r="I139" s="128">
        <f>('Financial impact (cash)'!I$15*$C139*'Inputs and eligible population'!$E$54)/60</f>
        <v>0</v>
      </c>
      <c r="J139" s="842"/>
      <c r="K139" s="544">
        <f>'Inputs and eligible population'!$N$106</f>
        <v>49.16</v>
      </c>
      <c r="L139" s="546">
        <f t="shared" si="137"/>
        <v>0</v>
      </c>
      <c r="M139" s="546">
        <f t="shared" si="132"/>
        <v>0</v>
      </c>
      <c r="N139" s="546">
        <f t="shared" si="133"/>
        <v>0</v>
      </c>
      <c r="O139" s="546">
        <f t="shared" si="134"/>
        <v>0</v>
      </c>
      <c r="P139" s="546">
        <f t="shared" si="135"/>
        <v>0</v>
      </c>
      <c r="Q139" s="546">
        <f t="shared" si="136"/>
        <v>0</v>
      </c>
      <c r="R139" s="133"/>
      <c r="S139" s="133"/>
      <c r="T139" s="133"/>
      <c r="U139" s="133"/>
      <c r="V139" s="133"/>
      <c r="W139" s="133"/>
      <c r="X139" s="133"/>
      <c r="Y139" s="133"/>
      <c r="Z139" s="133"/>
      <c r="AJ139" s="283"/>
      <c r="AK139" s="283"/>
      <c r="AL139" s="283"/>
      <c r="AM139" s="283"/>
      <c r="AN139" s="283"/>
    </row>
    <row r="140" spans="1:40" x14ac:dyDescent="0.3">
      <c r="A140" s="841"/>
      <c r="B140" s="334" t="s">
        <v>1165</v>
      </c>
      <c r="C140" s="149">
        <f>'Inputs and eligible population'!$K$106</f>
        <v>2</v>
      </c>
      <c r="D140" s="128">
        <f>Summary!$C$17*'Capacity (local prices)'!$C140*'Inputs and eligible population'!$E$55</f>
        <v>0</v>
      </c>
      <c r="E140" s="128">
        <f>(Summary!$D$17*'Capacity (local prices)'!$C140*'Inputs and eligible population'!$E$55)</f>
        <v>0</v>
      </c>
      <c r="F140" s="128">
        <f>(Summary!$E$17*'Capacity (local prices)'!$C140*'Inputs and eligible population'!$E$55)</f>
        <v>0</v>
      </c>
      <c r="G140" s="128">
        <f>(Summary!$F$17*'Capacity (local prices)'!$C140*'Inputs and eligible population'!$E$55)</f>
        <v>0</v>
      </c>
      <c r="H140" s="128">
        <f>(Summary!$G$17*'Capacity (local prices)'!$C140*'Inputs and eligible population'!$E$55)</f>
        <v>0</v>
      </c>
      <c r="I140" s="128">
        <f>(Summary!$H$17*'Capacity (local prices)'!$C140*'Inputs and eligible population'!$E$55)</f>
        <v>0</v>
      </c>
      <c r="J140" s="842"/>
      <c r="K140" s="544">
        <f>'Inputs and eligible population'!$N$106</f>
        <v>49.16</v>
      </c>
      <c r="L140" s="546">
        <f t="shared" si="137"/>
        <v>0</v>
      </c>
      <c r="M140" s="546">
        <f t="shared" si="132"/>
        <v>0</v>
      </c>
      <c r="N140" s="546">
        <f t="shared" si="133"/>
        <v>0</v>
      </c>
      <c r="O140" s="546">
        <f t="shared" si="134"/>
        <v>0</v>
      </c>
      <c r="P140" s="546">
        <f t="shared" si="135"/>
        <v>0</v>
      </c>
      <c r="Q140" s="546">
        <f t="shared" si="136"/>
        <v>0</v>
      </c>
      <c r="R140" s="133"/>
      <c r="S140" s="133"/>
      <c r="T140" s="133"/>
      <c r="U140" s="133"/>
      <c r="V140" s="133"/>
      <c r="W140" s="133"/>
      <c r="X140" s="133"/>
      <c r="Y140" s="133"/>
      <c r="Z140" s="133"/>
      <c r="AJ140" s="283"/>
      <c r="AK140" s="283"/>
      <c r="AL140" s="283"/>
      <c r="AM140" s="283"/>
      <c r="AN140" s="283"/>
    </row>
    <row r="141" spans="1:40" x14ac:dyDescent="0.3">
      <c r="A141" s="841"/>
      <c r="B141" s="334" t="s">
        <v>1166</v>
      </c>
      <c r="C141" s="149">
        <f>'Inputs and eligible population'!$K$106</f>
        <v>2</v>
      </c>
      <c r="D141" s="128">
        <f>Summary!$C$17*'Capacity (local prices)'!$C140*'Inputs and eligible population'!$F$55</f>
        <v>0</v>
      </c>
      <c r="E141" s="128">
        <f>Summary!$C$17*'Capacity (local prices)'!$C140*'Inputs and eligible population'!$F$55</f>
        <v>0</v>
      </c>
      <c r="F141" s="128">
        <f>(Summary!$D$17*'Capacity (local prices)'!$C140*'Inputs and eligible population'!$F$55)</f>
        <v>0</v>
      </c>
      <c r="G141" s="128">
        <f>(Summary!$E$17*'Capacity (local prices)'!$C140*'Inputs and eligible population'!$F$55)</f>
        <v>0</v>
      </c>
      <c r="H141" s="128">
        <f>(Summary!$F$17*'Capacity (local prices)'!$C140*'Inputs and eligible population'!$F$55)</f>
        <v>0</v>
      </c>
      <c r="I141" s="128">
        <f>(Summary!$G$17*'Capacity (local prices)'!$C140*'Inputs and eligible population'!$F$55)</f>
        <v>0</v>
      </c>
      <c r="J141" s="842"/>
      <c r="K141" s="544">
        <f>'Inputs and eligible population'!$N$106</f>
        <v>49.16</v>
      </c>
      <c r="L141" s="546">
        <f t="shared" si="137"/>
        <v>0</v>
      </c>
      <c r="M141" s="546">
        <f t="shared" si="132"/>
        <v>0</v>
      </c>
      <c r="N141" s="546">
        <f t="shared" si="133"/>
        <v>0</v>
      </c>
      <c r="O141" s="546">
        <f t="shared" si="134"/>
        <v>0</v>
      </c>
      <c r="P141" s="546">
        <f t="shared" si="135"/>
        <v>0</v>
      </c>
      <c r="Q141" s="546">
        <f t="shared" si="136"/>
        <v>0</v>
      </c>
      <c r="R141" s="133"/>
      <c r="S141" s="133"/>
      <c r="T141" s="133"/>
      <c r="U141" s="133"/>
      <c r="V141" s="133"/>
      <c r="W141" s="133"/>
      <c r="X141" s="133"/>
      <c r="Y141" s="133"/>
      <c r="Z141" s="133"/>
      <c r="AJ141" s="283"/>
      <c r="AK141" s="283"/>
      <c r="AL141" s="283"/>
      <c r="AM141" s="283"/>
      <c r="AN141" s="283"/>
    </row>
    <row r="142" spans="1:40" x14ac:dyDescent="0.3">
      <c r="A142" s="841"/>
      <c r="B142" s="334" t="s">
        <v>1167</v>
      </c>
      <c r="C142" s="149">
        <f>'Inputs and eligible population'!$K$106</f>
        <v>2</v>
      </c>
      <c r="D142" s="128">
        <f>Summary!$C$17*'Capacity (local prices)'!$C140*'Inputs and eligible population'!$G$55</f>
        <v>0</v>
      </c>
      <c r="E142" s="128">
        <f>Summary!$C$17*'Capacity (local prices)'!$C140*'Inputs and eligible population'!$G$55</f>
        <v>0</v>
      </c>
      <c r="F142" s="128">
        <f>Summary!$C$17*'Capacity (local prices)'!$C140*'Inputs and eligible population'!$G$55</f>
        <v>0</v>
      </c>
      <c r="G142" s="128">
        <f>(Summary!$D$17*'Capacity (local prices)'!$C140*'Inputs and eligible population'!$G$55)</f>
        <v>0</v>
      </c>
      <c r="H142" s="128">
        <f>(Summary!$E$17*'Capacity (local prices)'!$C140*'Inputs and eligible population'!$G$55)</f>
        <v>0</v>
      </c>
      <c r="I142" s="128">
        <f>(Summary!$F$17*'Capacity (local prices)'!$C140*'Inputs and eligible population'!$G$55)</f>
        <v>0</v>
      </c>
      <c r="J142" s="842"/>
      <c r="K142" s="544">
        <f>'Inputs and eligible population'!$N$106</f>
        <v>49.16</v>
      </c>
      <c r="L142" s="546">
        <f t="shared" si="137"/>
        <v>0</v>
      </c>
      <c r="M142" s="546">
        <f t="shared" si="132"/>
        <v>0</v>
      </c>
      <c r="N142" s="546">
        <f t="shared" si="133"/>
        <v>0</v>
      </c>
      <c r="O142" s="546">
        <f t="shared" si="134"/>
        <v>0</v>
      </c>
      <c r="P142" s="546">
        <f t="shared" si="135"/>
        <v>0</v>
      </c>
      <c r="Q142" s="546">
        <f t="shared" si="136"/>
        <v>0</v>
      </c>
      <c r="R142" s="133"/>
      <c r="S142" s="133"/>
      <c r="T142" s="133"/>
      <c r="U142" s="133"/>
      <c r="V142" s="133"/>
      <c r="W142" s="133"/>
      <c r="X142" s="133"/>
      <c r="Y142" s="133"/>
      <c r="Z142" s="133"/>
      <c r="AJ142" s="283"/>
      <c r="AK142" s="283"/>
      <c r="AL142" s="283"/>
      <c r="AM142" s="283"/>
      <c r="AN142" s="283"/>
    </row>
    <row r="143" spans="1:40" x14ac:dyDescent="0.3">
      <c r="A143" s="841"/>
      <c r="B143" s="832" t="s">
        <v>1069</v>
      </c>
      <c r="C143" s="149">
        <f>'Inputs and eligible population'!L106</f>
        <v>2</v>
      </c>
      <c r="D143" s="128">
        <f>(Summary!C$18*'Capacity (local prices)'!$C143*'Inputs and eligible population'!$E$56)/60</f>
        <v>43.260102912162473</v>
      </c>
      <c r="E143" s="128">
        <f>(Summary!D$18*'Capacity (local prices)'!$C143*'Inputs and eligible population'!$E$56)/60</f>
        <v>32.757906371483465</v>
      </c>
      <c r="F143" s="128">
        <f>(Summary!E$18*'Capacity (local prices)'!$C143*'Inputs and eligible population'!$E$56)/60</f>
        <v>22.049167865092485</v>
      </c>
      <c r="G143" s="128">
        <f>(Summary!F$18*'Capacity (local prices)'!$C143*'Inputs and eligible population'!$E$56)/60</f>
        <v>22.261761696387552</v>
      </c>
      <c r="H143" s="128">
        <f>(Summary!G$18*'Capacity (local prices)'!$C143*'Inputs and eligible population'!$E$56)/60</f>
        <v>22.476405316471986</v>
      </c>
      <c r="I143" s="128">
        <f>(Summary!H$18*'Capacity (local prices)'!$C143*'Inputs and eligible population'!$E$56)/60</f>
        <v>22.693118489014633</v>
      </c>
      <c r="J143" s="842"/>
      <c r="K143" s="544">
        <f>'Inputs and eligible population'!$N$106</f>
        <v>49.16</v>
      </c>
      <c r="L143" s="546">
        <f t="shared" si="137"/>
        <v>2.126666659161907</v>
      </c>
      <c r="M143" s="546">
        <f t="shared" si="132"/>
        <v>1.6103786772221269</v>
      </c>
      <c r="N143" s="546">
        <f t="shared" si="133"/>
        <v>1.0839370922479465</v>
      </c>
      <c r="O143" s="546">
        <f t="shared" si="134"/>
        <v>1.094388204994412</v>
      </c>
      <c r="P143" s="546">
        <f t="shared" si="135"/>
        <v>1.1049400853577627</v>
      </c>
      <c r="Q143" s="546">
        <f t="shared" si="136"/>
        <v>1.1155937049199594</v>
      </c>
      <c r="R143" s="133"/>
      <c r="S143" s="133"/>
      <c r="T143" s="133"/>
      <c r="U143" s="133"/>
      <c r="V143" s="133"/>
      <c r="W143" s="133"/>
      <c r="X143" s="133"/>
      <c r="Y143" s="133"/>
      <c r="Z143" s="133"/>
      <c r="AJ143" s="283"/>
      <c r="AK143" s="283"/>
      <c r="AL143" s="283"/>
      <c r="AM143" s="283"/>
      <c r="AN143" s="283"/>
    </row>
    <row r="144" spans="1:40" x14ac:dyDescent="0.3">
      <c r="A144" s="841"/>
      <c r="B144" s="504"/>
      <c r="C144" s="280"/>
      <c r="D144" s="186">
        <f t="shared" ref="D144:I144" si="138">SUM(D133:D143)</f>
        <v>43.260102912162473</v>
      </c>
      <c r="E144" s="186">
        <f t="shared" si="138"/>
        <v>32.757906371483465</v>
      </c>
      <c r="F144" s="186">
        <f t="shared" si="138"/>
        <v>22.049167865092485</v>
      </c>
      <c r="G144" s="186">
        <f t="shared" si="138"/>
        <v>22.261761696387552</v>
      </c>
      <c r="H144" s="186">
        <f t="shared" si="138"/>
        <v>22.476405316471986</v>
      </c>
      <c r="I144" s="186">
        <f t="shared" si="138"/>
        <v>22.693118489014633</v>
      </c>
      <c r="J144" s="842"/>
      <c r="K144" s="219"/>
      <c r="L144" s="289">
        <f t="shared" ref="L144:Q144" si="139">SUM(L133:L143)</f>
        <v>2.126666659161907</v>
      </c>
      <c r="M144" s="290">
        <f t="shared" si="139"/>
        <v>1.6103786772221269</v>
      </c>
      <c r="N144" s="290">
        <f t="shared" si="139"/>
        <v>1.0839370922479465</v>
      </c>
      <c r="O144" s="290">
        <f t="shared" si="139"/>
        <v>1.094388204994412</v>
      </c>
      <c r="P144" s="290">
        <f t="shared" si="139"/>
        <v>1.1049400853577627</v>
      </c>
      <c r="Q144" s="290">
        <f t="shared" si="139"/>
        <v>1.1155937049199594</v>
      </c>
      <c r="R144" s="133"/>
      <c r="S144" s="133"/>
      <c r="T144" s="133"/>
      <c r="U144" s="133"/>
      <c r="V144" s="133"/>
      <c r="W144" s="133"/>
      <c r="X144" s="133"/>
      <c r="Y144" s="133"/>
      <c r="Z144" s="133"/>
      <c r="AJ144" s="283"/>
      <c r="AK144" s="283"/>
      <c r="AL144" s="283"/>
      <c r="AM144" s="283"/>
      <c r="AN144" s="283"/>
    </row>
    <row r="145" spans="1:40" x14ac:dyDescent="0.3">
      <c r="A145" s="841"/>
      <c r="B145" s="255"/>
      <c r="C145" s="255"/>
      <c r="D145" s="282" t="s">
        <v>844</v>
      </c>
      <c r="E145" s="186">
        <f>E144-$D144</f>
        <v>-10.502196540679009</v>
      </c>
      <c r="F145" s="186">
        <f t="shared" ref="F145:I145" si="140">F144-$D144</f>
        <v>-21.210935047069988</v>
      </c>
      <c r="G145" s="186">
        <f t="shared" si="140"/>
        <v>-20.998341215774921</v>
      </c>
      <c r="H145" s="186">
        <f t="shared" si="140"/>
        <v>-20.783697595690487</v>
      </c>
      <c r="I145" s="186">
        <f t="shared" si="140"/>
        <v>-20.56698442314784</v>
      </c>
      <c r="J145" s="842"/>
      <c r="K145" s="219"/>
      <c r="L145" s="219"/>
      <c r="M145" s="290">
        <f>M144-$L144</f>
        <v>-0.51628798193978009</v>
      </c>
      <c r="N145" s="290">
        <f t="shared" ref="N145:Q145" si="141">N144-$L144</f>
        <v>-1.0427295669139605</v>
      </c>
      <c r="O145" s="290">
        <f t="shared" si="141"/>
        <v>-1.032278454167495</v>
      </c>
      <c r="P145" s="290">
        <f t="shared" si="141"/>
        <v>-1.0217265738041443</v>
      </c>
      <c r="Q145" s="290">
        <f t="shared" si="141"/>
        <v>-1.0110729542419477</v>
      </c>
      <c r="R145" s="133"/>
      <c r="S145" s="133"/>
      <c r="T145" s="133"/>
      <c r="U145" s="133"/>
      <c r="V145" s="133"/>
      <c r="W145" s="133"/>
      <c r="X145" s="133"/>
      <c r="Y145" s="133"/>
      <c r="Z145" s="133"/>
      <c r="AJ145" s="283"/>
      <c r="AK145" s="283"/>
      <c r="AL145" s="283"/>
      <c r="AM145" s="283"/>
      <c r="AN145" s="283"/>
    </row>
    <row r="146" spans="1:40" x14ac:dyDescent="0.3">
      <c r="A146" s="286"/>
      <c r="B146" s="309"/>
      <c r="C146" s="376"/>
      <c r="D146" s="219"/>
      <c r="E146" s="219"/>
      <c r="F146" s="219"/>
      <c r="G146" s="219"/>
      <c r="H146" s="219"/>
      <c r="I146" s="219"/>
      <c r="J146" s="219"/>
      <c r="K146" s="219"/>
      <c r="L146" s="219"/>
      <c r="M146" s="219"/>
      <c r="N146" s="219"/>
      <c r="O146" s="219"/>
      <c r="P146" s="219"/>
      <c r="Q146" s="219"/>
      <c r="R146" s="133"/>
      <c r="S146" s="133"/>
      <c r="T146" s="133"/>
      <c r="U146" s="133"/>
      <c r="V146" s="133"/>
      <c r="W146" s="133"/>
      <c r="X146" s="133"/>
      <c r="Y146" s="133"/>
      <c r="Z146" s="133"/>
      <c r="AJ146" s="283"/>
      <c r="AK146" s="283"/>
      <c r="AL146" s="283"/>
      <c r="AM146" s="283"/>
      <c r="AN146" s="283"/>
    </row>
    <row r="147" spans="1:40" x14ac:dyDescent="0.3">
      <c r="A147" s="314"/>
      <c r="B147" s="315" t="s">
        <v>846</v>
      </c>
      <c r="C147" s="316"/>
      <c r="D147" s="316"/>
      <c r="E147" s="317"/>
      <c r="F147" s="318"/>
      <c r="G147" s="319"/>
      <c r="H147" s="319"/>
      <c r="I147" s="372"/>
      <c r="J147" s="314"/>
      <c r="K147" s="314"/>
      <c r="L147" s="314"/>
      <c r="M147" s="314"/>
      <c r="N147" s="314"/>
      <c r="O147" s="314"/>
      <c r="P147" s="314"/>
      <c r="Q147" s="390"/>
      <c r="R147" s="133"/>
      <c r="S147" s="133"/>
      <c r="T147" s="133"/>
      <c r="U147" s="133"/>
      <c r="V147" s="133"/>
      <c r="W147" s="133"/>
      <c r="X147" s="133"/>
      <c r="Y147" s="133"/>
      <c r="Z147" s="133"/>
      <c r="AJ147" s="283"/>
      <c r="AK147" s="283"/>
      <c r="AL147" s="283"/>
      <c r="AM147" s="283"/>
      <c r="AN147" s="283"/>
    </row>
    <row r="148" spans="1:40" x14ac:dyDescent="0.3">
      <c r="A148" s="314"/>
      <c r="B148" s="379" t="s">
        <v>847</v>
      </c>
      <c r="C148" s="380"/>
      <c r="D148" s="380"/>
      <c r="E148" s="380"/>
      <c r="F148" s="380"/>
      <c r="G148" s="380"/>
      <c r="H148" s="380"/>
      <c r="I148" s="320"/>
      <c r="J148" s="390"/>
      <c r="K148" s="390"/>
      <c r="L148" s="413"/>
      <c r="M148" s="413"/>
      <c r="N148" s="413"/>
      <c r="O148" s="413"/>
      <c r="P148" s="413"/>
      <c r="Q148" s="413"/>
      <c r="R148" s="133"/>
      <c r="S148" s="133"/>
      <c r="T148" s="133"/>
      <c r="U148" s="133"/>
      <c r="V148" s="133"/>
      <c r="W148" s="133"/>
      <c r="X148" s="133"/>
      <c r="Y148" s="133"/>
      <c r="Z148" s="133"/>
      <c r="AJ148" s="283"/>
      <c r="AK148" s="283"/>
      <c r="AL148" s="283"/>
      <c r="AM148" s="283"/>
      <c r="AN148" s="283"/>
    </row>
    <row r="149" spans="1:40" ht="43.2" x14ac:dyDescent="0.3">
      <c r="A149" s="843"/>
      <c r="B149" s="306" t="s">
        <v>766</v>
      </c>
      <c r="C149" s="166" t="s">
        <v>1099</v>
      </c>
      <c r="D149" s="402" t="s">
        <v>831</v>
      </c>
      <c r="E149" s="254" t="s">
        <v>676</v>
      </c>
      <c r="F149" s="254" t="s">
        <v>677</v>
      </c>
      <c r="G149" s="165" t="s">
        <v>803</v>
      </c>
      <c r="H149" s="165" t="s">
        <v>804</v>
      </c>
      <c r="I149" s="254" t="s">
        <v>805</v>
      </c>
      <c r="J149" s="844"/>
      <c r="K149" s="531" t="s">
        <v>1100</v>
      </c>
      <c r="L149" s="402" t="s">
        <v>831</v>
      </c>
      <c r="M149" s="521" t="s">
        <v>676</v>
      </c>
      <c r="N149" s="521" t="s">
        <v>677</v>
      </c>
      <c r="O149" s="403" t="s">
        <v>803</v>
      </c>
      <c r="P149" s="403" t="s">
        <v>804</v>
      </c>
      <c r="Q149" s="521" t="s">
        <v>805</v>
      </c>
      <c r="R149" s="133"/>
      <c r="S149" s="133"/>
      <c r="T149" s="133"/>
      <c r="U149" s="133"/>
      <c r="V149" s="133"/>
      <c r="W149" s="133"/>
      <c r="X149" s="133"/>
      <c r="Y149" s="133"/>
      <c r="Z149" s="133"/>
      <c r="AJ149" s="283"/>
      <c r="AK149" s="283"/>
      <c r="AL149" s="283"/>
      <c r="AM149" s="283"/>
      <c r="AN149" s="283"/>
    </row>
    <row r="150" spans="1:40" x14ac:dyDescent="0.3">
      <c r="A150" s="843"/>
      <c r="B150" s="334" t="s">
        <v>1065</v>
      </c>
      <c r="C150" s="149">
        <f>'Inputs and eligible population'!F107</f>
        <v>0</v>
      </c>
      <c r="D150" s="128">
        <f>Summary!$C$16*'Capacity (local prices)'!$C150*'Inputs and eligible population'!$E$50</f>
        <v>0</v>
      </c>
      <c r="E150" s="128">
        <f>Summary!$D$16*'Capacity (local prices)'!$C150*'Inputs and eligible population'!$E$50</f>
        <v>0</v>
      </c>
      <c r="F150" s="128">
        <f>Summary!E$16*'Capacity (local prices)'!$C150*'Inputs and eligible population'!$E$50</f>
        <v>0</v>
      </c>
      <c r="G150" s="128">
        <f>Summary!F$16*'Capacity (local prices)'!$C150*'Inputs and eligible population'!$E$50</f>
        <v>0</v>
      </c>
      <c r="H150" s="128">
        <f>Summary!G$16*'Capacity (local prices)'!$C150*'Inputs and eligible population'!$E$50</f>
        <v>0</v>
      </c>
      <c r="I150" s="128">
        <f>Summary!H$16*'Capacity (local prices)'!$C150*'Inputs and eligible population'!$E$50</f>
        <v>0</v>
      </c>
      <c r="J150" s="844"/>
      <c r="K150" s="544">
        <f>'Inputs and eligible population'!$N$108*'Inputs and eligible population'!F$108/60</f>
        <v>0</v>
      </c>
      <c r="L150" s="546">
        <f>$K150/1000*D150</f>
        <v>0</v>
      </c>
      <c r="M150" s="546">
        <f t="shared" ref="M150:M160" si="142">$K150/1000*E150</f>
        <v>0</v>
      </c>
      <c r="N150" s="546">
        <f t="shared" ref="N150:N160" si="143">$K150/1000*F150</f>
        <v>0</v>
      </c>
      <c r="O150" s="546">
        <f t="shared" ref="O150:O160" si="144">$K150/1000*G150</f>
        <v>0</v>
      </c>
      <c r="P150" s="546">
        <f t="shared" ref="P150:P160" si="145">$K150/1000*H150</f>
        <v>0</v>
      </c>
      <c r="Q150" s="546">
        <f t="shared" ref="Q150:Q160" si="146">$K150/1000*I150</f>
        <v>0</v>
      </c>
      <c r="R150" s="133"/>
      <c r="S150" s="133"/>
      <c r="T150" s="133"/>
      <c r="U150" s="133"/>
      <c r="V150" s="133"/>
      <c r="W150" s="133"/>
      <c r="X150" s="133"/>
      <c r="Y150" s="133"/>
      <c r="Z150" s="133"/>
      <c r="AJ150" s="283"/>
      <c r="AK150" s="283"/>
      <c r="AL150" s="283"/>
      <c r="AM150" s="283"/>
      <c r="AN150" s="283"/>
    </row>
    <row r="151" spans="1:40" x14ac:dyDescent="0.3">
      <c r="A151" s="843"/>
      <c r="B151" s="334" t="s">
        <v>1064</v>
      </c>
      <c r="C151" s="149">
        <f>'Inputs and eligible population'!G107</f>
        <v>0</v>
      </c>
      <c r="D151" s="128">
        <f>Summary!C$16*'Capacity (local prices)'!$C151*'Inputs and eligible population'!$E$51</f>
        <v>0</v>
      </c>
      <c r="E151" s="128">
        <f>Summary!D$16*'Capacity (local prices)'!$C151*'Inputs and eligible population'!$E$51</f>
        <v>0</v>
      </c>
      <c r="F151" s="128">
        <f>Summary!E$16*'Capacity (local prices)'!$C151*'Inputs and eligible population'!$E$51</f>
        <v>0</v>
      </c>
      <c r="G151" s="128">
        <f>Summary!F$16*'Capacity (local prices)'!$C151*'Inputs and eligible population'!$E$51</f>
        <v>0</v>
      </c>
      <c r="H151" s="128">
        <f>Summary!G$16*'Capacity (local prices)'!$C151*'Inputs and eligible population'!$E$51</f>
        <v>0</v>
      </c>
      <c r="I151" s="128">
        <f>Summary!H$16*'Capacity (local prices)'!$C151*'Inputs and eligible population'!$E$51</f>
        <v>0</v>
      </c>
      <c r="J151" s="844"/>
      <c r="K151" s="544">
        <f>'Inputs and eligible population'!$N$108*'Inputs and eligible population'!G$108/60</f>
        <v>0</v>
      </c>
      <c r="L151" s="546">
        <f t="shared" ref="L151:L160" si="147">$K151/1000*D151</f>
        <v>0</v>
      </c>
      <c r="M151" s="546">
        <f t="shared" si="142"/>
        <v>0</v>
      </c>
      <c r="N151" s="546">
        <f t="shared" si="143"/>
        <v>0</v>
      </c>
      <c r="O151" s="546">
        <f t="shared" si="144"/>
        <v>0</v>
      </c>
      <c r="P151" s="546">
        <f t="shared" si="145"/>
        <v>0</v>
      </c>
      <c r="Q151" s="546">
        <f t="shared" si="146"/>
        <v>0</v>
      </c>
      <c r="R151" s="133"/>
      <c r="S151" s="133"/>
      <c r="T151" s="133"/>
      <c r="U151" s="133"/>
      <c r="V151" s="133"/>
      <c r="W151" s="133"/>
      <c r="X151" s="133"/>
      <c r="Y151" s="133"/>
      <c r="Z151" s="133"/>
      <c r="AJ151" s="283"/>
      <c r="AK151" s="283"/>
      <c r="AL151" s="283"/>
      <c r="AM151" s="283"/>
      <c r="AN151" s="283"/>
    </row>
    <row r="152" spans="1:40" x14ac:dyDescent="0.3">
      <c r="A152" s="843"/>
      <c r="B152" s="334" t="s">
        <v>1162</v>
      </c>
      <c r="C152" s="149">
        <f>'Inputs and eligible population'!$H$107</f>
        <v>0</v>
      </c>
      <c r="D152" s="128">
        <f>'Inputs and eligible population'!$E$52*'Inputs and eligible population'!$L$84*'Capacity (local prices)'!$C$33</f>
        <v>0</v>
      </c>
      <c r="E152" s="128">
        <f>'Inputs and eligible population'!$E$52*'Inputs and eligible population'!$M$84*'Capacity (local prices)'!$C152</f>
        <v>0</v>
      </c>
      <c r="F152" s="128">
        <f>'Inputs and eligible population'!$E$52*'Inputs and eligible population'!$N$84*'Capacity (local prices)'!$C152</f>
        <v>0</v>
      </c>
      <c r="G152" s="128">
        <f>'Inputs and eligible population'!$E$52*'Inputs and eligible population'!$O$84*'Capacity (local prices)'!$C152</f>
        <v>0</v>
      </c>
      <c r="H152" s="128">
        <f>'Inputs and eligible population'!$E$52*'Inputs and eligible population'!$P$84*'Capacity (local prices)'!$C152</f>
        <v>0</v>
      </c>
      <c r="I152" s="128">
        <f>'Inputs and eligible population'!$E$52*'Inputs and eligible population'!$Q$84*'Capacity (local prices)'!$C152</f>
        <v>0</v>
      </c>
      <c r="J152" s="844"/>
      <c r="K152" s="544">
        <f>'Inputs and eligible population'!$N$108*'Inputs and eligible population'!H$108/60</f>
        <v>0</v>
      </c>
      <c r="L152" s="546">
        <f t="shared" si="147"/>
        <v>0</v>
      </c>
      <c r="M152" s="546">
        <f t="shared" si="142"/>
        <v>0</v>
      </c>
      <c r="N152" s="546">
        <f t="shared" si="143"/>
        <v>0</v>
      </c>
      <c r="O152" s="546">
        <f t="shared" si="144"/>
        <v>0</v>
      </c>
      <c r="P152" s="546">
        <f t="shared" si="145"/>
        <v>0</v>
      </c>
      <c r="Q152" s="546">
        <f t="shared" si="146"/>
        <v>0</v>
      </c>
      <c r="R152" s="133"/>
      <c r="S152" s="133"/>
      <c r="T152" s="133"/>
      <c r="U152" s="133"/>
      <c r="V152" s="133"/>
      <c r="W152" s="133"/>
      <c r="X152" s="133"/>
      <c r="Y152" s="133"/>
      <c r="Z152" s="133"/>
      <c r="AJ152" s="283"/>
      <c r="AK152" s="283"/>
      <c r="AL152" s="283"/>
      <c r="AM152" s="283"/>
      <c r="AN152" s="283"/>
    </row>
    <row r="153" spans="1:40" x14ac:dyDescent="0.3">
      <c r="A153" s="843"/>
      <c r="B153" s="334" t="s">
        <v>1163</v>
      </c>
      <c r="C153" s="149">
        <f>'Inputs and eligible population'!$H$107</f>
        <v>0</v>
      </c>
      <c r="D153" s="128">
        <f>'Inputs and eligible population'!$F$52*'Inputs and eligible population'!$L$84*'Capacity (local prices)'!$C153</f>
        <v>0</v>
      </c>
      <c r="E153" s="128">
        <f>'Inputs and eligible population'!$F$52*'Inputs and eligible population'!$L$84*'Capacity (local prices)'!$C153</f>
        <v>0</v>
      </c>
      <c r="F153" s="128">
        <f>'Inputs and eligible population'!$F$52*'Inputs and eligible population'!$M$84*'Capacity (local prices)'!$C153</f>
        <v>0</v>
      </c>
      <c r="G153" s="128">
        <f>'Inputs and eligible population'!$F$52*'Inputs and eligible population'!$N$84*'Capacity (local prices)'!$C153</f>
        <v>0</v>
      </c>
      <c r="H153" s="128">
        <f>'Inputs and eligible population'!$F$52*'Inputs and eligible population'!$O$84*'Capacity (local prices)'!$C153</f>
        <v>0</v>
      </c>
      <c r="I153" s="128">
        <f>'Inputs and eligible population'!$F$52*'Inputs and eligible population'!$P$84*'Capacity (local prices)'!$C153</f>
        <v>0</v>
      </c>
      <c r="J153" s="844"/>
      <c r="K153" s="544">
        <f>'Inputs and eligible population'!$N$108*'Inputs and eligible population'!H$108/60</f>
        <v>0</v>
      </c>
      <c r="L153" s="546">
        <f t="shared" si="147"/>
        <v>0</v>
      </c>
      <c r="M153" s="546">
        <f t="shared" si="142"/>
        <v>0</v>
      </c>
      <c r="N153" s="546">
        <f t="shared" si="143"/>
        <v>0</v>
      </c>
      <c r="O153" s="546">
        <f t="shared" si="144"/>
        <v>0</v>
      </c>
      <c r="P153" s="546">
        <f t="shared" si="145"/>
        <v>0</v>
      </c>
      <c r="Q153" s="546">
        <f t="shared" si="146"/>
        <v>0</v>
      </c>
      <c r="R153" s="133"/>
      <c r="S153" s="133"/>
      <c r="T153" s="133"/>
      <c r="U153" s="133"/>
      <c r="V153" s="133"/>
      <c r="W153" s="133"/>
      <c r="X153" s="133"/>
      <c r="Y153" s="133"/>
      <c r="Z153" s="133"/>
      <c r="AJ153" s="283"/>
      <c r="AK153" s="283"/>
      <c r="AL153" s="283"/>
      <c r="AM153" s="283"/>
      <c r="AN153" s="283"/>
    </row>
    <row r="154" spans="1:40" x14ac:dyDescent="0.3">
      <c r="A154" s="843"/>
      <c r="B154" s="334" t="s">
        <v>1164</v>
      </c>
      <c r="C154" s="149">
        <f>'Inputs and eligible population'!$H$107</f>
        <v>0</v>
      </c>
      <c r="D154" s="128">
        <f>'Inputs and eligible population'!$G$52*'Inputs and eligible population'!$L$84*'Capacity (local prices)'!$C154</f>
        <v>0</v>
      </c>
      <c r="E154" s="128">
        <f>'Inputs and eligible population'!$G$52*'Inputs and eligible population'!$L$84*'Capacity (local prices)'!$C154</f>
        <v>0</v>
      </c>
      <c r="F154" s="128">
        <f>'Inputs and eligible population'!$G$52*'Inputs and eligible population'!$L$84*'Capacity (local prices)'!$C154</f>
        <v>0</v>
      </c>
      <c r="G154" s="128">
        <f>'Inputs and eligible population'!$G$52*'Inputs and eligible population'!$M$84*'Capacity (local prices)'!$C154</f>
        <v>0</v>
      </c>
      <c r="H154" s="128">
        <f>'Inputs and eligible population'!$G$52*'Inputs and eligible population'!$N$84*'Capacity (local prices)'!$C154</f>
        <v>0</v>
      </c>
      <c r="I154" s="128">
        <f>'Inputs and eligible population'!$G$52*'Inputs and eligible population'!$O$84*'Capacity (local prices)'!$C154</f>
        <v>0</v>
      </c>
      <c r="J154" s="844"/>
      <c r="K154" s="544">
        <f>'Inputs and eligible population'!$N$108*'Inputs and eligible population'!H$108/60</f>
        <v>0</v>
      </c>
      <c r="L154" s="546">
        <f t="shared" si="147"/>
        <v>0</v>
      </c>
      <c r="M154" s="546">
        <f t="shared" si="142"/>
        <v>0</v>
      </c>
      <c r="N154" s="546">
        <f t="shared" si="143"/>
        <v>0</v>
      </c>
      <c r="O154" s="546">
        <f t="shared" si="144"/>
        <v>0</v>
      </c>
      <c r="P154" s="546">
        <f t="shared" si="145"/>
        <v>0</v>
      </c>
      <c r="Q154" s="546">
        <f t="shared" si="146"/>
        <v>0</v>
      </c>
      <c r="R154" s="133"/>
      <c r="S154" s="133"/>
      <c r="T154" s="133"/>
      <c r="U154" s="133"/>
      <c r="V154" s="133"/>
      <c r="W154" s="133"/>
      <c r="X154" s="133"/>
      <c r="Y154" s="133"/>
      <c r="Z154" s="133"/>
      <c r="AJ154" s="283"/>
      <c r="AK154" s="283"/>
      <c r="AL154" s="283"/>
      <c r="AM154" s="283"/>
      <c r="AN154" s="283"/>
    </row>
    <row r="155" spans="1:40" x14ac:dyDescent="0.3">
      <c r="A155" s="843"/>
      <c r="B155" s="334" t="s">
        <v>1066</v>
      </c>
      <c r="C155" s="149">
        <f>'Inputs and eligible population'!I107</f>
        <v>0</v>
      </c>
      <c r="D155" s="128">
        <f>'Financial impact (cash)'!D$15*$C155*'Inputs and eligible population'!$E$53</f>
        <v>0</v>
      </c>
      <c r="E155" s="128">
        <f>'Financial impact (cash)'!E$15*$C155*'Inputs and eligible population'!$E$53</f>
        <v>0</v>
      </c>
      <c r="F155" s="128">
        <f>'Financial impact (cash)'!F$15*$C155*'Inputs and eligible population'!$E$53</f>
        <v>0</v>
      </c>
      <c r="G155" s="128">
        <f>'Financial impact (cash)'!G$15*$C155*'Inputs and eligible population'!$E$53</f>
        <v>0</v>
      </c>
      <c r="H155" s="128">
        <f>'Financial impact (cash)'!H$15*$C155*'Inputs and eligible population'!$E$53</f>
        <v>0</v>
      </c>
      <c r="I155" s="128">
        <f>'Financial impact (cash)'!I$15*$C155*'Inputs and eligible population'!$E$53</f>
        <v>0</v>
      </c>
      <c r="J155" s="844"/>
      <c r="K155" s="544">
        <f>'Inputs and eligible population'!$N$108*'Inputs and eligible population'!I$108/60</f>
        <v>0</v>
      </c>
      <c r="L155" s="546">
        <f t="shared" si="147"/>
        <v>0</v>
      </c>
      <c r="M155" s="546">
        <f t="shared" si="142"/>
        <v>0</v>
      </c>
      <c r="N155" s="546">
        <f t="shared" si="143"/>
        <v>0</v>
      </c>
      <c r="O155" s="546">
        <f t="shared" si="144"/>
        <v>0</v>
      </c>
      <c r="P155" s="546">
        <f t="shared" si="145"/>
        <v>0</v>
      </c>
      <c r="Q155" s="546">
        <f t="shared" si="146"/>
        <v>0</v>
      </c>
      <c r="R155" s="133"/>
      <c r="S155" s="133"/>
      <c r="T155" s="133"/>
      <c r="U155" s="133"/>
      <c r="V155" s="133"/>
      <c r="W155" s="133"/>
      <c r="X155" s="133"/>
      <c r="Y155" s="133"/>
      <c r="Z155" s="133"/>
      <c r="AJ155" s="283"/>
      <c r="AK155" s="283"/>
      <c r="AL155" s="283"/>
      <c r="AM155" s="283"/>
      <c r="AN155" s="283"/>
    </row>
    <row r="156" spans="1:40" x14ac:dyDescent="0.3">
      <c r="A156" s="843"/>
      <c r="B156" s="334" t="s">
        <v>1067</v>
      </c>
      <c r="C156" s="149">
        <f>'Inputs and eligible population'!J107</f>
        <v>0</v>
      </c>
      <c r="D156" s="128">
        <f>'Financial impact (cash)'!D$15*$C156*'Inputs and eligible population'!$E$54</f>
        <v>0</v>
      </c>
      <c r="E156" s="128">
        <f>'Financial impact (cash)'!E$15*$C156*'Inputs and eligible population'!$E$54</f>
        <v>0</v>
      </c>
      <c r="F156" s="128">
        <f>'Financial impact (cash)'!F$15*$C156*'Inputs and eligible population'!$E$54</f>
        <v>0</v>
      </c>
      <c r="G156" s="128">
        <f>'Financial impact (cash)'!G$15*$C156*'Inputs and eligible population'!$E$54</f>
        <v>0</v>
      </c>
      <c r="H156" s="128">
        <f>'Financial impact (cash)'!H$15*$C156*'Inputs and eligible population'!$E$54</f>
        <v>0</v>
      </c>
      <c r="I156" s="128">
        <f>'Financial impact (cash)'!I$15*$C156*'Inputs and eligible population'!$E$54</f>
        <v>0</v>
      </c>
      <c r="J156" s="844"/>
      <c r="K156" s="544">
        <f>'Inputs and eligible population'!$N$108*'Inputs and eligible population'!J$108/60</f>
        <v>0</v>
      </c>
      <c r="L156" s="546">
        <f t="shared" si="147"/>
        <v>0</v>
      </c>
      <c r="M156" s="546">
        <f t="shared" si="142"/>
        <v>0</v>
      </c>
      <c r="N156" s="546">
        <f t="shared" si="143"/>
        <v>0</v>
      </c>
      <c r="O156" s="546">
        <f t="shared" si="144"/>
        <v>0</v>
      </c>
      <c r="P156" s="546">
        <f t="shared" si="145"/>
        <v>0</v>
      </c>
      <c r="Q156" s="546">
        <f t="shared" si="146"/>
        <v>0</v>
      </c>
      <c r="R156" s="133"/>
      <c r="S156" s="133"/>
      <c r="T156" s="133"/>
      <c r="U156" s="133"/>
      <c r="V156" s="133"/>
      <c r="W156" s="133"/>
      <c r="X156" s="133"/>
      <c r="Y156" s="133"/>
      <c r="Z156" s="133"/>
      <c r="AJ156" s="283"/>
      <c r="AK156" s="283"/>
      <c r="AL156" s="283"/>
      <c r="AM156" s="283"/>
      <c r="AN156" s="283"/>
    </row>
    <row r="157" spans="1:40" x14ac:dyDescent="0.3">
      <c r="A157" s="843"/>
      <c r="B157" s="334" t="s">
        <v>1165</v>
      </c>
      <c r="C157" s="149">
        <f>'Inputs and eligible population'!$K$107</f>
        <v>0</v>
      </c>
      <c r="D157" s="128">
        <f>Summary!$C$17*'Capacity (local prices)'!$C157*'Inputs and eligible population'!$E$55</f>
        <v>0</v>
      </c>
      <c r="E157" s="128">
        <f>(Summary!$D$17*'Capacity (local prices)'!$C157*'Inputs and eligible population'!$E$55)</f>
        <v>0</v>
      </c>
      <c r="F157" s="128">
        <f>(Summary!$E$17*'Capacity (local prices)'!$C157*'Inputs and eligible population'!$E$55)</f>
        <v>0</v>
      </c>
      <c r="G157" s="128">
        <f>(Summary!$F$17*'Capacity (local prices)'!$C157*'Inputs and eligible population'!$E$55)</f>
        <v>0</v>
      </c>
      <c r="H157" s="128">
        <f>(Summary!$G$17*'Capacity (local prices)'!$C157*'Inputs and eligible population'!$E$55)</f>
        <v>0</v>
      </c>
      <c r="I157" s="128">
        <f>(Summary!$H$17*'Capacity (local prices)'!$C157*'Inputs and eligible population'!$E$55)</f>
        <v>0</v>
      </c>
      <c r="J157" s="844"/>
      <c r="K157" s="544">
        <f>'Inputs and eligible population'!$N$108*'Inputs and eligible population'!K$108/60</f>
        <v>0</v>
      </c>
      <c r="L157" s="546">
        <f t="shared" si="147"/>
        <v>0</v>
      </c>
      <c r="M157" s="546">
        <f t="shared" si="142"/>
        <v>0</v>
      </c>
      <c r="N157" s="546">
        <f t="shared" si="143"/>
        <v>0</v>
      </c>
      <c r="O157" s="546">
        <f t="shared" si="144"/>
        <v>0</v>
      </c>
      <c r="P157" s="546">
        <f t="shared" si="145"/>
        <v>0</v>
      </c>
      <c r="Q157" s="546">
        <f t="shared" si="146"/>
        <v>0</v>
      </c>
      <c r="R157" s="133"/>
      <c r="S157" s="133"/>
      <c r="T157" s="133"/>
      <c r="U157" s="133"/>
      <c r="V157" s="133"/>
      <c r="W157" s="133"/>
      <c r="X157" s="133"/>
      <c r="Y157" s="133"/>
      <c r="Z157" s="133"/>
      <c r="AJ157" s="283"/>
      <c r="AK157" s="283"/>
      <c r="AL157" s="283"/>
      <c r="AM157" s="283"/>
      <c r="AN157" s="283"/>
    </row>
    <row r="158" spans="1:40" x14ac:dyDescent="0.3">
      <c r="A158" s="843"/>
      <c r="B158" s="334" t="s">
        <v>1166</v>
      </c>
      <c r="C158" s="149">
        <f>'Inputs and eligible population'!$K$107</f>
        <v>0</v>
      </c>
      <c r="D158" s="128">
        <f>Summary!$C$17*'Capacity (local prices)'!$C157*'Inputs and eligible population'!$F$55</f>
        <v>0</v>
      </c>
      <c r="E158" s="128">
        <f>Summary!$C$17*'Capacity (local prices)'!$C157*'Inputs and eligible population'!$F$55</f>
        <v>0</v>
      </c>
      <c r="F158" s="128">
        <f>(Summary!$D$17*'Capacity (local prices)'!$C157*'Inputs and eligible population'!$F$55)</f>
        <v>0</v>
      </c>
      <c r="G158" s="128">
        <f>(Summary!$E$17*'Capacity (local prices)'!$C157*'Inputs and eligible population'!$F$55)</f>
        <v>0</v>
      </c>
      <c r="H158" s="128">
        <f>(Summary!$F$17*'Capacity (local prices)'!$C157*'Inputs and eligible population'!$F$55)</f>
        <v>0</v>
      </c>
      <c r="I158" s="128">
        <f>(Summary!$G$17*'Capacity (local prices)'!$C157*'Inputs and eligible population'!$F$55)</f>
        <v>0</v>
      </c>
      <c r="J158" s="844"/>
      <c r="K158" s="544">
        <f>'Inputs and eligible population'!$N$108*'Inputs and eligible population'!K$108/60</f>
        <v>0</v>
      </c>
      <c r="L158" s="546">
        <f t="shared" si="147"/>
        <v>0</v>
      </c>
      <c r="M158" s="546">
        <f t="shared" si="142"/>
        <v>0</v>
      </c>
      <c r="N158" s="546">
        <f t="shared" si="143"/>
        <v>0</v>
      </c>
      <c r="O158" s="546">
        <f t="shared" si="144"/>
        <v>0</v>
      </c>
      <c r="P158" s="546">
        <f t="shared" si="145"/>
        <v>0</v>
      </c>
      <c r="Q158" s="546">
        <f t="shared" si="146"/>
        <v>0</v>
      </c>
      <c r="R158" s="133"/>
      <c r="S158" s="133"/>
      <c r="T158" s="133"/>
      <c r="U158" s="133"/>
      <c r="V158" s="133"/>
      <c r="W158" s="133"/>
      <c r="X158" s="133"/>
      <c r="Y158" s="133"/>
      <c r="Z158" s="133"/>
      <c r="AJ158" s="283"/>
      <c r="AK158" s="283"/>
      <c r="AL158" s="283"/>
      <c r="AM158" s="283"/>
      <c r="AN158" s="283"/>
    </row>
    <row r="159" spans="1:40" x14ac:dyDescent="0.3">
      <c r="A159" s="843"/>
      <c r="B159" s="334" t="s">
        <v>1167</v>
      </c>
      <c r="C159" s="149">
        <f>'Inputs and eligible population'!$K$107</f>
        <v>0</v>
      </c>
      <c r="D159" s="128">
        <f>Summary!$C$17*'Capacity (local prices)'!$C157*'Inputs and eligible population'!$G$55</f>
        <v>0</v>
      </c>
      <c r="E159" s="128">
        <f>Summary!$C$17*'Capacity (local prices)'!$C157*'Inputs and eligible population'!$G$55</f>
        <v>0</v>
      </c>
      <c r="F159" s="128">
        <f>Summary!$C$17*'Capacity (local prices)'!$C157*'Inputs and eligible population'!$G$55</f>
        <v>0</v>
      </c>
      <c r="G159" s="128">
        <f>(Summary!$D$17*'Capacity (local prices)'!$C157*'Inputs and eligible population'!$G$55)</f>
        <v>0</v>
      </c>
      <c r="H159" s="128">
        <f>(Summary!$E$17*'Capacity (local prices)'!$C157*'Inputs and eligible population'!$G$55)</f>
        <v>0</v>
      </c>
      <c r="I159" s="128">
        <f>(Summary!$F$17*'Capacity (local prices)'!$C157*'Inputs and eligible population'!$G$55)</f>
        <v>0</v>
      </c>
      <c r="J159" s="844"/>
      <c r="K159" s="544">
        <f>'Inputs and eligible population'!$N$108*'Inputs and eligible population'!K$108/60</f>
        <v>0</v>
      </c>
      <c r="L159" s="546">
        <f t="shared" si="147"/>
        <v>0</v>
      </c>
      <c r="M159" s="546">
        <f t="shared" si="142"/>
        <v>0</v>
      </c>
      <c r="N159" s="546">
        <f t="shared" si="143"/>
        <v>0</v>
      </c>
      <c r="O159" s="546">
        <f t="shared" si="144"/>
        <v>0</v>
      </c>
      <c r="P159" s="546">
        <f t="shared" si="145"/>
        <v>0</v>
      </c>
      <c r="Q159" s="546">
        <f t="shared" si="146"/>
        <v>0</v>
      </c>
      <c r="R159" s="133"/>
      <c r="S159" s="133"/>
      <c r="T159" s="133"/>
      <c r="U159" s="133"/>
      <c r="V159" s="133"/>
      <c r="W159" s="133"/>
      <c r="X159" s="133"/>
      <c r="Y159" s="133"/>
      <c r="Z159" s="133"/>
      <c r="AJ159" s="283"/>
      <c r="AK159" s="283"/>
      <c r="AL159" s="283"/>
      <c r="AM159" s="283"/>
      <c r="AN159" s="283"/>
    </row>
    <row r="160" spans="1:40" x14ac:dyDescent="0.3">
      <c r="A160" s="843"/>
      <c r="B160" s="832" t="s">
        <v>1069</v>
      </c>
      <c r="C160" s="149">
        <f>'Inputs and eligible population'!L107</f>
        <v>0</v>
      </c>
      <c r="D160" s="128">
        <f>Summary!C$18*'Capacity (local prices)'!$C160*'Inputs and eligible population'!$E$56</f>
        <v>0</v>
      </c>
      <c r="E160" s="128">
        <f>Summary!D$18*'Capacity (local prices)'!$C160*'Inputs and eligible population'!$E$56</f>
        <v>0</v>
      </c>
      <c r="F160" s="128">
        <f>Summary!E$18*'Capacity (local prices)'!$C160*'Inputs and eligible population'!$E$56</f>
        <v>0</v>
      </c>
      <c r="G160" s="128">
        <f>Summary!F$18*'Capacity (local prices)'!$C160*'Inputs and eligible population'!$E$56</f>
        <v>0</v>
      </c>
      <c r="H160" s="128">
        <f>Summary!G$18*'Capacity (local prices)'!$C160*'Inputs and eligible population'!$E$56</f>
        <v>0</v>
      </c>
      <c r="I160" s="128">
        <f>Summary!H$18*'Capacity (local prices)'!$C160*'Inputs and eligible population'!$E$56</f>
        <v>0</v>
      </c>
      <c r="J160" s="844"/>
      <c r="K160" s="544">
        <f>'Inputs and eligible population'!$N$108*'Inputs and eligible population'!L$108/60</f>
        <v>0</v>
      </c>
      <c r="L160" s="546">
        <f t="shared" si="147"/>
        <v>0</v>
      </c>
      <c r="M160" s="546">
        <f t="shared" si="142"/>
        <v>0</v>
      </c>
      <c r="N160" s="546">
        <f t="shared" si="143"/>
        <v>0</v>
      </c>
      <c r="O160" s="546">
        <f t="shared" si="144"/>
        <v>0</v>
      </c>
      <c r="P160" s="546">
        <f t="shared" si="145"/>
        <v>0</v>
      </c>
      <c r="Q160" s="546">
        <f t="shared" si="146"/>
        <v>0</v>
      </c>
      <c r="R160" s="133"/>
      <c r="S160" s="133"/>
      <c r="T160" s="133"/>
      <c r="U160" s="133"/>
      <c r="V160" s="133"/>
      <c r="W160" s="133"/>
      <c r="X160" s="133"/>
      <c r="Y160" s="133"/>
      <c r="Z160" s="133"/>
      <c r="AJ160" s="283"/>
      <c r="AK160" s="283"/>
      <c r="AL160" s="283"/>
      <c r="AM160" s="283"/>
      <c r="AN160" s="283"/>
    </row>
    <row r="161" spans="1:40" x14ac:dyDescent="0.3">
      <c r="A161" s="843"/>
      <c r="B161" s="504"/>
      <c r="C161" s="280"/>
      <c r="D161" s="186">
        <f>SUM(D150:D160)</f>
        <v>0</v>
      </c>
      <c r="E161" s="186">
        <f t="shared" ref="E161" si="148">SUM(E150:E160)</f>
        <v>0</v>
      </c>
      <c r="F161" s="186">
        <f t="shared" ref="F161" si="149">SUM(F150:F160)</f>
        <v>0</v>
      </c>
      <c r="G161" s="186">
        <f t="shared" ref="G161" si="150">SUM(G150:G160)</f>
        <v>0</v>
      </c>
      <c r="H161" s="186">
        <f t="shared" ref="H161" si="151">SUM(H150:H160)</f>
        <v>0</v>
      </c>
      <c r="I161" s="186">
        <f t="shared" ref="I161" si="152">SUM(I150:I160)</f>
        <v>0</v>
      </c>
      <c r="J161" s="844"/>
      <c r="K161" s="390"/>
      <c r="L161" s="290">
        <f>SUM(L150:L160)</f>
        <v>0</v>
      </c>
      <c r="M161" s="290">
        <f t="shared" ref="M161" si="153">SUM(M150:M160)</f>
        <v>0</v>
      </c>
      <c r="N161" s="290">
        <f t="shared" ref="N161" si="154">SUM(N150:N160)</f>
        <v>0</v>
      </c>
      <c r="O161" s="290">
        <f>SUM(O150:O160)</f>
        <v>0</v>
      </c>
      <c r="P161" s="290">
        <f t="shared" ref="P161" si="155">SUM(P150:P160)</f>
        <v>0</v>
      </c>
      <c r="Q161" s="290">
        <f t="shared" ref="Q161" si="156">SUM(Q150:Q160)</f>
        <v>0</v>
      </c>
      <c r="R161" s="133"/>
      <c r="S161" s="133"/>
      <c r="T161" s="133"/>
      <c r="U161" s="133"/>
      <c r="V161" s="133"/>
      <c r="W161" s="133"/>
      <c r="X161" s="133"/>
      <c r="Y161" s="133"/>
      <c r="Z161" s="133"/>
      <c r="AJ161" s="283"/>
      <c r="AK161" s="283"/>
      <c r="AL161" s="283"/>
      <c r="AM161" s="283"/>
      <c r="AN161" s="283"/>
    </row>
    <row r="162" spans="1:40" x14ac:dyDescent="0.3">
      <c r="A162" s="843"/>
      <c r="B162" s="255"/>
      <c r="C162" s="255"/>
      <c r="D162" s="282" t="s">
        <v>841</v>
      </c>
      <c r="E162" s="186">
        <f>E161-$D$76</f>
        <v>-1297.8030873648743</v>
      </c>
      <c r="F162" s="186">
        <f t="shared" ref="F162" si="157">F161-$D$76</f>
        <v>-1297.8030873648743</v>
      </c>
      <c r="G162" s="186">
        <f t="shared" ref="G162" si="158">G161-$D$76</f>
        <v>-1297.8030873648743</v>
      </c>
      <c r="H162" s="186">
        <f t="shared" ref="H162" si="159">H161-$D$76</f>
        <v>-1297.8030873648743</v>
      </c>
      <c r="I162" s="186">
        <f t="shared" ref="I162" si="160">I161-$D$76</f>
        <v>-1297.8030873648743</v>
      </c>
      <c r="J162" s="844"/>
      <c r="K162" s="390"/>
      <c r="L162" s="390"/>
      <c r="M162" s="290">
        <f>M161-$L161</f>
        <v>0</v>
      </c>
      <c r="N162" s="290">
        <f t="shared" ref="N162:Q162" si="161">N161-$L161</f>
        <v>0</v>
      </c>
      <c r="O162" s="290">
        <f t="shared" si="161"/>
        <v>0</v>
      </c>
      <c r="P162" s="290">
        <f t="shared" si="161"/>
        <v>0</v>
      </c>
      <c r="Q162" s="290">
        <f t="shared" si="161"/>
        <v>0</v>
      </c>
      <c r="R162" s="133"/>
      <c r="S162" s="133"/>
      <c r="T162" s="133"/>
      <c r="U162" s="133"/>
      <c r="V162" s="133"/>
      <c r="W162" s="133"/>
      <c r="X162" s="133"/>
      <c r="Y162" s="133"/>
      <c r="Z162" s="133"/>
      <c r="AJ162" s="283"/>
      <c r="AK162" s="283"/>
      <c r="AL162" s="283"/>
      <c r="AM162" s="283"/>
      <c r="AN162" s="283"/>
    </row>
    <row r="163" spans="1:40" x14ac:dyDescent="0.3">
      <c r="A163" s="314"/>
      <c r="B163" s="314"/>
      <c r="C163" s="314"/>
      <c r="D163" s="314"/>
      <c r="E163" s="314"/>
      <c r="F163" s="314"/>
      <c r="G163" s="314"/>
      <c r="H163" s="314"/>
      <c r="I163" s="314"/>
      <c r="J163" s="314"/>
      <c r="K163" s="314"/>
      <c r="L163" s="314"/>
      <c r="M163" s="314"/>
      <c r="N163" s="314"/>
      <c r="O163" s="314"/>
      <c r="P163" s="314"/>
      <c r="Q163" s="314"/>
      <c r="V163" s="133"/>
    </row>
    <row r="164" spans="1:40" x14ac:dyDescent="0.3">
      <c r="A164" s="287"/>
      <c r="B164" s="310" t="s">
        <v>848</v>
      </c>
      <c r="C164" s="298"/>
      <c r="D164" s="299"/>
      <c r="E164" s="300"/>
      <c r="F164" s="301"/>
      <c r="G164" s="301"/>
      <c r="H164" s="301"/>
      <c r="I164" s="414"/>
      <c r="J164" s="287"/>
      <c r="K164" s="287"/>
      <c r="L164" s="287"/>
      <c r="M164" s="287"/>
      <c r="N164" s="287"/>
      <c r="O164" s="287"/>
      <c r="P164" s="287"/>
      <c r="Q164" s="221"/>
      <c r="R164" s="133"/>
      <c r="S164" s="133"/>
      <c r="T164" s="133"/>
      <c r="U164" s="133"/>
      <c r="V164" s="133"/>
      <c r="W164" s="133"/>
      <c r="X164" s="133"/>
      <c r="Y164" s="133"/>
      <c r="Z164" s="133"/>
      <c r="AJ164" s="283"/>
      <c r="AK164" s="283"/>
      <c r="AL164" s="283"/>
      <c r="AM164" s="283"/>
      <c r="AN164" s="283"/>
    </row>
    <row r="165" spans="1:40" x14ac:dyDescent="0.3">
      <c r="A165" s="287"/>
      <c r="B165" s="381" t="s">
        <v>1109</v>
      </c>
      <c r="C165" s="382"/>
      <c r="D165" s="382"/>
      <c r="E165" s="382"/>
      <c r="F165" s="382"/>
      <c r="G165" s="382"/>
      <c r="H165" s="382"/>
      <c r="I165" s="220"/>
      <c r="J165" s="221"/>
      <c r="K165" s="221"/>
      <c r="L165" s="410"/>
      <c r="M165" s="410"/>
      <c r="N165" s="410"/>
      <c r="O165" s="410"/>
      <c r="P165" s="410"/>
      <c r="Q165" s="410"/>
      <c r="R165" s="133"/>
      <c r="S165" s="133"/>
      <c r="T165" s="133"/>
      <c r="U165" s="133"/>
      <c r="V165" s="133"/>
      <c r="W165" s="133"/>
      <c r="X165" s="133"/>
      <c r="Y165" s="133"/>
      <c r="Z165" s="133"/>
      <c r="AJ165" s="283"/>
      <c r="AK165" s="283"/>
      <c r="AL165" s="283"/>
      <c r="AM165" s="283"/>
      <c r="AN165" s="283"/>
    </row>
    <row r="166" spans="1:40" ht="43.2" x14ac:dyDescent="0.3">
      <c r="A166" s="847"/>
      <c r="B166" s="306" t="s">
        <v>766</v>
      </c>
      <c r="C166" s="166" t="s">
        <v>1099</v>
      </c>
      <c r="D166" s="402" t="s">
        <v>831</v>
      </c>
      <c r="E166" s="254" t="s">
        <v>676</v>
      </c>
      <c r="F166" s="254" t="s">
        <v>677</v>
      </c>
      <c r="G166" s="165" t="s">
        <v>803</v>
      </c>
      <c r="H166" s="165" t="s">
        <v>804</v>
      </c>
      <c r="I166" s="254" t="s">
        <v>805</v>
      </c>
      <c r="J166" s="845"/>
      <c r="K166" s="531" t="s">
        <v>1100</v>
      </c>
      <c r="L166" s="402" t="s">
        <v>831</v>
      </c>
      <c r="M166" s="521" t="s">
        <v>676</v>
      </c>
      <c r="N166" s="521" t="s">
        <v>677</v>
      </c>
      <c r="O166" s="403" t="s">
        <v>803</v>
      </c>
      <c r="P166" s="403" t="s">
        <v>804</v>
      </c>
      <c r="Q166" s="521" t="s">
        <v>805</v>
      </c>
      <c r="R166" s="133"/>
      <c r="S166" s="133"/>
      <c r="T166" s="133"/>
      <c r="U166" s="133"/>
      <c r="V166" s="133"/>
      <c r="W166" s="133"/>
      <c r="X166" s="133"/>
      <c r="Y166" s="133"/>
      <c r="Z166" s="133"/>
      <c r="AJ166" s="283"/>
      <c r="AK166" s="283"/>
      <c r="AL166" s="283"/>
      <c r="AM166" s="283"/>
      <c r="AN166" s="283"/>
    </row>
    <row r="167" spans="1:40" x14ac:dyDescent="0.3">
      <c r="A167" s="847"/>
      <c r="B167" s="334" t="s">
        <v>1065</v>
      </c>
      <c r="C167" s="846">
        <f>'Inputs and eligible population'!F109</f>
        <v>1.0900000000000001</v>
      </c>
      <c r="D167" s="128">
        <f>Summary!$C$16*'Capacity (local prices)'!$C167*'Inputs and eligible population'!$E$50</f>
        <v>0</v>
      </c>
      <c r="E167" s="128">
        <f>Summary!$D$16*'Capacity (local prices)'!$C167*'Inputs and eligible population'!$E$50</f>
        <v>0</v>
      </c>
      <c r="F167" s="128">
        <f>Summary!E$16*'Capacity (local prices)'!$C167*'Inputs and eligible population'!$E$50</f>
        <v>0</v>
      </c>
      <c r="G167" s="128">
        <f>Summary!F$16*'Capacity (local prices)'!$C167*'Inputs and eligible population'!$E$50</f>
        <v>0</v>
      </c>
      <c r="H167" s="128">
        <f>Summary!G$16*'Capacity (local prices)'!$C167*'Inputs and eligible population'!$E$50</f>
        <v>0</v>
      </c>
      <c r="I167" s="128">
        <f>Summary!H$16*'Capacity (local prices)'!$C167*'Inputs and eligible population'!$E$50</f>
        <v>0</v>
      </c>
      <c r="J167" s="845"/>
      <c r="K167" s="544">
        <f>'Inputs and eligible population'!$N$110*'Inputs and eligible population'!F$110/60</f>
        <v>40.36</v>
      </c>
      <c r="L167" s="546">
        <f>$K167/1000*D167</f>
        <v>0</v>
      </c>
      <c r="M167" s="546">
        <f t="shared" ref="M167:M177" si="162">$K167/1000*E167</f>
        <v>0</v>
      </c>
      <c r="N167" s="546">
        <f t="shared" ref="N167:N177" si="163">$K167/1000*F167</f>
        <v>0</v>
      </c>
      <c r="O167" s="546">
        <f t="shared" ref="O167:O177" si="164">$K167/1000*G167</f>
        <v>0</v>
      </c>
      <c r="P167" s="546">
        <f t="shared" ref="P167:P177" si="165">$K167/1000*H167</f>
        <v>0</v>
      </c>
      <c r="Q167" s="546">
        <f t="shared" ref="Q167:Q177" si="166">$K167/1000*I167</f>
        <v>0</v>
      </c>
      <c r="R167" s="133"/>
      <c r="S167" s="133"/>
      <c r="T167" s="133"/>
      <c r="U167" s="133"/>
      <c r="V167" s="133"/>
      <c r="W167" s="133"/>
      <c r="X167" s="133"/>
      <c r="Y167" s="133"/>
      <c r="Z167" s="133"/>
      <c r="AJ167" s="283"/>
      <c r="AK167" s="283"/>
      <c r="AL167" s="283"/>
      <c r="AM167" s="283"/>
      <c r="AN167" s="283"/>
    </row>
    <row r="168" spans="1:40" x14ac:dyDescent="0.3">
      <c r="A168" s="847"/>
      <c r="B168" s="334" t="s">
        <v>1064</v>
      </c>
      <c r="C168" s="149">
        <f>'Inputs and eligible population'!G109</f>
        <v>0.18</v>
      </c>
      <c r="D168" s="128">
        <f>Summary!C$16*'Capacity (local prices)'!$C168*'Inputs and eligible population'!$E$51</f>
        <v>0</v>
      </c>
      <c r="E168" s="128">
        <f>Summary!D$16*'Capacity (local prices)'!$C168*'Inputs and eligible population'!$E$51</f>
        <v>0</v>
      </c>
      <c r="F168" s="128">
        <f>Summary!E$16*'Capacity (local prices)'!$C168*'Inputs and eligible population'!$E$51</f>
        <v>0</v>
      </c>
      <c r="G168" s="128">
        <f>Summary!F$16*'Capacity (local prices)'!$C168*'Inputs and eligible population'!$E$51</f>
        <v>0</v>
      </c>
      <c r="H168" s="128">
        <f>Summary!G$16*'Capacity (local prices)'!$C168*'Inputs and eligible population'!$E$51</f>
        <v>0</v>
      </c>
      <c r="I168" s="128">
        <f>Summary!H$16*'Capacity (local prices)'!$C168*'Inputs and eligible population'!$E$51</f>
        <v>0</v>
      </c>
      <c r="J168" s="845"/>
      <c r="K168" s="544">
        <f>'Inputs and eligible population'!$N$110*'Inputs and eligible population'!G$110/60</f>
        <v>40.36</v>
      </c>
      <c r="L168" s="546">
        <f t="shared" ref="L168:L177" si="167">$K168/1000*D168</f>
        <v>0</v>
      </c>
      <c r="M168" s="546">
        <f t="shared" si="162"/>
        <v>0</v>
      </c>
      <c r="N168" s="546">
        <f t="shared" si="163"/>
        <v>0</v>
      </c>
      <c r="O168" s="546">
        <f t="shared" si="164"/>
        <v>0</v>
      </c>
      <c r="P168" s="546">
        <f t="shared" si="165"/>
        <v>0</v>
      </c>
      <c r="Q168" s="546">
        <f t="shared" si="166"/>
        <v>0</v>
      </c>
      <c r="R168" s="133"/>
      <c r="S168" s="133"/>
      <c r="T168" s="133"/>
      <c r="U168" s="133"/>
      <c r="V168" s="133"/>
      <c r="W168" s="133"/>
      <c r="X168" s="133"/>
      <c r="Y168" s="133"/>
      <c r="Z168" s="133"/>
      <c r="AJ168" s="283"/>
      <c r="AK168" s="283"/>
      <c r="AL168" s="283"/>
      <c r="AM168" s="283"/>
      <c r="AN168" s="283"/>
    </row>
    <row r="169" spans="1:40" x14ac:dyDescent="0.3">
      <c r="A169" s="847"/>
      <c r="B169" s="334" t="s">
        <v>1162</v>
      </c>
      <c r="C169" s="149">
        <f>'Inputs and eligible population'!$H$109</f>
        <v>0</v>
      </c>
      <c r="D169" s="128">
        <f>'Inputs and eligible population'!$E$52*'Inputs and eligible population'!$L$84*'Capacity (local prices)'!$C$33</f>
        <v>0</v>
      </c>
      <c r="E169" s="128">
        <f>'Inputs and eligible population'!$E$52*'Inputs and eligible population'!$M$84*'Capacity (local prices)'!$C169</f>
        <v>0</v>
      </c>
      <c r="F169" s="128">
        <f>'Inputs and eligible population'!$E$52*'Inputs and eligible population'!$N$84*'Capacity (local prices)'!$C169</f>
        <v>0</v>
      </c>
      <c r="G169" s="128">
        <f>'Inputs and eligible population'!$E$52*'Inputs and eligible population'!$O$84*'Capacity (local prices)'!$C169</f>
        <v>0</v>
      </c>
      <c r="H169" s="128">
        <f>'Inputs and eligible population'!$E$52*'Inputs and eligible population'!$P$84*'Capacity (local prices)'!$C169</f>
        <v>0</v>
      </c>
      <c r="I169" s="128">
        <f>'Inputs and eligible population'!$E$52*'Inputs and eligible population'!$Q$84*'Capacity (local prices)'!$C169</f>
        <v>0</v>
      </c>
      <c r="J169" s="845"/>
      <c r="K169" s="544">
        <f>'Inputs and eligible population'!$N$110*'Inputs and eligible population'!H$110/60</f>
        <v>40.36</v>
      </c>
      <c r="L169" s="546">
        <f t="shared" si="167"/>
        <v>0</v>
      </c>
      <c r="M169" s="546">
        <f t="shared" si="162"/>
        <v>0</v>
      </c>
      <c r="N169" s="546">
        <f t="shared" si="163"/>
        <v>0</v>
      </c>
      <c r="O169" s="546">
        <f t="shared" si="164"/>
        <v>0</v>
      </c>
      <c r="P169" s="546">
        <f t="shared" si="165"/>
        <v>0</v>
      </c>
      <c r="Q169" s="546">
        <f t="shared" si="166"/>
        <v>0</v>
      </c>
      <c r="R169" s="133"/>
      <c r="S169" s="133"/>
      <c r="T169" s="133"/>
      <c r="U169" s="133"/>
      <c r="V169" s="133"/>
      <c r="W169" s="133"/>
      <c r="X169" s="133"/>
      <c r="Y169" s="133"/>
      <c r="Z169" s="133"/>
      <c r="AJ169" s="283"/>
      <c r="AK169" s="283"/>
      <c r="AL169" s="283"/>
      <c r="AM169" s="283"/>
      <c r="AN169" s="283"/>
    </row>
    <row r="170" spans="1:40" x14ac:dyDescent="0.3">
      <c r="A170" s="847"/>
      <c r="B170" s="334" t="s">
        <v>1163</v>
      </c>
      <c r="C170" s="149">
        <f>'Inputs and eligible population'!$H$109</f>
        <v>0</v>
      </c>
      <c r="D170" s="128">
        <f>'Inputs and eligible population'!$F$52*'Inputs and eligible population'!$L$84*'Capacity (local prices)'!$C170</f>
        <v>0</v>
      </c>
      <c r="E170" s="128">
        <f>'Inputs and eligible population'!$F$52*'Inputs and eligible population'!$L$84*'Capacity (local prices)'!$C170</f>
        <v>0</v>
      </c>
      <c r="F170" s="128">
        <f>'Inputs and eligible population'!$F$52*'Inputs and eligible population'!$M$84*'Capacity (local prices)'!$C170</f>
        <v>0</v>
      </c>
      <c r="G170" s="128">
        <f>'Inputs and eligible population'!$F$52*'Inputs and eligible population'!$N$84*'Capacity (local prices)'!$C170</f>
        <v>0</v>
      </c>
      <c r="H170" s="128">
        <f>'Inputs and eligible population'!$F$52*'Inputs and eligible population'!$O$84*'Capacity (local prices)'!$C170</f>
        <v>0</v>
      </c>
      <c r="I170" s="128">
        <f>'Inputs and eligible population'!$F$52*'Inputs and eligible population'!$P$84*'Capacity (local prices)'!$C170</f>
        <v>0</v>
      </c>
      <c r="J170" s="845"/>
      <c r="K170" s="544">
        <v>40.36</v>
      </c>
      <c r="L170" s="546">
        <f t="shared" si="167"/>
        <v>0</v>
      </c>
      <c r="M170" s="546">
        <f t="shared" si="162"/>
        <v>0</v>
      </c>
      <c r="N170" s="546">
        <f t="shared" si="163"/>
        <v>0</v>
      </c>
      <c r="O170" s="546">
        <f t="shared" si="164"/>
        <v>0</v>
      </c>
      <c r="P170" s="546">
        <f t="shared" si="165"/>
        <v>0</v>
      </c>
      <c r="Q170" s="546">
        <f t="shared" si="166"/>
        <v>0</v>
      </c>
      <c r="R170" s="133"/>
      <c r="S170" s="133"/>
      <c r="T170" s="133"/>
      <c r="U170" s="133"/>
      <c r="V170" s="133"/>
      <c r="W170" s="133"/>
      <c r="X170" s="133"/>
      <c r="Y170" s="133"/>
      <c r="Z170" s="133"/>
      <c r="AJ170" s="283"/>
      <c r="AK170" s="283"/>
      <c r="AL170" s="283"/>
      <c r="AM170" s="283"/>
      <c r="AN170" s="283"/>
    </row>
    <row r="171" spans="1:40" x14ac:dyDescent="0.3">
      <c r="A171" s="847"/>
      <c r="B171" s="334" t="s">
        <v>1164</v>
      </c>
      <c r="C171" s="149">
        <f>'Inputs and eligible population'!$H$109</f>
        <v>0</v>
      </c>
      <c r="D171" s="128">
        <f>'Inputs and eligible population'!$G$52*'Inputs and eligible population'!$L$84*'Capacity (local prices)'!$C171</f>
        <v>0</v>
      </c>
      <c r="E171" s="128">
        <f>'Inputs and eligible population'!$G$52*'Inputs and eligible population'!$L$84*'Capacity (local prices)'!$C171</f>
        <v>0</v>
      </c>
      <c r="F171" s="128">
        <f>'Inputs and eligible population'!$G$52*'Inputs and eligible population'!$L$84*'Capacity (local prices)'!$C171</f>
        <v>0</v>
      </c>
      <c r="G171" s="128">
        <f>'Inputs and eligible population'!$G$52*'Inputs and eligible population'!$M$84*'Capacity (local prices)'!$C171</f>
        <v>0</v>
      </c>
      <c r="H171" s="128">
        <f>'Inputs and eligible population'!$G$52*'Inputs and eligible population'!$N$84*'Capacity (local prices)'!$C171</f>
        <v>0</v>
      </c>
      <c r="I171" s="128">
        <f>'Inputs and eligible population'!$G$52*'Inputs and eligible population'!$O$84*'Capacity (local prices)'!$C171</f>
        <v>0</v>
      </c>
      <c r="J171" s="845"/>
      <c r="K171" s="544">
        <v>40.36</v>
      </c>
      <c r="L171" s="546">
        <f t="shared" si="167"/>
        <v>0</v>
      </c>
      <c r="M171" s="546">
        <f t="shared" si="162"/>
        <v>0</v>
      </c>
      <c r="N171" s="546">
        <f t="shared" si="163"/>
        <v>0</v>
      </c>
      <c r="O171" s="546">
        <f t="shared" si="164"/>
        <v>0</v>
      </c>
      <c r="P171" s="546">
        <f t="shared" si="165"/>
        <v>0</v>
      </c>
      <c r="Q171" s="546">
        <f t="shared" si="166"/>
        <v>0</v>
      </c>
      <c r="R171" s="133"/>
      <c r="S171" s="133"/>
      <c r="T171" s="133"/>
      <c r="U171" s="133"/>
      <c r="V171" s="133"/>
      <c r="W171" s="133"/>
      <c r="X171" s="133"/>
      <c r="Y171" s="133"/>
      <c r="Z171" s="133"/>
      <c r="AJ171" s="283"/>
      <c r="AK171" s="283"/>
      <c r="AL171" s="283"/>
      <c r="AM171" s="283"/>
      <c r="AN171" s="283"/>
    </row>
    <row r="172" spans="1:40" x14ac:dyDescent="0.3">
      <c r="A172" s="847"/>
      <c r="B172" s="334" t="s">
        <v>1066</v>
      </c>
      <c r="C172" s="846">
        <f>'Inputs and eligible population'!I109</f>
        <v>1.0900000000000001</v>
      </c>
      <c r="D172" s="128">
        <f>'Financial impact (cash)'!D$15*$C172*'Inputs and eligible population'!$E$53</f>
        <v>0</v>
      </c>
      <c r="E172" s="128">
        <f>'Financial impact (cash)'!E$15*$C172*'Inputs and eligible population'!$E$53</f>
        <v>0</v>
      </c>
      <c r="F172" s="128">
        <f>'Financial impact (cash)'!F$15*$C172*'Inputs and eligible population'!$E$53</f>
        <v>0</v>
      </c>
      <c r="G172" s="128">
        <f>'Financial impact (cash)'!G$15*$C172*'Inputs and eligible population'!$E$53</f>
        <v>0</v>
      </c>
      <c r="H172" s="128">
        <f>'Financial impact (cash)'!H$15*$C172*'Inputs and eligible population'!$E$53</f>
        <v>0</v>
      </c>
      <c r="I172" s="128">
        <f>'Financial impact (cash)'!I$15*$C172*'Inputs and eligible population'!$E$53</f>
        <v>0</v>
      </c>
      <c r="J172" s="845"/>
      <c r="K172" s="544">
        <f>'Inputs and eligible population'!$N$110*'Inputs and eligible population'!I$110/60</f>
        <v>40.36</v>
      </c>
      <c r="L172" s="546">
        <f t="shared" si="167"/>
        <v>0</v>
      </c>
      <c r="M172" s="546">
        <f t="shared" si="162"/>
        <v>0</v>
      </c>
      <c r="N172" s="546">
        <f t="shared" si="163"/>
        <v>0</v>
      </c>
      <c r="O172" s="546">
        <f t="shared" si="164"/>
        <v>0</v>
      </c>
      <c r="P172" s="546">
        <f t="shared" si="165"/>
        <v>0</v>
      </c>
      <c r="Q172" s="546">
        <f t="shared" si="166"/>
        <v>0</v>
      </c>
      <c r="R172" s="133"/>
      <c r="S172" s="133"/>
      <c r="T172" s="133"/>
      <c r="U172" s="133"/>
      <c r="V172" s="133"/>
      <c r="W172" s="133"/>
      <c r="X172" s="133"/>
      <c r="Y172" s="133"/>
      <c r="Z172" s="133"/>
      <c r="AJ172" s="283"/>
      <c r="AK172" s="283"/>
      <c r="AL172" s="283"/>
      <c r="AM172" s="283"/>
      <c r="AN172" s="283"/>
    </row>
    <row r="173" spans="1:40" x14ac:dyDescent="0.3">
      <c r="A173" s="847"/>
      <c r="B173" s="334" t="s">
        <v>1067</v>
      </c>
      <c r="C173" s="149">
        <f>'Inputs and eligible population'!J109</f>
        <v>0.18</v>
      </c>
      <c r="D173" s="128">
        <f>'Financial impact (cash)'!D$15*$C173*'Inputs and eligible population'!$E$54</f>
        <v>0</v>
      </c>
      <c r="E173" s="128">
        <f>'Financial impact (cash)'!E$15*$C173*'Inputs and eligible population'!$E$54</f>
        <v>0</v>
      </c>
      <c r="F173" s="128">
        <f>'Financial impact (cash)'!F$15*$C173*'Inputs and eligible population'!$E$54</f>
        <v>0</v>
      </c>
      <c r="G173" s="128">
        <f>'Financial impact (cash)'!G$15*$C173*'Inputs and eligible population'!$E$54</f>
        <v>0</v>
      </c>
      <c r="H173" s="128">
        <f>'Financial impact (cash)'!H$15*$C173*'Inputs and eligible population'!$E$54</f>
        <v>0</v>
      </c>
      <c r="I173" s="128">
        <f>'Financial impact (cash)'!I$15*$C173*'Inputs and eligible population'!$E$54</f>
        <v>0</v>
      </c>
      <c r="J173" s="845"/>
      <c r="K173" s="544">
        <f>'Inputs and eligible population'!$N$110*'Inputs and eligible population'!J$110/60</f>
        <v>40.36</v>
      </c>
      <c r="L173" s="546">
        <f t="shared" si="167"/>
        <v>0</v>
      </c>
      <c r="M173" s="546">
        <f t="shared" si="162"/>
        <v>0</v>
      </c>
      <c r="N173" s="546">
        <f t="shared" si="163"/>
        <v>0</v>
      </c>
      <c r="O173" s="546">
        <f t="shared" si="164"/>
        <v>0</v>
      </c>
      <c r="P173" s="546">
        <f t="shared" si="165"/>
        <v>0</v>
      </c>
      <c r="Q173" s="546">
        <f t="shared" si="166"/>
        <v>0</v>
      </c>
      <c r="R173" s="133"/>
      <c r="S173" s="133"/>
      <c r="T173" s="133"/>
      <c r="U173" s="133"/>
      <c r="V173" s="133"/>
      <c r="W173" s="133"/>
      <c r="X173" s="133"/>
      <c r="Y173" s="133"/>
      <c r="Z173" s="133"/>
      <c r="AJ173" s="283"/>
      <c r="AK173" s="283"/>
      <c r="AL173" s="283"/>
      <c r="AM173" s="283"/>
      <c r="AN173" s="283"/>
    </row>
    <row r="174" spans="1:40" x14ac:dyDescent="0.3">
      <c r="A174" s="847"/>
      <c r="B174" s="334" t="s">
        <v>1165</v>
      </c>
      <c r="C174" s="149">
        <f>'Inputs and eligible population'!K$109</f>
        <v>0</v>
      </c>
      <c r="D174" s="128">
        <f>Summary!$C$17*'Capacity (local prices)'!$C174*'Inputs and eligible population'!$E$55</f>
        <v>0</v>
      </c>
      <c r="E174" s="128">
        <f>(Summary!$D$17*'Capacity (local prices)'!$C174*'Inputs and eligible population'!$E$55)</f>
        <v>0</v>
      </c>
      <c r="F174" s="128">
        <f>(Summary!$E$17*'Capacity (local prices)'!$C174*'Inputs and eligible population'!$E$55)</f>
        <v>0</v>
      </c>
      <c r="G174" s="128">
        <f>(Summary!$F$17*'Capacity (local prices)'!$C174*'Inputs and eligible population'!$E$55)</f>
        <v>0</v>
      </c>
      <c r="H174" s="128">
        <f>(Summary!$G$17*'Capacity (local prices)'!$C174*'Inputs and eligible population'!$E$55)</f>
        <v>0</v>
      </c>
      <c r="I174" s="128">
        <f>(Summary!$H$17*'Capacity (local prices)'!$C174*'Inputs and eligible population'!$E$55)</f>
        <v>0</v>
      </c>
      <c r="J174" s="845"/>
      <c r="K174" s="544">
        <f>'Inputs and eligible population'!$N$110*'Inputs and eligible population'!K$110/60</f>
        <v>40.36</v>
      </c>
      <c r="L174" s="546">
        <f t="shared" si="167"/>
        <v>0</v>
      </c>
      <c r="M174" s="546">
        <f t="shared" si="162"/>
        <v>0</v>
      </c>
      <c r="N174" s="546">
        <f t="shared" si="163"/>
        <v>0</v>
      </c>
      <c r="O174" s="546">
        <f t="shared" si="164"/>
        <v>0</v>
      </c>
      <c r="P174" s="546">
        <f t="shared" si="165"/>
        <v>0</v>
      </c>
      <c r="Q174" s="546">
        <f t="shared" si="166"/>
        <v>0</v>
      </c>
      <c r="R174" s="133"/>
      <c r="S174" s="133"/>
      <c r="T174" s="133"/>
      <c r="U174" s="133"/>
      <c r="V174" s="133"/>
      <c r="W174" s="133"/>
      <c r="X174" s="133"/>
      <c r="Y174" s="133"/>
      <c r="Z174" s="133"/>
      <c r="AJ174" s="283"/>
      <c r="AK174" s="283"/>
      <c r="AL174" s="283"/>
      <c r="AM174" s="283"/>
      <c r="AN174" s="283"/>
    </row>
    <row r="175" spans="1:40" x14ac:dyDescent="0.3">
      <c r="A175" s="847"/>
      <c r="B175" s="334" t="s">
        <v>1166</v>
      </c>
      <c r="C175" s="149">
        <f>'Inputs and eligible population'!K$109</f>
        <v>0</v>
      </c>
      <c r="D175" s="128">
        <f>Summary!$C$17*'Capacity (local prices)'!$C174*'Inputs and eligible population'!$F$55</f>
        <v>0</v>
      </c>
      <c r="E175" s="128">
        <f>Summary!$C$17*'Capacity (local prices)'!$C174*'Inputs and eligible population'!$F$55</f>
        <v>0</v>
      </c>
      <c r="F175" s="128">
        <f>(Summary!$D$17*'Capacity (local prices)'!$C174*'Inputs and eligible population'!$F$55)</f>
        <v>0</v>
      </c>
      <c r="G175" s="128">
        <f>(Summary!$E$17*'Capacity (local prices)'!$C174*'Inputs and eligible population'!$F$55)</f>
        <v>0</v>
      </c>
      <c r="H175" s="128">
        <f>(Summary!$F$17*'Capacity (local prices)'!$C174*'Inputs and eligible population'!$F$55)</f>
        <v>0</v>
      </c>
      <c r="I175" s="128">
        <f>(Summary!$G$17*'Capacity (local prices)'!$C174*'Inputs and eligible population'!$F$55)</f>
        <v>0</v>
      </c>
      <c r="J175" s="845"/>
      <c r="K175" s="544">
        <f>'Inputs and eligible population'!$N$110*'Inputs and eligible population'!K$110/60</f>
        <v>40.36</v>
      </c>
      <c r="L175" s="546">
        <f t="shared" si="167"/>
        <v>0</v>
      </c>
      <c r="M175" s="546">
        <f t="shared" si="162"/>
        <v>0</v>
      </c>
      <c r="N175" s="546">
        <f t="shared" si="163"/>
        <v>0</v>
      </c>
      <c r="O175" s="546">
        <f t="shared" si="164"/>
        <v>0</v>
      </c>
      <c r="P175" s="546">
        <f t="shared" si="165"/>
        <v>0</v>
      </c>
      <c r="Q175" s="546">
        <f t="shared" si="166"/>
        <v>0</v>
      </c>
      <c r="R175" s="133"/>
      <c r="S175" s="133"/>
      <c r="T175" s="133"/>
      <c r="U175" s="133"/>
      <c r="V175" s="133"/>
      <c r="W175" s="133"/>
      <c r="X175" s="133"/>
      <c r="Y175" s="133"/>
      <c r="Z175" s="133"/>
      <c r="AJ175" s="283"/>
      <c r="AK175" s="283"/>
      <c r="AL175" s="283"/>
      <c r="AM175" s="283"/>
      <c r="AN175" s="283"/>
    </row>
    <row r="176" spans="1:40" x14ac:dyDescent="0.3">
      <c r="A176" s="847"/>
      <c r="B176" s="334" t="s">
        <v>1167</v>
      </c>
      <c r="C176" s="149">
        <f>'Inputs and eligible population'!K$109</f>
        <v>0</v>
      </c>
      <c r="D176" s="128">
        <f>Summary!$C$17*'Capacity (local prices)'!$C174*'Inputs and eligible population'!$G$55</f>
        <v>0</v>
      </c>
      <c r="E176" s="128">
        <f>Summary!$C$17*'Capacity (local prices)'!$C174*'Inputs and eligible population'!$G$55</f>
        <v>0</v>
      </c>
      <c r="F176" s="128">
        <f>Summary!$C$17*'Capacity (local prices)'!$C174*'Inputs and eligible population'!$G$55</f>
        <v>0</v>
      </c>
      <c r="G176" s="128">
        <f>(Summary!$D$17*'Capacity (local prices)'!$C174*'Inputs and eligible population'!$G$55)</f>
        <v>0</v>
      </c>
      <c r="H176" s="128">
        <f>(Summary!$E$17*'Capacity (local prices)'!$C174*'Inputs and eligible population'!$G$55)</f>
        <v>0</v>
      </c>
      <c r="I176" s="128">
        <f>(Summary!$F$17*'Capacity (local prices)'!$C174*'Inputs and eligible population'!$G$55)</f>
        <v>0</v>
      </c>
      <c r="J176" s="845"/>
      <c r="K176" s="544">
        <f>'Inputs and eligible population'!$N$110*'Inputs and eligible population'!K$110/60</f>
        <v>40.36</v>
      </c>
      <c r="L176" s="546">
        <f t="shared" si="167"/>
        <v>0</v>
      </c>
      <c r="M176" s="546">
        <f t="shared" si="162"/>
        <v>0</v>
      </c>
      <c r="N176" s="546">
        <f t="shared" si="163"/>
        <v>0</v>
      </c>
      <c r="O176" s="546">
        <f t="shared" si="164"/>
        <v>0</v>
      </c>
      <c r="P176" s="546">
        <f t="shared" si="165"/>
        <v>0</v>
      </c>
      <c r="Q176" s="546">
        <f t="shared" si="166"/>
        <v>0</v>
      </c>
      <c r="R176" s="133"/>
      <c r="S176" s="133"/>
      <c r="T176" s="133"/>
      <c r="U176" s="133"/>
      <c r="V176" s="133"/>
      <c r="W176" s="133"/>
      <c r="X176" s="133"/>
      <c r="Y176" s="133"/>
      <c r="Z176" s="133"/>
      <c r="AJ176" s="283"/>
      <c r="AK176" s="283"/>
      <c r="AL176" s="283"/>
      <c r="AM176" s="283"/>
      <c r="AN176" s="283"/>
    </row>
    <row r="177" spans="1:40" x14ac:dyDescent="0.3">
      <c r="A177" s="847"/>
      <c r="B177" s="832" t="s">
        <v>1069</v>
      </c>
      <c r="C177" s="149">
        <f>'Inputs and eligible population'!L109</f>
        <v>0</v>
      </c>
      <c r="D177" s="128">
        <f>Summary!C$18*'Capacity (local prices)'!$C177*'Inputs and eligible population'!$E$56</f>
        <v>0</v>
      </c>
      <c r="E177" s="128">
        <f>Summary!D$18*'Capacity (local prices)'!$C177*'Inputs and eligible population'!$E$56</f>
        <v>0</v>
      </c>
      <c r="F177" s="128">
        <f>Summary!E$18*'Capacity (local prices)'!$C177*'Inputs and eligible population'!$E$56</f>
        <v>0</v>
      </c>
      <c r="G177" s="128">
        <f>Summary!F$18*'Capacity (local prices)'!$C177*'Inputs and eligible population'!$E$56</f>
        <v>0</v>
      </c>
      <c r="H177" s="128">
        <f>Summary!G$18*'Capacity (local prices)'!$C177*'Inputs and eligible population'!$E$56</f>
        <v>0</v>
      </c>
      <c r="I177" s="128">
        <f>Summary!H$18*'Capacity (local prices)'!$C177*'Inputs and eligible population'!$E$56</f>
        <v>0</v>
      </c>
      <c r="J177" s="845"/>
      <c r="K177" s="544">
        <f>'Inputs and eligible population'!$N$110*'Inputs and eligible population'!L$110/60</f>
        <v>40.36</v>
      </c>
      <c r="L177" s="546">
        <f t="shared" si="167"/>
        <v>0</v>
      </c>
      <c r="M177" s="546">
        <f t="shared" si="162"/>
        <v>0</v>
      </c>
      <c r="N177" s="546">
        <f t="shared" si="163"/>
        <v>0</v>
      </c>
      <c r="O177" s="546">
        <f t="shared" si="164"/>
        <v>0</v>
      </c>
      <c r="P177" s="546">
        <f t="shared" si="165"/>
        <v>0</v>
      </c>
      <c r="Q177" s="546">
        <f t="shared" si="166"/>
        <v>0</v>
      </c>
      <c r="R177" s="133"/>
      <c r="S177" s="133"/>
      <c r="T177" s="133"/>
      <c r="U177" s="133"/>
      <c r="V177" s="133"/>
      <c r="W177" s="133"/>
      <c r="X177" s="133"/>
      <c r="Y177" s="133"/>
      <c r="Z177" s="133"/>
      <c r="AJ177" s="283"/>
      <c r="AK177" s="283"/>
      <c r="AL177" s="283"/>
      <c r="AM177" s="283"/>
      <c r="AN177" s="283"/>
    </row>
    <row r="178" spans="1:40" x14ac:dyDescent="0.3">
      <c r="A178" s="847"/>
      <c r="B178" s="504"/>
      <c r="C178" s="280"/>
      <c r="D178" s="186">
        <f>SUM(D167:D177)</f>
        <v>0</v>
      </c>
      <c r="E178" s="186">
        <f t="shared" ref="E178:I178" si="168">SUM(E167:E177)</f>
        <v>0</v>
      </c>
      <c r="F178" s="186">
        <f t="shared" si="168"/>
        <v>0</v>
      </c>
      <c r="G178" s="186">
        <f t="shared" si="168"/>
        <v>0</v>
      </c>
      <c r="H178" s="186">
        <f t="shared" si="168"/>
        <v>0</v>
      </c>
      <c r="I178" s="186">
        <f t="shared" si="168"/>
        <v>0</v>
      </c>
      <c r="J178" s="845"/>
      <c r="K178" s="221"/>
      <c r="L178" s="290">
        <f>SUM(L167:L177)</f>
        <v>0</v>
      </c>
      <c r="M178" s="290">
        <f t="shared" ref="M178:Q178" si="169">SUM(M167:M177)</f>
        <v>0</v>
      </c>
      <c r="N178" s="290">
        <f t="shared" si="169"/>
        <v>0</v>
      </c>
      <c r="O178" s="290">
        <f t="shared" si="169"/>
        <v>0</v>
      </c>
      <c r="P178" s="290">
        <f t="shared" si="169"/>
        <v>0</v>
      </c>
      <c r="Q178" s="290">
        <f t="shared" si="169"/>
        <v>0</v>
      </c>
      <c r="R178" s="133"/>
      <c r="S178" s="133"/>
      <c r="T178" s="133"/>
      <c r="U178" s="133"/>
      <c r="V178" s="133"/>
      <c r="W178" s="133"/>
      <c r="X178" s="133"/>
      <c r="Y178" s="133"/>
      <c r="Z178" s="133"/>
      <c r="AJ178" s="283"/>
      <c r="AK178" s="283"/>
      <c r="AL178" s="283"/>
      <c r="AM178" s="283"/>
      <c r="AN178" s="283"/>
    </row>
    <row r="179" spans="1:40" x14ac:dyDescent="0.3">
      <c r="A179" s="847"/>
      <c r="B179" s="255"/>
      <c r="C179" s="255"/>
      <c r="D179" s="282" t="s">
        <v>841</v>
      </c>
      <c r="E179" s="186">
        <f>E178-$D$178</f>
        <v>0</v>
      </c>
      <c r="F179" s="186">
        <f t="shared" ref="F179:I179" si="170">F178-$D$178</f>
        <v>0</v>
      </c>
      <c r="G179" s="186">
        <f t="shared" si="170"/>
        <v>0</v>
      </c>
      <c r="H179" s="186">
        <f t="shared" si="170"/>
        <v>0</v>
      </c>
      <c r="I179" s="186">
        <f t="shared" si="170"/>
        <v>0</v>
      </c>
      <c r="J179" s="845"/>
      <c r="K179" s="221"/>
      <c r="L179" s="221"/>
      <c r="M179" s="290">
        <f>M178-$L178</f>
        <v>0</v>
      </c>
      <c r="N179" s="290">
        <f t="shared" ref="N179:Q179" si="171">N178-$L178</f>
        <v>0</v>
      </c>
      <c r="O179" s="290">
        <f t="shared" si="171"/>
        <v>0</v>
      </c>
      <c r="P179" s="290">
        <f t="shared" si="171"/>
        <v>0</v>
      </c>
      <c r="Q179" s="290">
        <f t="shared" si="171"/>
        <v>0</v>
      </c>
      <c r="R179" s="133"/>
      <c r="S179" s="133"/>
      <c r="T179" s="133"/>
      <c r="U179" s="133"/>
      <c r="V179" s="133"/>
      <c r="W179" s="133"/>
      <c r="X179" s="133"/>
      <c r="Y179" s="133"/>
      <c r="Z179" s="133"/>
      <c r="AJ179" s="283"/>
      <c r="AK179" s="283"/>
      <c r="AL179" s="283"/>
      <c r="AM179" s="283"/>
      <c r="AN179" s="283"/>
    </row>
    <row r="180" spans="1:40" x14ac:dyDescent="0.3">
      <c r="A180" s="287"/>
      <c r="B180" s="311"/>
      <c r="C180" s="221"/>
      <c r="D180" s="221"/>
      <c r="E180" s="221"/>
      <c r="F180" s="221"/>
      <c r="G180" s="221"/>
      <c r="H180" s="221"/>
      <c r="I180" s="221"/>
      <c r="J180" s="221"/>
      <c r="K180" s="221"/>
      <c r="L180" s="221"/>
      <c r="M180" s="221"/>
      <c r="N180" s="221"/>
      <c r="O180" s="221"/>
      <c r="P180" s="221"/>
      <c r="Q180" s="221"/>
      <c r="V180" s="133"/>
    </row>
    <row r="181" spans="1:40" x14ac:dyDescent="0.3">
      <c r="A181" s="287"/>
      <c r="B181" s="310" t="s">
        <v>848</v>
      </c>
      <c r="C181" s="298"/>
      <c r="D181" s="299"/>
      <c r="E181" s="300"/>
      <c r="F181" s="301"/>
      <c r="G181" s="301"/>
      <c r="H181" s="301"/>
      <c r="I181" s="414"/>
      <c r="J181" s="287"/>
      <c r="K181" s="287"/>
      <c r="L181" s="287"/>
      <c r="M181" s="287"/>
      <c r="N181" s="287"/>
      <c r="O181" s="287"/>
      <c r="P181" s="287"/>
      <c r="Q181" s="221"/>
      <c r="R181" s="133"/>
      <c r="S181" s="133"/>
      <c r="T181" s="133"/>
      <c r="U181" s="133"/>
      <c r="V181" s="133"/>
      <c r="W181" s="133"/>
      <c r="X181" s="133"/>
      <c r="Y181" s="133"/>
      <c r="Z181" s="133"/>
      <c r="AJ181" s="283"/>
      <c r="AK181" s="283"/>
      <c r="AL181" s="283"/>
      <c r="AM181" s="283"/>
      <c r="AN181" s="283"/>
    </row>
    <row r="182" spans="1:40" x14ac:dyDescent="0.3">
      <c r="A182" s="287"/>
      <c r="B182" s="381" t="s">
        <v>1082</v>
      </c>
      <c r="C182" s="382"/>
      <c r="D182" s="382"/>
      <c r="E182" s="382"/>
      <c r="F182" s="382"/>
      <c r="G182" s="382"/>
      <c r="H182" s="382"/>
      <c r="I182" s="220"/>
      <c r="J182" s="221"/>
      <c r="K182" s="221"/>
      <c r="L182" s="410"/>
      <c r="M182" s="410"/>
      <c r="N182" s="410"/>
      <c r="O182" s="410"/>
      <c r="P182" s="410"/>
      <c r="Q182" s="410"/>
      <c r="R182" s="133"/>
      <c r="S182" s="133"/>
      <c r="T182" s="133"/>
      <c r="U182" s="133"/>
      <c r="V182" s="133"/>
      <c r="W182" s="133"/>
      <c r="X182" s="133"/>
      <c r="Y182" s="133"/>
      <c r="Z182" s="133"/>
      <c r="AJ182" s="283"/>
      <c r="AK182" s="283"/>
      <c r="AL182" s="283"/>
      <c r="AM182" s="283"/>
      <c r="AN182" s="283"/>
    </row>
    <row r="183" spans="1:40" ht="43.2" x14ac:dyDescent="0.3">
      <c r="A183" s="847"/>
      <c r="B183" s="306" t="s">
        <v>766</v>
      </c>
      <c r="C183" s="166" t="s">
        <v>1099</v>
      </c>
      <c r="D183" s="402" t="s">
        <v>831</v>
      </c>
      <c r="E183" s="254" t="s">
        <v>676</v>
      </c>
      <c r="F183" s="254" t="s">
        <v>677</v>
      </c>
      <c r="G183" s="165" t="s">
        <v>803</v>
      </c>
      <c r="H183" s="165" t="s">
        <v>804</v>
      </c>
      <c r="I183" s="254" t="s">
        <v>805</v>
      </c>
      <c r="J183" s="845"/>
      <c r="K183" s="531" t="s">
        <v>1100</v>
      </c>
      <c r="L183" s="402" t="s">
        <v>831</v>
      </c>
      <c r="M183" s="521" t="s">
        <v>676</v>
      </c>
      <c r="N183" s="521" t="s">
        <v>677</v>
      </c>
      <c r="O183" s="403" t="s">
        <v>803</v>
      </c>
      <c r="P183" s="403" t="s">
        <v>804</v>
      </c>
      <c r="Q183" s="521" t="s">
        <v>805</v>
      </c>
      <c r="R183" s="133"/>
      <c r="S183" s="133"/>
      <c r="T183" s="133"/>
      <c r="U183" s="133"/>
      <c r="V183" s="133"/>
      <c r="W183" s="133"/>
      <c r="X183" s="133"/>
      <c r="Y183" s="133"/>
      <c r="Z183" s="133"/>
      <c r="AJ183" s="283"/>
      <c r="AK183" s="283"/>
      <c r="AL183" s="283"/>
      <c r="AM183" s="283"/>
      <c r="AN183" s="283"/>
    </row>
    <row r="184" spans="1:40" x14ac:dyDescent="0.3">
      <c r="A184" s="847"/>
      <c r="B184" s="334" t="s">
        <v>1065</v>
      </c>
      <c r="C184" s="846">
        <f>'Inputs and eligible population'!F111</f>
        <v>0.46</v>
      </c>
      <c r="D184" s="128">
        <f>Summary!$C$16*'Capacity (local prices)'!$C184*'Inputs and eligible population'!$E$50</f>
        <v>0</v>
      </c>
      <c r="E184" s="128">
        <f>Summary!$D$16*'Capacity (local prices)'!$C184*'Inputs and eligible population'!$E$50</f>
        <v>0</v>
      </c>
      <c r="F184" s="128">
        <f>Summary!E$16*'Capacity (local prices)'!$C184*'Inputs and eligible population'!$E$50</f>
        <v>0</v>
      </c>
      <c r="G184" s="128">
        <f>Summary!F$16*'Capacity (local prices)'!$C184*'Inputs and eligible population'!$E$50</f>
        <v>0</v>
      </c>
      <c r="H184" s="128">
        <f>Summary!G$16*'Capacity (local prices)'!$C184*'Inputs and eligible population'!$E$50</f>
        <v>0</v>
      </c>
      <c r="I184" s="128">
        <f>Summary!H$16*'Capacity (local prices)'!$C184*'Inputs and eligible population'!$E$50</f>
        <v>0</v>
      </c>
      <c r="J184" s="845"/>
      <c r="K184" s="544">
        <f>'Inputs and eligible population'!$N$112*'Inputs and eligible population'!F$112/60</f>
        <v>40.36</v>
      </c>
      <c r="L184" s="546">
        <f>$K184/1000*D184</f>
        <v>0</v>
      </c>
      <c r="M184" s="546">
        <f t="shared" ref="M184:M194" si="172">$K184/1000*E184</f>
        <v>0</v>
      </c>
      <c r="N184" s="546">
        <f t="shared" ref="N184:N194" si="173">$K184/1000*F184</f>
        <v>0</v>
      </c>
      <c r="O184" s="546">
        <f t="shared" ref="O184:O194" si="174">$K184/1000*G184</f>
        <v>0</v>
      </c>
      <c r="P184" s="546">
        <f t="shared" ref="P184:P194" si="175">$K184/1000*H184</f>
        <v>0</v>
      </c>
      <c r="Q184" s="546">
        <f t="shared" ref="Q184:Q194" si="176">$K184/1000*I184</f>
        <v>0</v>
      </c>
      <c r="R184" s="133"/>
      <c r="S184" s="133"/>
      <c r="T184" s="133"/>
      <c r="U184" s="133"/>
      <c r="V184" s="133"/>
      <c r="W184" s="133"/>
      <c r="X184" s="133"/>
      <c r="Y184" s="133"/>
      <c r="Z184" s="133"/>
      <c r="AJ184" s="283"/>
      <c r="AK184" s="283"/>
      <c r="AL184" s="283"/>
      <c r="AM184" s="283"/>
      <c r="AN184" s="283"/>
    </row>
    <row r="185" spans="1:40" x14ac:dyDescent="0.3">
      <c r="A185" s="847"/>
      <c r="B185" s="334" t="s">
        <v>1064</v>
      </c>
      <c r="C185" s="149">
        <f>'Inputs and eligible population'!G111</f>
        <v>0.46</v>
      </c>
      <c r="D185" s="128">
        <f>Summary!C$16*'Capacity (local prices)'!$C185*'Inputs and eligible population'!$E$51</f>
        <v>0</v>
      </c>
      <c r="E185" s="128">
        <f>Summary!D$16*'Capacity (local prices)'!$C185*'Inputs and eligible population'!$E$51</f>
        <v>0</v>
      </c>
      <c r="F185" s="128">
        <f>Summary!E$16*'Capacity (local prices)'!$C185*'Inputs and eligible population'!$E$51</f>
        <v>0</v>
      </c>
      <c r="G185" s="128">
        <f>Summary!F$16*'Capacity (local prices)'!$C185*'Inputs and eligible population'!$E$51</f>
        <v>0</v>
      </c>
      <c r="H185" s="128">
        <f>Summary!G$16*'Capacity (local prices)'!$C185*'Inputs and eligible population'!$E$51</f>
        <v>0</v>
      </c>
      <c r="I185" s="128">
        <f>Summary!H$16*'Capacity (local prices)'!$C185*'Inputs and eligible population'!$E$51</f>
        <v>0</v>
      </c>
      <c r="J185" s="845"/>
      <c r="K185" s="544">
        <f>'Inputs and eligible population'!$N$112*'Inputs and eligible population'!G$112/60</f>
        <v>40.36</v>
      </c>
      <c r="L185" s="546">
        <f t="shared" ref="L185:L194" si="177">$K185/1000*D185</f>
        <v>0</v>
      </c>
      <c r="M185" s="546">
        <f t="shared" si="172"/>
        <v>0</v>
      </c>
      <c r="N185" s="546">
        <f t="shared" si="173"/>
        <v>0</v>
      </c>
      <c r="O185" s="546">
        <f t="shared" si="174"/>
        <v>0</v>
      </c>
      <c r="P185" s="546">
        <f t="shared" si="175"/>
        <v>0</v>
      </c>
      <c r="Q185" s="546">
        <f t="shared" si="176"/>
        <v>0</v>
      </c>
      <c r="R185" s="133"/>
      <c r="S185" s="133"/>
      <c r="T185" s="133"/>
      <c r="U185" s="133"/>
      <c r="V185" s="133"/>
      <c r="W185" s="133"/>
      <c r="X185" s="133"/>
      <c r="Y185" s="133"/>
      <c r="Z185" s="133"/>
      <c r="AJ185" s="283"/>
      <c r="AK185" s="283"/>
      <c r="AL185" s="283"/>
      <c r="AM185" s="283"/>
      <c r="AN185" s="283"/>
    </row>
    <row r="186" spans="1:40" x14ac:dyDescent="0.3">
      <c r="A186" s="847"/>
      <c r="B186" s="334" t="s">
        <v>1162</v>
      </c>
      <c r="C186" s="149">
        <f>'Inputs and eligible population'!H$111</f>
        <v>0.46</v>
      </c>
      <c r="D186" s="128">
        <f>'Inputs and eligible population'!$E$52*'Inputs and eligible population'!$L$84*'Capacity (local prices)'!$C$33</f>
        <v>0</v>
      </c>
      <c r="E186" s="128">
        <f>'Inputs and eligible population'!$E$52*'Inputs and eligible population'!$M$84*'Capacity (local prices)'!$C186</f>
        <v>0</v>
      </c>
      <c r="F186" s="128">
        <f>'Inputs and eligible population'!$E$52*'Inputs and eligible population'!$N$84*'Capacity (local prices)'!$C186</f>
        <v>0</v>
      </c>
      <c r="G186" s="128">
        <f>'Inputs and eligible population'!$E$52*'Inputs and eligible population'!$O$84*'Capacity (local prices)'!$C186</f>
        <v>0</v>
      </c>
      <c r="H186" s="128">
        <f>'Inputs and eligible population'!$E$52*'Inputs and eligible population'!$P$84*'Capacity (local prices)'!$C186</f>
        <v>0</v>
      </c>
      <c r="I186" s="128">
        <f>'Inputs and eligible population'!$E$52*'Inputs and eligible population'!$Q$84*'Capacity (local prices)'!$C186</f>
        <v>0</v>
      </c>
      <c r="J186" s="845"/>
      <c r="K186" s="544">
        <f>'Inputs and eligible population'!$N$112*'Inputs and eligible population'!H$112/60</f>
        <v>40.36</v>
      </c>
      <c r="L186" s="546">
        <f t="shared" si="177"/>
        <v>0</v>
      </c>
      <c r="M186" s="546">
        <f t="shared" si="172"/>
        <v>0</v>
      </c>
      <c r="N186" s="546">
        <f t="shared" si="173"/>
        <v>0</v>
      </c>
      <c r="O186" s="546">
        <f t="shared" si="174"/>
        <v>0</v>
      </c>
      <c r="P186" s="546">
        <f t="shared" si="175"/>
        <v>0</v>
      </c>
      <c r="Q186" s="546">
        <f t="shared" si="176"/>
        <v>0</v>
      </c>
      <c r="R186" s="133"/>
      <c r="S186" s="133"/>
      <c r="T186" s="133"/>
      <c r="U186" s="133"/>
      <c r="V186" s="133"/>
      <c r="W186" s="133"/>
      <c r="X186" s="133"/>
      <c r="Y186" s="133"/>
      <c r="Z186" s="133"/>
      <c r="AJ186" s="283"/>
      <c r="AK186" s="283"/>
      <c r="AL186" s="283"/>
      <c r="AM186" s="283"/>
      <c r="AN186" s="283"/>
    </row>
    <row r="187" spans="1:40" x14ac:dyDescent="0.3">
      <c r="A187" s="847"/>
      <c r="B187" s="334" t="s">
        <v>1163</v>
      </c>
      <c r="C187" s="149">
        <f>'Inputs and eligible population'!H$111</f>
        <v>0.46</v>
      </c>
      <c r="D187" s="128">
        <f>'Inputs and eligible population'!$F$52*'Inputs and eligible population'!$L$84*'Capacity (local prices)'!$C187</f>
        <v>0</v>
      </c>
      <c r="E187" s="128">
        <f>'Inputs and eligible population'!$F$52*'Inputs and eligible population'!$L$84*'Capacity (local prices)'!$C187</f>
        <v>0</v>
      </c>
      <c r="F187" s="128">
        <f>'Inputs and eligible population'!$F$52*'Inputs and eligible population'!$M$84*'Capacity (local prices)'!$C187</f>
        <v>0</v>
      </c>
      <c r="G187" s="128">
        <f>'Inputs and eligible population'!$F$52*'Inputs and eligible population'!$N$84*'Capacity (local prices)'!$C187</f>
        <v>0</v>
      </c>
      <c r="H187" s="128">
        <f>'Inputs and eligible population'!$F$52*'Inputs and eligible population'!$O$84*'Capacity (local prices)'!$C187</f>
        <v>0</v>
      </c>
      <c r="I187" s="128">
        <f>'Inputs and eligible population'!$F$52*'Inputs and eligible population'!$P$84*'Capacity (local prices)'!$C187</f>
        <v>0</v>
      </c>
      <c r="J187" s="845"/>
      <c r="K187" s="544">
        <f>'Inputs and eligible population'!$N$112*'Inputs and eligible population'!H$112/60</f>
        <v>40.36</v>
      </c>
      <c r="L187" s="546">
        <f t="shared" si="177"/>
        <v>0</v>
      </c>
      <c r="M187" s="546">
        <f t="shared" si="172"/>
        <v>0</v>
      </c>
      <c r="N187" s="546">
        <f t="shared" si="173"/>
        <v>0</v>
      </c>
      <c r="O187" s="546">
        <f t="shared" si="174"/>
        <v>0</v>
      </c>
      <c r="P187" s="546">
        <f t="shared" si="175"/>
        <v>0</v>
      </c>
      <c r="Q187" s="546">
        <f t="shared" si="176"/>
        <v>0</v>
      </c>
      <c r="R187" s="133"/>
      <c r="S187" s="133"/>
      <c r="T187" s="133"/>
      <c r="U187" s="133"/>
      <c r="V187" s="133"/>
      <c r="W187" s="133"/>
      <c r="X187" s="133"/>
      <c r="Y187" s="133"/>
      <c r="Z187" s="133"/>
      <c r="AJ187" s="283"/>
      <c r="AK187" s="283"/>
      <c r="AL187" s="283"/>
      <c r="AM187" s="283"/>
      <c r="AN187" s="283"/>
    </row>
    <row r="188" spans="1:40" x14ac:dyDescent="0.3">
      <c r="A188" s="847"/>
      <c r="B188" s="334" t="s">
        <v>1164</v>
      </c>
      <c r="C188" s="149">
        <f>'Inputs and eligible population'!H$111</f>
        <v>0.46</v>
      </c>
      <c r="D188" s="128">
        <f>'Inputs and eligible population'!$G$52*'Inputs and eligible population'!$L$84*'Capacity (local prices)'!$C188</f>
        <v>0</v>
      </c>
      <c r="E188" s="128">
        <f>'Inputs and eligible population'!$G$52*'Inputs and eligible population'!$L$84*'Capacity (local prices)'!$C188</f>
        <v>0</v>
      </c>
      <c r="F188" s="128">
        <f>'Inputs and eligible population'!$G$52*'Inputs and eligible population'!$L$84*'Capacity (local prices)'!$C188</f>
        <v>0</v>
      </c>
      <c r="G188" s="128">
        <f>'Inputs and eligible population'!$G$52*'Inputs and eligible population'!$M$84*'Capacity (local prices)'!$C188</f>
        <v>0</v>
      </c>
      <c r="H188" s="128">
        <f>'Inputs and eligible population'!$G$52*'Inputs and eligible population'!$N$84*'Capacity (local prices)'!$C188</f>
        <v>0</v>
      </c>
      <c r="I188" s="128">
        <f>'Inputs and eligible population'!$G$52*'Inputs and eligible population'!$O$84*'Capacity (local prices)'!$C188</f>
        <v>0</v>
      </c>
      <c r="J188" s="845"/>
      <c r="K188" s="544">
        <f>'Inputs and eligible population'!$N$112*'Inputs and eligible population'!H$112/60</f>
        <v>40.36</v>
      </c>
      <c r="L188" s="546">
        <f t="shared" si="177"/>
        <v>0</v>
      </c>
      <c r="M188" s="546">
        <f t="shared" si="172"/>
        <v>0</v>
      </c>
      <c r="N188" s="546">
        <f t="shared" si="173"/>
        <v>0</v>
      </c>
      <c r="O188" s="546">
        <f t="shared" si="174"/>
        <v>0</v>
      </c>
      <c r="P188" s="546">
        <f t="shared" si="175"/>
        <v>0</v>
      </c>
      <c r="Q188" s="546">
        <f t="shared" si="176"/>
        <v>0</v>
      </c>
      <c r="R188" s="133"/>
      <c r="S188" s="133"/>
      <c r="T188" s="133"/>
      <c r="U188" s="133"/>
      <c r="V188" s="133"/>
      <c r="W188" s="133"/>
      <c r="X188" s="133"/>
      <c r="Y188" s="133"/>
      <c r="Z188" s="133"/>
      <c r="AJ188" s="283"/>
      <c r="AK188" s="283"/>
      <c r="AL188" s="283"/>
      <c r="AM188" s="283"/>
      <c r="AN188" s="283"/>
    </row>
    <row r="189" spans="1:40" x14ac:dyDescent="0.3">
      <c r="A189" s="847"/>
      <c r="B189" s="334" t="s">
        <v>1066</v>
      </c>
      <c r="C189" s="846">
        <f>'Inputs and eligible population'!I111</f>
        <v>0.46</v>
      </c>
      <c r="D189" s="128">
        <f>'Financial impact (cash)'!D$15*$C189*'Inputs and eligible population'!$E$53</f>
        <v>0</v>
      </c>
      <c r="E189" s="128">
        <f>'Financial impact (cash)'!E$15*$C189*'Inputs and eligible population'!$E$53</f>
        <v>0</v>
      </c>
      <c r="F189" s="128">
        <f>'Financial impact (cash)'!F$15*$C189*'Inputs and eligible population'!$E$53</f>
        <v>0</v>
      </c>
      <c r="G189" s="128">
        <f>'Financial impact (cash)'!G$15*$C189*'Inputs and eligible population'!$E$53</f>
        <v>0</v>
      </c>
      <c r="H189" s="128">
        <f>'Financial impact (cash)'!H$15*$C189*'Inputs and eligible population'!$E$53</f>
        <v>0</v>
      </c>
      <c r="I189" s="128">
        <f>'Financial impact (cash)'!I$15*$C189*'Inputs and eligible population'!$E$53</f>
        <v>0</v>
      </c>
      <c r="J189" s="845"/>
      <c r="K189" s="544">
        <f>'Inputs and eligible population'!$N$112*'Inputs and eligible population'!I$112/60</f>
        <v>40.36</v>
      </c>
      <c r="L189" s="546">
        <f t="shared" si="177"/>
        <v>0</v>
      </c>
      <c r="M189" s="546">
        <f t="shared" si="172"/>
        <v>0</v>
      </c>
      <c r="N189" s="546">
        <f t="shared" si="173"/>
        <v>0</v>
      </c>
      <c r="O189" s="546">
        <f t="shared" si="174"/>
        <v>0</v>
      </c>
      <c r="P189" s="546">
        <f t="shared" si="175"/>
        <v>0</v>
      </c>
      <c r="Q189" s="546">
        <f t="shared" si="176"/>
        <v>0</v>
      </c>
      <c r="R189" s="133"/>
      <c r="S189" s="133"/>
      <c r="T189" s="133"/>
      <c r="U189" s="133"/>
      <c r="V189" s="133"/>
      <c r="W189" s="133"/>
      <c r="X189" s="133"/>
      <c r="Y189" s="133"/>
      <c r="Z189" s="133"/>
      <c r="AJ189" s="283"/>
      <c r="AK189" s="283"/>
      <c r="AL189" s="283"/>
      <c r="AM189" s="283"/>
      <c r="AN189" s="283"/>
    </row>
    <row r="190" spans="1:40" x14ac:dyDescent="0.3">
      <c r="A190" s="847"/>
      <c r="B190" s="334" t="s">
        <v>1067</v>
      </c>
      <c r="C190" s="149">
        <f>'Inputs and eligible population'!J111</f>
        <v>0.46</v>
      </c>
      <c r="D190" s="128">
        <f>'Financial impact (cash)'!D$15*$C190*'Inputs and eligible population'!$E$54</f>
        <v>0</v>
      </c>
      <c r="E190" s="128">
        <f>'Financial impact (cash)'!E$15*$C190*'Inputs and eligible population'!$E$54</f>
        <v>0</v>
      </c>
      <c r="F190" s="128">
        <f>'Financial impact (cash)'!F$15*$C190*'Inputs and eligible population'!$E$54</f>
        <v>0</v>
      </c>
      <c r="G190" s="128">
        <f>'Financial impact (cash)'!G$15*$C190*'Inputs and eligible population'!$E$54</f>
        <v>0</v>
      </c>
      <c r="H190" s="128">
        <f>'Financial impact (cash)'!H$15*$C190*'Inputs and eligible population'!$E$54</f>
        <v>0</v>
      </c>
      <c r="I190" s="128">
        <f>'Financial impact (cash)'!I$15*$C190*'Inputs and eligible population'!$E$54</f>
        <v>0</v>
      </c>
      <c r="J190" s="845"/>
      <c r="K190" s="544">
        <f>'Inputs and eligible population'!$N$112*'Inputs and eligible population'!J$112/60</f>
        <v>40.36</v>
      </c>
      <c r="L190" s="546">
        <f t="shared" si="177"/>
        <v>0</v>
      </c>
      <c r="M190" s="546">
        <f t="shared" si="172"/>
        <v>0</v>
      </c>
      <c r="N190" s="546">
        <f t="shared" si="173"/>
        <v>0</v>
      </c>
      <c r="O190" s="546">
        <f t="shared" si="174"/>
        <v>0</v>
      </c>
      <c r="P190" s="546">
        <f t="shared" si="175"/>
        <v>0</v>
      </c>
      <c r="Q190" s="546">
        <f t="shared" si="176"/>
        <v>0</v>
      </c>
      <c r="R190" s="133"/>
      <c r="S190" s="133"/>
      <c r="T190" s="133"/>
      <c r="U190" s="133"/>
      <c r="V190" s="133"/>
      <c r="W190" s="133"/>
      <c r="X190" s="133"/>
      <c r="Y190" s="133"/>
      <c r="Z190" s="133"/>
      <c r="AJ190" s="283"/>
      <c r="AK190" s="283"/>
      <c r="AL190" s="283"/>
      <c r="AM190" s="283"/>
      <c r="AN190" s="283"/>
    </row>
    <row r="191" spans="1:40" x14ac:dyDescent="0.3">
      <c r="A191" s="847"/>
      <c r="B191" s="334" t="s">
        <v>1165</v>
      </c>
      <c r="C191" s="149">
        <f>'Inputs and eligible population'!K$111</f>
        <v>0.46</v>
      </c>
      <c r="D191" s="128">
        <f>Summary!$C$17*'Capacity (local prices)'!$C191*'Inputs and eligible population'!$E$55</f>
        <v>0</v>
      </c>
      <c r="E191" s="128">
        <f>(Summary!$D$17*'Capacity (local prices)'!$C191*'Inputs and eligible population'!$E$55)</f>
        <v>0</v>
      </c>
      <c r="F191" s="128">
        <f>(Summary!$E$17*'Capacity (local prices)'!$C191*'Inputs and eligible population'!$E$55)</f>
        <v>0</v>
      </c>
      <c r="G191" s="128">
        <f>(Summary!$F$17*'Capacity (local prices)'!$C191*'Inputs and eligible population'!$E$55)</f>
        <v>0</v>
      </c>
      <c r="H191" s="128">
        <f>(Summary!$G$17*'Capacity (local prices)'!$C191*'Inputs and eligible population'!$E$55)</f>
        <v>0</v>
      </c>
      <c r="I191" s="128">
        <f>(Summary!$H$17*'Capacity (local prices)'!$C191*'Inputs and eligible population'!$E$55)</f>
        <v>0</v>
      </c>
      <c r="J191" s="845"/>
      <c r="K191" s="544">
        <f>'Inputs and eligible population'!$N$112*'Inputs and eligible population'!K$112/60</f>
        <v>40.36</v>
      </c>
      <c r="L191" s="546">
        <f t="shared" si="177"/>
        <v>0</v>
      </c>
      <c r="M191" s="546">
        <f t="shared" si="172"/>
        <v>0</v>
      </c>
      <c r="N191" s="546">
        <f t="shared" si="173"/>
        <v>0</v>
      </c>
      <c r="O191" s="546">
        <f t="shared" si="174"/>
        <v>0</v>
      </c>
      <c r="P191" s="546">
        <f t="shared" si="175"/>
        <v>0</v>
      </c>
      <c r="Q191" s="546">
        <f t="shared" si="176"/>
        <v>0</v>
      </c>
      <c r="R191" s="133"/>
      <c r="S191" s="133"/>
      <c r="T191" s="133"/>
      <c r="U191" s="133"/>
      <c r="V191" s="133"/>
      <c r="W191" s="133"/>
      <c r="X191" s="133"/>
      <c r="Y191" s="133"/>
      <c r="Z191" s="133"/>
      <c r="AJ191" s="283"/>
      <c r="AK191" s="283"/>
      <c r="AL191" s="283"/>
      <c r="AM191" s="283"/>
      <c r="AN191" s="283"/>
    </row>
    <row r="192" spans="1:40" x14ac:dyDescent="0.3">
      <c r="A192" s="847"/>
      <c r="B192" s="334" t="s">
        <v>1166</v>
      </c>
      <c r="C192" s="149">
        <f>'Inputs and eligible population'!K$111</f>
        <v>0.46</v>
      </c>
      <c r="D192" s="128">
        <f>Summary!$C$17*'Capacity (local prices)'!$C191*'Inputs and eligible population'!$F$55</f>
        <v>0</v>
      </c>
      <c r="E192" s="128">
        <f>Summary!$C$17*'Capacity (local prices)'!$C191*'Inputs and eligible population'!$F$55</f>
        <v>0</v>
      </c>
      <c r="F192" s="128">
        <f>(Summary!$D$17*'Capacity (local prices)'!$C191*'Inputs and eligible population'!$F$55)</f>
        <v>0</v>
      </c>
      <c r="G192" s="128">
        <f>(Summary!$E$17*'Capacity (local prices)'!$C191*'Inputs and eligible population'!$F$55)</f>
        <v>0</v>
      </c>
      <c r="H192" s="128">
        <f>(Summary!$F$17*'Capacity (local prices)'!$C191*'Inputs and eligible population'!$F$55)</f>
        <v>0</v>
      </c>
      <c r="I192" s="128">
        <f>(Summary!$G$17*'Capacity (local prices)'!$C191*'Inputs and eligible population'!$F$55)</f>
        <v>0</v>
      </c>
      <c r="J192" s="845"/>
      <c r="K192" s="544">
        <f>'Inputs and eligible population'!$N$112*'Inputs and eligible population'!K$112/60</f>
        <v>40.36</v>
      </c>
      <c r="L192" s="546">
        <f t="shared" si="177"/>
        <v>0</v>
      </c>
      <c r="M192" s="546">
        <f t="shared" si="172"/>
        <v>0</v>
      </c>
      <c r="N192" s="546">
        <f t="shared" si="173"/>
        <v>0</v>
      </c>
      <c r="O192" s="546">
        <f t="shared" si="174"/>
        <v>0</v>
      </c>
      <c r="P192" s="546">
        <f t="shared" si="175"/>
        <v>0</v>
      </c>
      <c r="Q192" s="546">
        <f t="shared" si="176"/>
        <v>0</v>
      </c>
      <c r="R192" s="133"/>
      <c r="S192" s="133"/>
      <c r="T192" s="133"/>
      <c r="U192" s="133"/>
      <c r="V192" s="133"/>
      <c r="W192" s="133"/>
      <c r="X192" s="133"/>
      <c r="Y192" s="133"/>
      <c r="Z192" s="133"/>
      <c r="AJ192" s="283"/>
      <c r="AK192" s="283"/>
      <c r="AL192" s="283"/>
      <c r="AM192" s="283"/>
      <c r="AN192" s="283"/>
    </row>
    <row r="193" spans="1:40" x14ac:dyDescent="0.3">
      <c r="A193" s="847"/>
      <c r="B193" s="334" t="s">
        <v>1167</v>
      </c>
      <c r="C193" s="149">
        <f>'Inputs and eligible population'!K$111</f>
        <v>0.46</v>
      </c>
      <c r="D193" s="128">
        <f>Summary!$C$17*'Capacity (local prices)'!$C191*'Inputs and eligible population'!$G$55</f>
        <v>0</v>
      </c>
      <c r="E193" s="128">
        <f>Summary!$C$17*'Capacity (local prices)'!$C191*'Inputs and eligible population'!$G$55</f>
        <v>0</v>
      </c>
      <c r="F193" s="128">
        <f>Summary!$C$17*'Capacity (local prices)'!$C191*'Inputs and eligible population'!$G$55</f>
        <v>0</v>
      </c>
      <c r="G193" s="128">
        <f>(Summary!$D$17*'Capacity (local prices)'!$C191*'Inputs and eligible population'!$G$55)</f>
        <v>0</v>
      </c>
      <c r="H193" s="128">
        <f>(Summary!$E$17*'Capacity (local prices)'!$C191*'Inputs and eligible population'!$G$55)</f>
        <v>0</v>
      </c>
      <c r="I193" s="128">
        <f>(Summary!$F$17*'Capacity (local prices)'!$C191*'Inputs and eligible population'!$G$55)</f>
        <v>0</v>
      </c>
      <c r="J193" s="845"/>
      <c r="K193" s="544">
        <f>'Inputs and eligible population'!$N$112*'Inputs and eligible population'!K$112/60</f>
        <v>40.36</v>
      </c>
      <c r="L193" s="546">
        <f t="shared" si="177"/>
        <v>0</v>
      </c>
      <c r="M193" s="546">
        <f t="shared" si="172"/>
        <v>0</v>
      </c>
      <c r="N193" s="546">
        <f t="shared" si="173"/>
        <v>0</v>
      </c>
      <c r="O193" s="546">
        <f t="shared" si="174"/>
        <v>0</v>
      </c>
      <c r="P193" s="546">
        <f t="shared" si="175"/>
        <v>0</v>
      </c>
      <c r="Q193" s="546">
        <f t="shared" si="176"/>
        <v>0</v>
      </c>
      <c r="R193" s="133"/>
      <c r="S193" s="133"/>
      <c r="T193" s="133"/>
      <c r="U193" s="133"/>
      <c r="V193" s="133"/>
      <c r="W193" s="133"/>
      <c r="X193" s="133"/>
      <c r="Y193" s="133"/>
      <c r="Z193" s="133"/>
      <c r="AJ193" s="283"/>
      <c r="AK193" s="283"/>
      <c r="AL193" s="283"/>
      <c r="AM193" s="283"/>
      <c r="AN193" s="283"/>
    </row>
    <row r="194" spans="1:40" x14ac:dyDescent="0.3">
      <c r="A194" s="847"/>
      <c r="B194" s="832" t="s">
        <v>1069</v>
      </c>
      <c r="C194" s="149">
        <f>'Inputs and eligible population'!L111</f>
        <v>0.46</v>
      </c>
      <c r="D194" s="128">
        <f>Summary!C$18*'Capacity (local prices)'!$C194*'Inputs and eligible population'!$E$56</f>
        <v>596.98942018784214</v>
      </c>
      <c r="E194" s="128">
        <f>Summary!D$18*'Capacity (local prices)'!$C194*'Inputs and eligible population'!$E$56</f>
        <v>452.05910792647188</v>
      </c>
      <c r="F194" s="128">
        <f>Summary!E$18*'Capacity (local prices)'!$C194*'Inputs and eligible population'!$E$56</f>
        <v>304.27851653827628</v>
      </c>
      <c r="G194" s="128">
        <f>Summary!F$18*'Capacity (local prices)'!$C194*'Inputs and eligible population'!$E$56</f>
        <v>307.21231141014823</v>
      </c>
      <c r="H194" s="128">
        <f>Summary!G$18*'Capacity (local prices)'!$C194*'Inputs and eligible population'!$E$56</f>
        <v>310.17439336731343</v>
      </c>
      <c r="I194" s="128">
        <f>Summary!H$18*'Capacity (local prices)'!$C194*'Inputs and eligible population'!$E$56</f>
        <v>313.16503514840196</v>
      </c>
      <c r="J194" s="845"/>
      <c r="K194" s="544">
        <f>'Inputs and eligible population'!$N$112*'Inputs and eligible population'!L$112/60</f>
        <v>40.36</v>
      </c>
      <c r="L194" s="546">
        <f t="shared" si="177"/>
        <v>24.094492998781309</v>
      </c>
      <c r="M194" s="546">
        <f t="shared" si="172"/>
        <v>18.245105595912406</v>
      </c>
      <c r="N194" s="546">
        <f t="shared" si="173"/>
        <v>12.280680927484831</v>
      </c>
      <c r="O194" s="546">
        <f t="shared" si="174"/>
        <v>12.399088888513583</v>
      </c>
      <c r="P194" s="546">
        <f t="shared" si="175"/>
        <v>12.518638516304771</v>
      </c>
      <c r="Q194" s="546">
        <f t="shared" si="176"/>
        <v>12.639340818589503</v>
      </c>
      <c r="R194" s="133"/>
      <c r="S194" s="133"/>
      <c r="T194" s="133"/>
      <c r="U194" s="133"/>
      <c r="V194" s="133"/>
      <c r="W194" s="133"/>
      <c r="X194" s="133"/>
      <c r="Y194" s="133"/>
      <c r="Z194" s="133"/>
      <c r="AJ194" s="283"/>
      <c r="AK194" s="283"/>
      <c r="AL194" s="283"/>
      <c r="AM194" s="283"/>
      <c r="AN194" s="283"/>
    </row>
    <row r="195" spans="1:40" x14ac:dyDescent="0.3">
      <c r="A195" s="847"/>
      <c r="B195" s="504"/>
      <c r="C195" s="280"/>
      <c r="D195" s="186">
        <f>SUM(D184:D194)</f>
        <v>596.98942018784214</v>
      </c>
      <c r="E195" s="186">
        <f t="shared" ref="E195:I195" si="178">SUM(E184:E194)</f>
        <v>452.05910792647188</v>
      </c>
      <c r="F195" s="186">
        <f t="shared" si="178"/>
        <v>304.27851653827628</v>
      </c>
      <c r="G195" s="186">
        <f>SUM(G184:G194)</f>
        <v>307.21231141014823</v>
      </c>
      <c r="H195" s="186">
        <f t="shared" si="178"/>
        <v>310.17439336731343</v>
      </c>
      <c r="I195" s="186">
        <f t="shared" si="178"/>
        <v>313.16503514840196</v>
      </c>
      <c r="J195" s="845"/>
      <c r="K195" s="221"/>
      <c r="L195" s="290">
        <f>SUM(L184:L194)</f>
        <v>24.094492998781309</v>
      </c>
      <c r="M195" s="290">
        <f t="shared" ref="M195:Q195" si="179">SUM(M184:M194)</f>
        <v>18.245105595912406</v>
      </c>
      <c r="N195" s="290">
        <f t="shared" si="179"/>
        <v>12.280680927484831</v>
      </c>
      <c r="O195" s="290">
        <f t="shared" si="179"/>
        <v>12.399088888513583</v>
      </c>
      <c r="P195" s="290">
        <f t="shared" si="179"/>
        <v>12.518638516304771</v>
      </c>
      <c r="Q195" s="290">
        <f t="shared" si="179"/>
        <v>12.639340818589503</v>
      </c>
      <c r="R195" s="133"/>
      <c r="S195" s="133"/>
      <c r="T195" s="133"/>
      <c r="U195" s="133"/>
      <c r="V195" s="133"/>
      <c r="W195" s="133"/>
      <c r="X195" s="133"/>
      <c r="Y195" s="133"/>
      <c r="Z195" s="133"/>
      <c r="AJ195" s="283"/>
      <c r="AK195" s="283"/>
      <c r="AL195" s="283"/>
      <c r="AM195" s="283"/>
      <c r="AN195" s="283"/>
    </row>
    <row r="196" spans="1:40" x14ac:dyDescent="0.3">
      <c r="A196" s="847"/>
      <c r="B196" s="255"/>
      <c r="C196" s="255"/>
      <c r="D196" s="282" t="s">
        <v>841</v>
      </c>
      <c r="E196" s="186">
        <f>E195-$D$195</f>
        <v>-144.93031226137026</v>
      </c>
      <c r="F196" s="186">
        <f t="shared" ref="F196:I196" si="180">F195-$D$195</f>
        <v>-292.71090364956586</v>
      </c>
      <c r="G196" s="186">
        <f t="shared" si="180"/>
        <v>-289.77710877769391</v>
      </c>
      <c r="H196" s="186">
        <f t="shared" si="180"/>
        <v>-286.81502682052871</v>
      </c>
      <c r="I196" s="186">
        <f t="shared" si="180"/>
        <v>-283.82438503944019</v>
      </c>
      <c r="J196" s="845"/>
      <c r="K196" s="221"/>
      <c r="L196" s="221"/>
      <c r="M196" s="290">
        <f>M195-$L195</f>
        <v>-5.8493874028689028</v>
      </c>
      <c r="N196" s="290">
        <f t="shared" ref="N196:Q196" si="181">N195-$L195</f>
        <v>-11.813812071296478</v>
      </c>
      <c r="O196" s="290">
        <f t="shared" si="181"/>
        <v>-11.695404110267726</v>
      </c>
      <c r="P196" s="290">
        <f t="shared" si="181"/>
        <v>-11.575854482476538</v>
      </c>
      <c r="Q196" s="290">
        <f t="shared" si="181"/>
        <v>-11.455152180191806</v>
      </c>
      <c r="R196" s="133"/>
      <c r="S196" s="133"/>
      <c r="T196" s="133"/>
      <c r="U196" s="133"/>
      <c r="V196" s="133"/>
      <c r="W196" s="133"/>
      <c r="X196" s="133"/>
      <c r="Y196" s="133"/>
      <c r="Z196" s="133"/>
      <c r="AJ196" s="283"/>
      <c r="AK196" s="283"/>
      <c r="AL196" s="283"/>
      <c r="AM196" s="283"/>
      <c r="AN196" s="283"/>
    </row>
    <row r="197" spans="1:40" x14ac:dyDescent="0.3">
      <c r="A197" s="287"/>
      <c r="B197" s="311"/>
      <c r="C197" s="221"/>
      <c r="D197" s="221"/>
      <c r="E197" s="221"/>
      <c r="F197" s="221"/>
      <c r="G197" s="221"/>
      <c r="H197" s="221"/>
      <c r="I197" s="221"/>
      <c r="J197" s="221"/>
      <c r="K197" s="221"/>
      <c r="L197" s="221"/>
      <c r="M197" s="221"/>
      <c r="N197" s="221"/>
      <c r="O197" s="221"/>
      <c r="P197" s="221"/>
      <c r="Q197" s="221"/>
      <c r="V197" s="133"/>
    </row>
    <row r="198" spans="1:40" x14ac:dyDescent="0.3">
      <c r="A198" s="287"/>
      <c r="B198" s="310" t="s">
        <v>848</v>
      </c>
      <c r="C198" s="298"/>
      <c r="D198" s="299"/>
      <c r="E198" s="300"/>
      <c r="F198" s="301"/>
      <c r="G198" s="301"/>
      <c r="H198" s="301"/>
      <c r="I198" s="414"/>
      <c r="J198" s="287"/>
      <c r="K198" s="287"/>
      <c r="L198" s="287"/>
      <c r="M198" s="287"/>
      <c r="N198" s="287"/>
      <c r="O198" s="287"/>
      <c r="P198" s="287"/>
      <c r="Q198" s="221"/>
      <c r="R198" s="133"/>
      <c r="S198" s="133"/>
      <c r="T198" s="133"/>
      <c r="U198" s="133"/>
      <c r="V198" s="133"/>
      <c r="W198" s="133"/>
      <c r="X198" s="133"/>
      <c r="Y198" s="133"/>
      <c r="Z198" s="133"/>
      <c r="AJ198" s="283"/>
      <c r="AK198" s="283"/>
      <c r="AL198" s="283"/>
      <c r="AM198" s="283"/>
      <c r="AN198" s="283"/>
    </row>
    <row r="199" spans="1:40" x14ac:dyDescent="0.3">
      <c r="A199" s="287"/>
      <c r="B199" s="381" t="s">
        <v>1083</v>
      </c>
      <c r="C199" s="382"/>
      <c r="D199" s="382"/>
      <c r="E199" s="382"/>
      <c r="F199" s="382"/>
      <c r="G199" s="382"/>
      <c r="H199" s="382"/>
      <c r="I199" s="220"/>
      <c r="J199" s="221"/>
      <c r="K199" s="221"/>
      <c r="L199" s="410"/>
      <c r="M199" s="410"/>
      <c r="N199" s="410"/>
      <c r="O199" s="410"/>
      <c r="P199" s="410"/>
      <c r="Q199" s="410"/>
      <c r="R199" s="133"/>
      <c r="S199" s="133"/>
      <c r="T199" s="133"/>
      <c r="U199" s="133"/>
      <c r="V199" s="133"/>
      <c r="W199" s="133"/>
      <c r="X199" s="133"/>
      <c r="Y199" s="133"/>
      <c r="Z199" s="133"/>
      <c r="AJ199" s="283"/>
      <c r="AK199" s="283"/>
      <c r="AL199" s="283"/>
      <c r="AM199" s="283"/>
      <c r="AN199" s="283"/>
    </row>
    <row r="200" spans="1:40" ht="43.2" x14ac:dyDescent="0.3">
      <c r="A200" s="847"/>
      <c r="B200" s="306" t="s">
        <v>766</v>
      </c>
      <c r="C200" s="166" t="s">
        <v>1099</v>
      </c>
      <c r="D200" s="402" t="s">
        <v>831</v>
      </c>
      <c r="E200" s="254" t="s">
        <v>676</v>
      </c>
      <c r="F200" s="254" t="s">
        <v>677</v>
      </c>
      <c r="G200" s="165" t="s">
        <v>803</v>
      </c>
      <c r="H200" s="165" t="s">
        <v>804</v>
      </c>
      <c r="I200" s="254" t="s">
        <v>805</v>
      </c>
      <c r="J200" s="845"/>
      <c r="K200" s="531" t="s">
        <v>1100</v>
      </c>
      <c r="L200" s="402" t="s">
        <v>831</v>
      </c>
      <c r="M200" s="521" t="s">
        <v>676</v>
      </c>
      <c r="N200" s="521" t="s">
        <v>677</v>
      </c>
      <c r="O200" s="403" t="s">
        <v>803</v>
      </c>
      <c r="P200" s="403" t="s">
        <v>804</v>
      </c>
      <c r="Q200" s="521" t="s">
        <v>805</v>
      </c>
      <c r="R200" s="133"/>
      <c r="S200" s="133"/>
      <c r="T200" s="133"/>
      <c r="U200" s="133"/>
      <c r="V200" s="133"/>
      <c r="W200" s="133"/>
      <c r="X200" s="133"/>
      <c r="Y200" s="133"/>
      <c r="Z200" s="133"/>
      <c r="AJ200" s="283"/>
      <c r="AK200" s="283"/>
      <c r="AL200" s="283"/>
      <c r="AM200" s="283"/>
      <c r="AN200" s="283"/>
    </row>
    <row r="201" spans="1:40" x14ac:dyDescent="0.3">
      <c r="A201" s="847"/>
      <c r="B201" s="334" t="s">
        <v>1065</v>
      </c>
      <c r="C201" s="846">
        <f>'Inputs and eligible population'!F113</f>
        <v>11.26</v>
      </c>
      <c r="D201" s="128">
        <f>Summary!$C$16*'Capacity (local prices)'!$C201*'Inputs and eligible population'!$E$50</f>
        <v>0</v>
      </c>
      <c r="E201" s="128">
        <f>Summary!$D$16*'Capacity (local prices)'!$C201*'Inputs and eligible population'!$E$50</f>
        <v>0</v>
      </c>
      <c r="F201" s="128">
        <f>Summary!E$16*'Capacity (local prices)'!$C201*'Inputs and eligible population'!$E$50</f>
        <v>0</v>
      </c>
      <c r="G201" s="128">
        <f>Summary!F$16*'Capacity (local prices)'!$C201*'Inputs and eligible population'!$E$50</f>
        <v>0</v>
      </c>
      <c r="H201" s="128">
        <f>Summary!G$16*'Capacity (local prices)'!$C201*'Inputs and eligible population'!$E$50</f>
        <v>0</v>
      </c>
      <c r="I201" s="128">
        <f>Summary!H$16*'Capacity (local prices)'!$C201*'Inputs and eligible population'!$E$50</f>
        <v>0</v>
      </c>
      <c r="J201" s="845"/>
      <c r="K201" s="544">
        <f>'Inputs and eligible population'!$N$114*'Inputs and eligible population'!F$114/60</f>
        <v>1.8266666666666669</v>
      </c>
      <c r="L201" s="546">
        <f>$K201/1000*D201</f>
        <v>0</v>
      </c>
      <c r="M201" s="546">
        <f t="shared" ref="M201:M211" si="182">$K201/1000*E201</f>
        <v>0</v>
      </c>
      <c r="N201" s="546">
        <f t="shared" ref="N201:N211" si="183">$K201/1000*F201</f>
        <v>0</v>
      </c>
      <c r="O201" s="546">
        <f t="shared" ref="O201:O211" si="184">$K201/1000*G201</f>
        <v>0</v>
      </c>
      <c r="P201" s="546">
        <f t="shared" ref="P201:P211" si="185">$K201/1000*H201</f>
        <v>0</v>
      </c>
      <c r="Q201" s="546">
        <f t="shared" ref="Q201:Q211" si="186">$K201/1000*I201</f>
        <v>0</v>
      </c>
      <c r="R201" s="133"/>
      <c r="S201" s="133"/>
      <c r="T201" s="133"/>
      <c r="U201" s="133"/>
      <c r="V201" s="133"/>
      <c r="W201" s="133"/>
      <c r="X201" s="133"/>
      <c r="Y201" s="133"/>
      <c r="Z201" s="133"/>
      <c r="AJ201" s="283"/>
      <c r="AK201" s="283"/>
      <c r="AL201" s="283"/>
      <c r="AM201" s="283"/>
      <c r="AN201" s="283"/>
    </row>
    <row r="202" spans="1:40" x14ac:dyDescent="0.3">
      <c r="A202" s="847"/>
      <c r="B202" s="334" t="s">
        <v>1064</v>
      </c>
      <c r="C202" s="149">
        <f>'Inputs and eligible population'!G113</f>
        <v>2.69</v>
      </c>
      <c r="D202" s="128">
        <f>Summary!C$16*'Capacity (local prices)'!$C202*'Inputs and eligible population'!$E$51</f>
        <v>0</v>
      </c>
      <c r="E202" s="128">
        <f>Summary!D$16*'Capacity (local prices)'!$C202*'Inputs and eligible population'!$E$51</f>
        <v>0</v>
      </c>
      <c r="F202" s="128">
        <f>Summary!E$16*'Capacity (local prices)'!$C202*'Inputs and eligible population'!$E$51</f>
        <v>0</v>
      </c>
      <c r="G202" s="128">
        <f>Summary!F$16*'Capacity (local prices)'!$C202*'Inputs and eligible population'!$E$51</f>
        <v>0</v>
      </c>
      <c r="H202" s="128">
        <f>Summary!G$16*'Capacity (local prices)'!$C202*'Inputs and eligible population'!$E$51</f>
        <v>0</v>
      </c>
      <c r="I202" s="128">
        <f>Summary!H$16*'Capacity (local prices)'!$C202*'Inputs and eligible population'!$E$51</f>
        <v>0</v>
      </c>
      <c r="J202" s="845"/>
      <c r="K202" s="544">
        <f>'Inputs and eligible population'!$N$114*'Inputs and eligible population'!G$114/60</f>
        <v>1.8266666666666669</v>
      </c>
      <c r="L202" s="546">
        <f t="shared" ref="L202:L211" si="187">$K202/1000*D202</f>
        <v>0</v>
      </c>
      <c r="M202" s="546">
        <f t="shared" si="182"/>
        <v>0</v>
      </c>
      <c r="N202" s="546">
        <f t="shared" si="183"/>
        <v>0</v>
      </c>
      <c r="O202" s="546">
        <f t="shared" si="184"/>
        <v>0</v>
      </c>
      <c r="P202" s="546">
        <f t="shared" si="185"/>
        <v>0</v>
      </c>
      <c r="Q202" s="546">
        <f t="shared" si="186"/>
        <v>0</v>
      </c>
      <c r="R202" s="133"/>
      <c r="S202" s="133"/>
      <c r="T202" s="133"/>
      <c r="U202" s="133"/>
      <c r="V202" s="133"/>
      <c r="W202" s="133"/>
      <c r="X202" s="133"/>
      <c r="Y202" s="133"/>
      <c r="Z202" s="133"/>
      <c r="AJ202" s="283"/>
      <c r="AK202" s="283"/>
      <c r="AL202" s="283"/>
      <c r="AM202" s="283"/>
      <c r="AN202" s="283"/>
    </row>
    <row r="203" spans="1:40" x14ac:dyDescent="0.3">
      <c r="A203" s="847"/>
      <c r="B203" s="334" t="s">
        <v>1162</v>
      </c>
      <c r="C203" s="149">
        <f>'Inputs and eligible population'!H$113</f>
        <v>0</v>
      </c>
      <c r="D203" s="128">
        <f>'Inputs and eligible population'!$E$52*'Inputs and eligible population'!$L$84*'Capacity (local prices)'!$C$33</f>
        <v>0</v>
      </c>
      <c r="E203" s="128">
        <f>'Inputs and eligible population'!$E$52*'Inputs and eligible population'!$M$84*'Capacity (local prices)'!$C203</f>
        <v>0</v>
      </c>
      <c r="F203" s="128">
        <f>'Inputs and eligible population'!$E$52*'Inputs and eligible population'!$N$84*'Capacity (local prices)'!$C203</f>
        <v>0</v>
      </c>
      <c r="G203" s="128">
        <f>'Inputs and eligible population'!$E$52*'Inputs and eligible population'!$O$84*'Capacity (local prices)'!$C203</f>
        <v>0</v>
      </c>
      <c r="H203" s="128">
        <f>'Inputs and eligible population'!$E$52*'Inputs and eligible population'!$P$84*'Capacity (local prices)'!$C203</f>
        <v>0</v>
      </c>
      <c r="I203" s="128">
        <f>'Inputs and eligible population'!$E$52*'Inputs and eligible population'!$Q$84*'Capacity (local prices)'!$C203</f>
        <v>0</v>
      </c>
      <c r="J203" s="845"/>
      <c r="K203" s="544">
        <f>'Inputs and eligible population'!$N$114*'Inputs and eligible population'!H$114/60</f>
        <v>1.8266666666666669</v>
      </c>
      <c r="L203" s="546">
        <f t="shared" si="187"/>
        <v>0</v>
      </c>
      <c r="M203" s="546">
        <f t="shared" si="182"/>
        <v>0</v>
      </c>
      <c r="N203" s="546">
        <f t="shared" si="183"/>
        <v>0</v>
      </c>
      <c r="O203" s="546">
        <f t="shared" si="184"/>
        <v>0</v>
      </c>
      <c r="P203" s="546">
        <f t="shared" si="185"/>
        <v>0</v>
      </c>
      <c r="Q203" s="546">
        <f t="shared" si="186"/>
        <v>0</v>
      </c>
      <c r="R203" s="133"/>
      <c r="S203" s="133"/>
      <c r="T203" s="133"/>
      <c r="U203" s="133"/>
      <c r="V203" s="133"/>
      <c r="W203" s="133"/>
      <c r="X203" s="133"/>
      <c r="Y203" s="133"/>
      <c r="Z203" s="133"/>
      <c r="AJ203" s="283"/>
      <c r="AK203" s="283"/>
      <c r="AL203" s="283"/>
      <c r="AM203" s="283"/>
      <c r="AN203" s="283"/>
    </row>
    <row r="204" spans="1:40" x14ac:dyDescent="0.3">
      <c r="A204" s="847"/>
      <c r="B204" s="334" t="s">
        <v>1163</v>
      </c>
      <c r="C204" s="149">
        <f>'Inputs and eligible population'!H$113</f>
        <v>0</v>
      </c>
      <c r="D204" s="128">
        <f>'Inputs and eligible population'!$F$52*'Inputs and eligible population'!$L$84*'Capacity (local prices)'!$C204</f>
        <v>0</v>
      </c>
      <c r="E204" s="128">
        <f>'Inputs and eligible population'!$F$52*'Inputs and eligible population'!$L$84*'Capacity (local prices)'!$C204</f>
        <v>0</v>
      </c>
      <c r="F204" s="128">
        <f>'Inputs and eligible population'!$F$52*'Inputs and eligible population'!$M$84*'Capacity (local prices)'!$C204</f>
        <v>0</v>
      </c>
      <c r="G204" s="128">
        <f>'Inputs and eligible population'!$F$52*'Inputs and eligible population'!$N$84*'Capacity (local prices)'!$C204</f>
        <v>0</v>
      </c>
      <c r="H204" s="128">
        <f>'Inputs and eligible population'!$F$52*'Inputs and eligible population'!$O$84*'Capacity (local prices)'!$C204</f>
        <v>0</v>
      </c>
      <c r="I204" s="128">
        <f>'Inputs and eligible population'!$F$52*'Inputs and eligible population'!$P$84*'Capacity (local prices)'!$C204</f>
        <v>0</v>
      </c>
      <c r="J204" s="845"/>
      <c r="K204" s="544">
        <f>'Inputs and eligible population'!$N$114*'Inputs and eligible population'!H$114/60</f>
        <v>1.8266666666666669</v>
      </c>
      <c r="L204" s="546">
        <f t="shared" si="187"/>
        <v>0</v>
      </c>
      <c r="M204" s="546">
        <f t="shared" si="182"/>
        <v>0</v>
      </c>
      <c r="N204" s="546">
        <f t="shared" si="183"/>
        <v>0</v>
      </c>
      <c r="O204" s="546">
        <f t="shared" si="184"/>
        <v>0</v>
      </c>
      <c r="P204" s="546">
        <f t="shared" si="185"/>
        <v>0</v>
      </c>
      <c r="Q204" s="546">
        <f t="shared" si="186"/>
        <v>0</v>
      </c>
      <c r="R204" s="133"/>
      <c r="S204" s="133"/>
      <c r="T204" s="133"/>
      <c r="U204" s="133"/>
      <c r="V204" s="133"/>
      <c r="W204" s="133"/>
      <c r="X204" s="133"/>
      <c r="Y204" s="133"/>
      <c r="Z204" s="133"/>
      <c r="AJ204" s="283"/>
      <c r="AK204" s="283"/>
      <c r="AL204" s="283"/>
      <c r="AM204" s="283"/>
      <c r="AN204" s="283"/>
    </row>
    <row r="205" spans="1:40" x14ac:dyDescent="0.3">
      <c r="A205" s="847"/>
      <c r="B205" s="334" t="s">
        <v>1164</v>
      </c>
      <c r="C205" s="149">
        <f>'Inputs and eligible population'!H$113</f>
        <v>0</v>
      </c>
      <c r="D205" s="128">
        <f>'Inputs and eligible population'!$G$52*'Inputs and eligible population'!$L$84*'Capacity (local prices)'!$C205</f>
        <v>0</v>
      </c>
      <c r="E205" s="128">
        <f>'Inputs and eligible population'!$G$52*'Inputs and eligible population'!$L$84*'Capacity (local prices)'!$C205</f>
        <v>0</v>
      </c>
      <c r="F205" s="128">
        <f>'Inputs and eligible population'!$G$52*'Inputs and eligible population'!$L$84*'Capacity (local prices)'!$C205</f>
        <v>0</v>
      </c>
      <c r="G205" s="128">
        <f>'Inputs and eligible population'!$G$52*'Inputs and eligible population'!$M$84*'Capacity (local prices)'!$C205</f>
        <v>0</v>
      </c>
      <c r="H205" s="128">
        <f>'Inputs and eligible population'!$G$52*'Inputs and eligible population'!$N$84*'Capacity (local prices)'!$C205</f>
        <v>0</v>
      </c>
      <c r="I205" s="128">
        <f>'Inputs and eligible population'!$G$52*'Inputs and eligible population'!$O$84*'Capacity (local prices)'!$C205</f>
        <v>0</v>
      </c>
      <c r="J205" s="845"/>
      <c r="K205" s="544">
        <f>'Inputs and eligible population'!$N$114*'Inputs and eligible population'!H$114/60</f>
        <v>1.8266666666666669</v>
      </c>
      <c r="L205" s="546">
        <f t="shared" si="187"/>
        <v>0</v>
      </c>
      <c r="M205" s="546">
        <f t="shared" si="182"/>
        <v>0</v>
      </c>
      <c r="N205" s="546">
        <f t="shared" si="183"/>
        <v>0</v>
      </c>
      <c r="O205" s="546">
        <f t="shared" si="184"/>
        <v>0</v>
      </c>
      <c r="P205" s="546">
        <f t="shared" si="185"/>
        <v>0</v>
      </c>
      <c r="Q205" s="546">
        <f t="shared" si="186"/>
        <v>0</v>
      </c>
      <c r="R205" s="133"/>
      <c r="S205" s="133"/>
      <c r="T205" s="133"/>
      <c r="U205" s="133"/>
      <c r="V205" s="133"/>
      <c r="W205" s="133"/>
      <c r="X205" s="133"/>
      <c r="Y205" s="133"/>
      <c r="Z205" s="133"/>
      <c r="AJ205" s="283"/>
      <c r="AK205" s="283"/>
      <c r="AL205" s="283"/>
      <c r="AM205" s="283"/>
      <c r="AN205" s="283"/>
    </row>
    <row r="206" spans="1:40" x14ac:dyDescent="0.3">
      <c r="A206" s="847"/>
      <c r="B206" s="334" t="s">
        <v>1066</v>
      </c>
      <c r="C206" s="846">
        <f>'Inputs and eligible population'!I113</f>
        <v>11.26</v>
      </c>
      <c r="D206" s="128">
        <f>'Financial impact (cash)'!D$15*$C206*'Inputs and eligible population'!$E$53</f>
        <v>0</v>
      </c>
      <c r="E206" s="128">
        <f>'Financial impact (cash)'!E$15*$C206*'Inputs and eligible population'!$E$53</f>
        <v>0</v>
      </c>
      <c r="F206" s="128">
        <f>'Financial impact (cash)'!F$15*$C206*'Inputs and eligible population'!$E$53</f>
        <v>0</v>
      </c>
      <c r="G206" s="128">
        <f>'Financial impact (cash)'!G$15*$C206*'Inputs and eligible population'!$E$53</f>
        <v>0</v>
      </c>
      <c r="H206" s="128">
        <f>'Financial impact (cash)'!H$15*$C206*'Inputs and eligible population'!$E$53</f>
        <v>0</v>
      </c>
      <c r="I206" s="128">
        <f>'Financial impact (cash)'!I$15*$C206*'Inputs and eligible population'!$E$53</f>
        <v>0</v>
      </c>
      <c r="J206" s="845"/>
      <c r="K206" s="544">
        <f>'Inputs and eligible population'!$N$114*'Inputs and eligible population'!I$114/60</f>
        <v>1.8266666666666669</v>
      </c>
      <c r="L206" s="546">
        <f t="shared" si="187"/>
        <v>0</v>
      </c>
      <c r="M206" s="546">
        <f t="shared" si="182"/>
        <v>0</v>
      </c>
      <c r="N206" s="546">
        <f t="shared" si="183"/>
        <v>0</v>
      </c>
      <c r="O206" s="546">
        <f t="shared" si="184"/>
        <v>0</v>
      </c>
      <c r="P206" s="546">
        <f t="shared" si="185"/>
        <v>0</v>
      </c>
      <c r="Q206" s="546">
        <f t="shared" si="186"/>
        <v>0</v>
      </c>
      <c r="R206" s="133"/>
      <c r="S206" s="133"/>
      <c r="T206" s="133"/>
      <c r="U206" s="133"/>
      <c r="V206" s="133"/>
      <c r="W206" s="133"/>
      <c r="X206" s="133"/>
      <c r="Y206" s="133"/>
      <c r="Z206" s="133"/>
      <c r="AJ206" s="283"/>
      <c r="AK206" s="283"/>
      <c r="AL206" s="283"/>
      <c r="AM206" s="283"/>
      <c r="AN206" s="283"/>
    </row>
    <row r="207" spans="1:40" x14ac:dyDescent="0.3">
      <c r="A207" s="847"/>
      <c r="B207" s="334" t="s">
        <v>1067</v>
      </c>
      <c r="C207" s="149">
        <f>'Inputs and eligible population'!J113</f>
        <v>2.69</v>
      </c>
      <c r="D207" s="128">
        <f>'Financial impact (cash)'!D$15*$C207*'Inputs and eligible population'!$E$54</f>
        <v>0</v>
      </c>
      <c r="E207" s="128">
        <f>'Financial impact (cash)'!E$15*$C207*'Inputs and eligible population'!$E$54</f>
        <v>0</v>
      </c>
      <c r="F207" s="128">
        <f>'Financial impact (cash)'!F$15*$C207*'Inputs and eligible population'!$E$54</f>
        <v>0</v>
      </c>
      <c r="G207" s="128">
        <f>'Financial impact (cash)'!G$15*$C207*'Inputs and eligible population'!$E$54</f>
        <v>0</v>
      </c>
      <c r="H207" s="128">
        <f>'Financial impact (cash)'!H$15*$C207*'Inputs and eligible population'!$E$54</f>
        <v>0</v>
      </c>
      <c r="I207" s="128">
        <f>'Financial impact (cash)'!I$15*$C207*'Inputs and eligible population'!$E$54</f>
        <v>0</v>
      </c>
      <c r="J207" s="845"/>
      <c r="K207" s="544">
        <f>'Inputs and eligible population'!$N$114*'Inputs and eligible population'!J$114/60</f>
        <v>1.8266666666666669</v>
      </c>
      <c r="L207" s="546">
        <f t="shared" si="187"/>
        <v>0</v>
      </c>
      <c r="M207" s="546">
        <f t="shared" si="182"/>
        <v>0</v>
      </c>
      <c r="N207" s="546">
        <f t="shared" si="183"/>
        <v>0</v>
      </c>
      <c r="O207" s="546">
        <f t="shared" si="184"/>
        <v>0</v>
      </c>
      <c r="P207" s="546">
        <f t="shared" si="185"/>
        <v>0</v>
      </c>
      <c r="Q207" s="546">
        <f t="shared" si="186"/>
        <v>0</v>
      </c>
      <c r="R207" s="133"/>
      <c r="S207" s="133"/>
      <c r="T207" s="133"/>
      <c r="U207" s="133"/>
      <c r="V207" s="133"/>
      <c r="W207" s="133"/>
      <c r="X207" s="133"/>
      <c r="Y207" s="133"/>
      <c r="Z207" s="133"/>
      <c r="AJ207" s="283"/>
      <c r="AK207" s="283"/>
      <c r="AL207" s="283"/>
      <c r="AM207" s="283"/>
      <c r="AN207" s="283"/>
    </row>
    <row r="208" spans="1:40" x14ac:dyDescent="0.3">
      <c r="A208" s="847"/>
      <c r="B208" s="334" t="s">
        <v>1165</v>
      </c>
      <c r="C208" s="149">
        <f>'Inputs and eligible population'!K$113</f>
        <v>0</v>
      </c>
      <c r="D208" s="128">
        <f>Summary!$C$17*'Capacity (local prices)'!$C208*'Inputs and eligible population'!$E$55</f>
        <v>0</v>
      </c>
      <c r="E208" s="128">
        <f>(Summary!$D$17*'Capacity (local prices)'!$C208*'Inputs and eligible population'!$E$55)</f>
        <v>0</v>
      </c>
      <c r="F208" s="128">
        <f>(Summary!$E$17*'Capacity (local prices)'!$C208*'Inputs and eligible population'!$E$55)</f>
        <v>0</v>
      </c>
      <c r="G208" s="128">
        <f>(Summary!$F$17*'Capacity (local prices)'!$C208*'Inputs and eligible population'!$E$55)</f>
        <v>0</v>
      </c>
      <c r="H208" s="128">
        <f>(Summary!$G$17*'Capacity (local prices)'!$C208*'Inputs and eligible population'!$E$55)</f>
        <v>0</v>
      </c>
      <c r="I208" s="128">
        <f>(Summary!$H$17*'Capacity (local prices)'!$C208*'Inputs and eligible population'!$E$55)</f>
        <v>0</v>
      </c>
      <c r="J208" s="845"/>
      <c r="K208" s="544">
        <f>'Inputs and eligible population'!$N$114*'Inputs and eligible population'!K$114/60</f>
        <v>1.8266666666666669</v>
      </c>
      <c r="L208" s="546">
        <f t="shared" si="187"/>
        <v>0</v>
      </c>
      <c r="M208" s="546">
        <f t="shared" si="182"/>
        <v>0</v>
      </c>
      <c r="N208" s="546">
        <f t="shared" si="183"/>
        <v>0</v>
      </c>
      <c r="O208" s="546">
        <f t="shared" si="184"/>
        <v>0</v>
      </c>
      <c r="P208" s="546">
        <f t="shared" si="185"/>
        <v>0</v>
      </c>
      <c r="Q208" s="546">
        <f t="shared" si="186"/>
        <v>0</v>
      </c>
      <c r="R208" s="133"/>
      <c r="S208" s="133"/>
      <c r="T208" s="133"/>
      <c r="U208" s="133"/>
      <c r="V208" s="133"/>
      <c r="W208" s="133"/>
      <c r="X208" s="133"/>
      <c r="Y208" s="133"/>
      <c r="Z208" s="133"/>
      <c r="AJ208" s="283"/>
      <c r="AK208" s="283"/>
      <c r="AL208" s="283"/>
      <c r="AM208" s="283"/>
      <c r="AN208" s="283"/>
    </row>
    <row r="209" spans="1:40" x14ac:dyDescent="0.3">
      <c r="A209" s="847"/>
      <c r="B209" s="334" t="s">
        <v>1166</v>
      </c>
      <c r="C209" s="149">
        <f>'Inputs and eligible population'!K$113</f>
        <v>0</v>
      </c>
      <c r="D209" s="128">
        <f>Summary!$C$17*'Capacity (local prices)'!$C208*'Inputs and eligible population'!$F$55</f>
        <v>0</v>
      </c>
      <c r="E209" s="128">
        <f>Summary!$C$17*'Capacity (local prices)'!$C208*'Inputs and eligible population'!$F$55</f>
        <v>0</v>
      </c>
      <c r="F209" s="128">
        <f>(Summary!$D$17*'Capacity (local prices)'!$C208*'Inputs and eligible population'!$F$55)</f>
        <v>0</v>
      </c>
      <c r="G209" s="128">
        <f>(Summary!$E$17*'Capacity (local prices)'!$C208*'Inputs and eligible population'!$F$55)</f>
        <v>0</v>
      </c>
      <c r="H209" s="128">
        <f>(Summary!$F$17*'Capacity (local prices)'!$C208*'Inputs and eligible population'!$F$55)</f>
        <v>0</v>
      </c>
      <c r="I209" s="128">
        <f>(Summary!$G$17*'Capacity (local prices)'!$C208*'Inputs and eligible population'!$F$55)</f>
        <v>0</v>
      </c>
      <c r="J209" s="845"/>
      <c r="K209" s="544">
        <f>'Inputs and eligible population'!$N$114*'Inputs and eligible population'!K$114/60</f>
        <v>1.8266666666666669</v>
      </c>
      <c r="L209" s="546">
        <f t="shared" si="187"/>
        <v>0</v>
      </c>
      <c r="M209" s="546">
        <f t="shared" si="182"/>
        <v>0</v>
      </c>
      <c r="N209" s="546">
        <f t="shared" si="183"/>
        <v>0</v>
      </c>
      <c r="O209" s="546">
        <f t="shared" si="184"/>
        <v>0</v>
      </c>
      <c r="P209" s="546">
        <f t="shared" si="185"/>
        <v>0</v>
      </c>
      <c r="Q209" s="546">
        <f t="shared" si="186"/>
        <v>0</v>
      </c>
      <c r="R209" s="133"/>
      <c r="S209" s="133"/>
      <c r="T209" s="133"/>
      <c r="U209" s="133"/>
      <c r="V209" s="133"/>
      <c r="W209" s="133"/>
      <c r="X209" s="133"/>
      <c r="Y209" s="133"/>
      <c r="Z209" s="133"/>
      <c r="AJ209" s="283"/>
      <c r="AK209" s="283"/>
      <c r="AL209" s="283"/>
      <c r="AM209" s="283"/>
      <c r="AN209" s="283"/>
    </row>
    <row r="210" spans="1:40" x14ac:dyDescent="0.3">
      <c r="A210" s="847"/>
      <c r="B210" s="334" t="s">
        <v>1167</v>
      </c>
      <c r="C210" s="149">
        <f>'Inputs and eligible population'!K$113</f>
        <v>0</v>
      </c>
      <c r="D210" s="128">
        <f>Summary!$C$17*'Capacity (local prices)'!$C208*'Inputs and eligible population'!$G$55</f>
        <v>0</v>
      </c>
      <c r="E210" s="128">
        <f>Summary!$C$17*'Capacity (local prices)'!$C208*'Inputs and eligible population'!$G$55</f>
        <v>0</v>
      </c>
      <c r="F210" s="128">
        <f>Summary!$C$17*'Capacity (local prices)'!$C208*'Inputs and eligible population'!$G$55</f>
        <v>0</v>
      </c>
      <c r="G210" s="128">
        <f>(Summary!$D$17*'Capacity (local prices)'!$C208*'Inputs and eligible population'!$G$55)</f>
        <v>0</v>
      </c>
      <c r="H210" s="128">
        <f>(Summary!$E$17*'Capacity (local prices)'!$C208*'Inputs and eligible population'!$G$55)</f>
        <v>0</v>
      </c>
      <c r="I210" s="128">
        <f>(Summary!$F$17*'Capacity (local prices)'!$C208*'Inputs and eligible population'!$G$55)</f>
        <v>0</v>
      </c>
      <c r="J210" s="845"/>
      <c r="K210" s="544">
        <f>'Inputs and eligible population'!$N$114*'Inputs and eligible population'!K$114/60</f>
        <v>1.8266666666666669</v>
      </c>
      <c r="L210" s="546">
        <f t="shared" si="187"/>
        <v>0</v>
      </c>
      <c r="M210" s="546">
        <f t="shared" si="182"/>
        <v>0</v>
      </c>
      <c r="N210" s="546">
        <f t="shared" si="183"/>
        <v>0</v>
      </c>
      <c r="O210" s="546">
        <f t="shared" si="184"/>
        <v>0</v>
      </c>
      <c r="P210" s="546">
        <f t="shared" si="185"/>
        <v>0</v>
      </c>
      <c r="Q210" s="546">
        <f t="shared" si="186"/>
        <v>0</v>
      </c>
      <c r="R210" s="133"/>
      <c r="S210" s="133"/>
      <c r="T210" s="133"/>
      <c r="U210" s="133"/>
      <c r="V210" s="133"/>
      <c r="W210" s="133"/>
      <c r="X210" s="133"/>
      <c r="Y210" s="133"/>
      <c r="Z210" s="133"/>
      <c r="AJ210" s="283"/>
      <c r="AK210" s="283"/>
      <c r="AL210" s="283"/>
      <c r="AM210" s="283"/>
      <c r="AN210" s="283"/>
    </row>
    <row r="211" spans="1:40" x14ac:dyDescent="0.3">
      <c r="A211" s="847"/>
      <c r="B211" s="832" t="s">
        <v>1069</v>
      </c>
      <c r="C211" s="149">
        <f>'Inputs and eligible population'!L113</f>
        <v>0</v>
      </c>
      <c r="D211" s="128">
        <f>Summary!C$18*'Capacity (local prices)'!$C211*'Inputs and eligible population'!$E$56</f>
        <v>0</v>
      </c>
      <c r="E211" s="128">
        <f>Summary!D$18*'Capacity (local prices)'!$C211*'Inputs and eligible population'!$E$56</f>
        <v>0</v>
      </c>
      <c r="F211" s="128">
        <f>Summary!E$18*'Capacity (local prices)'!$C211*'Inputs and eligible population'!$E$56</f>
        <v>0</v>
      </c>
      <c r="G211" s="128">
        <f>Summary!F$18*'Capacity (local prices)'!$C211*'Inputs and eligible population'!$E$56</f>
        <v>0</v>
      </c>
      <c r="H211" s="128">
        <f>Summary!G$18*'Capacity (local prices)'!$C211*'Inputs and eligible population'!$E$56</f>
        <v>0</v>
      </c>
      <c r="I211" s="128">
        <f>Summary!H$18*'Capacity (local prices)'!$C211*'Inputs and eligible population'!$E$56</f>
        <v>0</v>
      </c>
      <c r="J211" s="845"/>
      <c r="K211" s="544">
        <f>'Inputs and eligible population'!$N$114*'Inputs and eligible population'!L$114/60</f>
        <v>1.8266666666666669</v>
      </c>
      <c r="L211" s="546">
        <f t="shared" si="187"/>
        <v>0</v>
      </c>
      <c r="M211" s="546">
        <f t="shared" si="182"/>
        <v>0</v>
      </c>
      <c r="N211" s="546">
        <f t="shared" si="183"/>
        <v>0</v>
      </c>
      <c r="O211" s="546">
        <f t="shared" si="184"/>
        <v>0</v>
      </c>
      <c r="P211" s="546">
        <f t="shared" si="185"/>
        <v>0</v>
      </c>
      <c r="Q211" s="546">
        <f t="shared" si="186"/>
        <v>0</v>
      </c>
      <c r="R211" s="133"/>
      <c r="S211" s="133"/>
      <c r="T211" s="133"/>
      <c r="U211" s="133"/>
      <c r="V211" s="133"/>
      <c r="W211" s="133"/>
      <c r="X211" s="133"/>
      <c r="Y211" s="133"/>
      <c r="Z211" s="133"/>
      <c r="AJ211" s="283"/>
      <c r="AK211" s="283"/>
      <c r="AL211" s="283"/>
      <c r="AM211" s="283"/>
      <c r="AN211" s="283"/>
    </row>
    <row r="212" spans="1:40" x14ac:dyDescent="0.3">
      <c r="A212" s="847"/>
      <c r="B212" s="504"/>
      <c r="C212" s="280"/>
      <c r="D212" s="186">
        <f t="shared" ref="D212:I212" si="188">SUM(D201:D211)</f>
        <v>0</v>
      </c>
      <c r="E212" s="186">
        <f t="shared" si="188"/>
        <v>0</v>
      </c>
      <c r="F212" s="186">
        <f t="shared" si="188"/>
        <v>0</v>
      </c>
      <c r="G212" s="186">
        <f t="shared" si="188"/>
        <v>0</v>
      </c>
      <c r="H212" s="186">
        <f t="shared" si="188"/>
        <v>0</v>
      </c>
      <c r="I212" s="186">
        <f t="shared" si="188"/>
        <v>0</v>
      </c>
      <c r="J212" s="845"/>
      <c r="K212" s="221"/>
      <c r="L212" s="290">
        <f t="shared" ref="L212:Q212" si="189">SUM(L201:L211)</f>
        <v>0</v>
      </c>
      <c r="M212" s="290">
        <f t="shared" si="189"/>
        <v>0</v>
      </c>
      <c r="N212" s="290">
        <f t="shared" si="189"/>
        <v>0</v>
      </c>
      <c r="O212" s="290">
        <f t="shared" si="189"/>
        <v>0</v>
      </c>
      <c r="P212" s="290">
        <f t="shared" si="189"/>
        <v>0</v>
      </c>
      <c r="Q212" s="290">
        <f t="shared" si="189"/>
        <v>0</v>
      </c>
      <c r="R212" s="133"/>
      <c r="S212" s="133"/>
      <c r="T212" s="133"/>
      <c r="U212" s="133"/>
      <c r="V212" s="133"/>
      <c r="W212" s="133"/>
      <c r="X212" s="133"/>
      <c r="Y212" s="133"/>
      <c r="Z212" s="133"/>
      <c r="AJ212" s="283"/>
      <c r="AK212" s="283"/>
      <c r="AL212" s="283"/>
      <c r="AM212" s="283"/>
      <c r="AN212" s="283"/>
    </row>
    <row r="213" spans="1:40" x14ac:dyDescent="0.3">
      <c r="A213" s="847"/>
      <c r="B213" s="255"/>
      <c r="C213" s="255"/>
      <c r="D213" s="282" t="s">
        <v>841</v>
      </c>
      <c r="E213" s="186">
        <f>E212-$D212</f>
        <v>0</v>
      </c>
      <c r="F213" s="186">
        <f t="shared" ref="F213:I213" si="190">F212-$D212</f>
        <v>0</v>
      </c>
      <c r="G213" s="186">
        <f t="shared" si="190"/>
        <v>0</v>
      </c>
      <c r="H213" s="186">
        <f t="shared" si="190"/>
        <v>0</v>
      </c>
      <c r="I213" s="186">
        <f t="shared" si="190"/>
        <v>0</v>
      </c>
      <c r="J213" s="845"/>
      <c r="K213" s="221"/>
      <c r="L213" s="221"/>
      <c r="M213" s="290">
        <f>M212-$L212</f>
        <v>0</v>
      </c>
      <c r="N213" s="290">
        <f t="shared" ref="N213:Q213" si="191">N212-$L212</f>
        <v>0</v>
      </c>
      <c r="O213" s="290">
        <f t="shared" si="191"/>
        <v>0</v>
      </c>
      <c r="P213" s="290">
        <f t="shared" si="191"/>
        <v>0</v>
      </c>
      <c r="Q213" s="290">
        <f t="shared" si="191"/>
        <v>0</v>
      </c>
      <c r="R213" s="133"/>
      <c r="S213" s="133"/>
      <c r="T213" s="133"/>
      <c r="U213" s="133"/>
      <c r="V213" s="133"/>
      <c r="W213" s="133"/>
      <c r="X213" s="133"/>
      <c r="Y213" s="133"/>
      <c r="Z213" s="133"/>
      <c r="AJ213" s="283"/>
      <c r="AK213" s="283"/>
      <c r="AL213" s="283"/>
      <c r="AM213" s="283"/>
      <c r="AN213" s="283"/>
    </row>
    <row r="214" spans="1:40" x14ac:dyDescent="0.3">
      <c r="A214" s="287"/>
      <c r="B214" s="287"/>
      <c r="C214" s="221"/>
      <c r="D214" s="287"/>
      <c r="E214" s="287"/>
      <c r="F214" s="287"/>
      <c r="G214" s="287"/>
      <c r="H214" s="287"/>
      <c r="I214" s="221"/>
      <c r="J214" s="221"/>
      <c r="K214" s="221"/>
      <c r="L214" s="221"/>
      <c r="M214" s="221"/>
      <c r="N214" s="221"/>
      <c r="O214" s="221"/>
      <c r="P214" s="221"/>
      <c r="Q214" s="221"/>
      <c r="V214" s="133"/>
    </row>
    <row r="215" spans="1:40" x14ac:dyDescent="0.3">
      <c r="A215" s="287"/>
      <c r="B215" s="310" t="s">
        <v>848</v>
      </c>
      <c r="C215" s="298"/>
      <c r="D215" s="299"/>
      <c r="E215" s="300"/>
      <c r="F215" s="301"/>
      <c r="G215" s="301"/>
      <c r="H215" s="301"/>
      <c r="I215" s="414"/>
      <c r="J215" s="287"/>
      <c r="K215" s="287"/>
      <c r="L215" s="287"/>
      <c r="M215" s="287"/>
      <c r="N215" s="287"/>
      <c r="O215" s="287"/>
      <c r="P215" s="287"/>
      <c r="Q215" s="221"/>
      <c r="R215" s="133"/>
      <c r="S215" s="133"/>
      <c r="T215" s="133"/>
      <c r="U215" s="133"/>
      <c r="V215" s="133"/>
      <c r="W215" s="133"/>
      <c r="X215" s="133"/>
      <c r="Y215" s="133"/>
      <c r="Z215" s="133"/>
      <c r="AJ215" s="283"/>
      <c r="AK215" s="283"/>
      <c r="AL215" s="283"/>
      <c r="AM215" s="283"/>
      <c r="AN215" s="283"/>
    </row>
    <row r="216" spans="1:40" x14ac:dyDescent="0.3">
      <c r="A216" s="287"/>
      <c r="B216" s="381" t="s">
        <v>1112</v>
      </c>
      <c r="C216" s="382"/>
      <c r="D216" s="382"/>
      <c r="E216" s="382"/>
      <c r="F216" s="382"/>
      <c r="G216" s="382"/>
      <c r="H216" s="382"/>
      <c r="I216" s="220"/>
      <c r="J216" s="221"/>
      <c r="K216" s="221"/>
      <c r="L216" s="410"/>
      <c r="M216" s="410"/>
      <c r="N216" s="410"/>
      <c r="O216" s="410"/>
      <c r="P216" s="410"/>
      <c r="Q216" s="410"/>
      <c r="R216" s="133"/>
      <c r="S216" s="133"/>
      <c r="T216" s="133"/>
      <c r="U216" s="133"/>
      <c r="V216" s="133"/>
      <c r="W216" s="133"/>
      <c r="X216" s="133"/>
      <c r="Y216" s="133"/>
      <c r="Z216" s="133"/>
      <c r="AJ216" s="283"/>
      <c r="AK216" s="283"/>
      <c r="AL216" s="283"/>
      <c r="AM216" s="283"/>
      <c r="AN216" s="283"/>
    </row>
    <row r="217" spans="1:40" ht="43.2" x14ac:dyDescent="0.3">
      <c r="A217" s="847"/>
      <c r="B217" s="306" t="s">
        <v>766</v>
      </c>
      <c r="C217" s="166" t="s">
        <v>1099</v>
      </c>
      <c r="D217" s="402" t="s">
        <v>831</v>
      </c>
      <c r="E217" s="254" t="s">
        <v>676</v>
      </c>
      <c r="F217" s="254" t="s">
        <v>677</v>
      </c>
      <c r="G217" s="165" t="s">
        <v>803</v>
      </c>
      <c r="H217" s="165" t="s">
        <v>804</v>
      </c>
      <c r="I217" s="254" t="s">
        <v>805</v>
      </c>
      <c r="J217" s="845"/>
      <c r="K217" s="531" t="s">
        <v>1100</v>
      </c>
      <c r="L217" s="402" t="s">
        <v>831</v>
      </c>
      <c r="M217" s="521" t="s">
        <v>676</v>
      </c>
      <c r="N217" s="521" t="s">
        <v>677</v>
      </c>
      <c r="O217" s="403" t="s">
        <v>803</v>
      </c>
      <c r="P217" s="403" t="s">
        <v>804</v>
      </c>
      <c r="Q217" s="521" t="s">
        <v>805</v>
      </c>
      <c r="R217" s="133"/>
      <c r="S217" s="133"/>
      <c r="T217" s="133"/>
      <c r="U217" s="133"/>
      <c r="V217" s="133"/>
      <c r="W217" s="133"/>
      <c r="X217" s="133"/>
      <c r="Y217" s="133"/>
      <c r="Z217" s="133"/>
      <c r="AJ217" s="283"/>
      <c r="AK217" s="283"/>
      <c r="AL217" s="283"/>
      <c r="AM217" s="283"/>
      <c r="AN217" s="283"/>
    </row>
    <row r="218" spans="1:40" x14ac:dyDescent="0.3">
      <c r="A218" s="847"/>
      <c r="B218" s="334" t="s">
        <v>1065</v>
      </c>
      <c r="C218" s="846">
        <f>'Inputs and eligible population'!F115</f>
        <v>1.05</v>
      </c>
      <c r="D218" s="128">
        <f>Summary!$C$16*'Capacity (local prices)'!$C218*'Inputs and eligible population'!$E$50</f>
        <v>0</v>
      </c>
      <c r="E218" s="128">
        <f>Summary!$D$16*'Capacity (local prices)'!$C218*'Inputs and eligible population'!$E$50</f>
        <v>0</v>
      </c>
      <c r="F218" s="128">
        <f>Summary!E$16*'Capacity (local prices)'!$C218*'Inputs and eligible population'!$E$50</f>
        <v>0</v>
      </c>
      <c r="G218" s="128">
        <f>Summary!F$16*'Capacity (local prices)'!$C218*'Inputs and eligible population'!$E$50</f>
        <v>0</v>
      </c>
      <c r="H218" s="128">
        <f>Summary!G$16*'Capacity (local prices)'!$C218*'Inputs and eligible population'!$E$50</f>
        <v>0</v>
      </c>
      <c r="I218" s="128">
        <f>Summary!H$16*'Capacity (local prices)'!$C218*'Inputs and eligible population'!$E$50</f>
        <v>0</v>
      </c>
      <c r="J218" s="845"/>
      <c r="K218" s="544">
        <f>'Inputs and eligible population'!$N$116*'Inputs and eligible population'!F$116/60</f>
        <v>40.36</v>
      </c>
      <c r="L218" s="546">
        <f>$K218/1000*D218</f>
        <v>0</v>
      </c>
      <c r="M218" s="546">
        <f t="shared" ref="M218:M228" si="192">$K218/1000*E218</f>
        <v>0</v>
      </c>
      <c r="N218" s="546">
        <f t="shared" ref="N218:N228" si="193">$K218/1000*F218</f>
        <v>0</v>
      </c>
      <c r="O218" s="546">
        <f t="shared" ref="O218:O228" si="194">$K218/1000*G218</f>
        <v>0</v>
      </c>
      <c r="P218" s="546">
        <f t="shared" ref="P218:P228" si="195">$K218/1000*H218</f>
        <v>0</v>
      </c>
      <c r="Q218" s="546">
        <f t="shared" ref="Q218:Q228" si="196">$K218/1000*I218</f>
        <v>0</v>
      </c>
      <c r="R218" s="133"/>
      <c r="S218" s="133"/>
      <c r="T218" s="133"/>
      <c r="U218" s="133"/>
      <c r="V218" s="133"/>
      <c r="W218" s="133"/>
      <c r="X218" s="133"/>
      <c r="Y218" s="133"/>
      <c r="Z218" s="133"/>
      <c r="AJ218" s="283"/>
      <c r="AK218" s="283"/>
      <c r="AL218" s="283"/>
      <c r="AM218" s="283"/>
      <c r="AN218" s="283"/>
    </row>
    <row r="219" spans="1:40" x14ac:dyDescent="0.3">
      <c r="A219" s="847"/>
      <c r="B219" s="334" t="s">
        <v>1064</v>
      </c>
      <c r="C219" s="149">
        <f>'Inputs and eligible population'!G115</f>
        <v>0.68</v>
      </c>
      <c r="D219" s="128">
        <f>Summary!C$16*'Capacity (local prices)'!$C219*'Inputs and eligible population'!$E$51</f>
        <v>0</v>
      </c>
      <c r="E219" s="128">
        <f>Summary!D$16*'Capacity (local prices)'!$C219*'Inputs and eligible population'!$E$51</f>
        <v>0</v>
      </c>
      <c r="F219" s="128">
        <f>Summary!E$16*'Capacity (local prices)'!$C219*'Inputs and eligible population'!$E$51</f>
        <v>0</v>
      </c>
      <c r="G219" s="128">
        <f>Summary!F$16*'Capacity (local prices)'!$C219*'Inputs and eligible population'!$E$51</f>
        <v>0</v>
      </c>
      <c r="H219" s="128">
        <f>Summary!G$16*'Capacity (local prices)'!$C219*'Inputs and eligible population'!$E$51</f>
        <v>0</v>
      </c>
      <c r="I219" s="128">
        <f>Summary!H$16*'Capacity (local prices)'!$C219*'Inputs and eligible population'!$E$51</f>
        <v>0</v>
      </c>
      <c r="J219" s="845"/>
      <c r="K219" s="544">
        <f>'Inputs and eligible population'!$N$116*'Inputs and eligible population'!G$116/60</f>
        <v>40.36</v>
      </c>
      <c r="L219" s="546">
        <f t="shared" ref="L219:L228" si="197">$K219/1000*D219</f>
        <v>0</v>
      </c>
      <c r="M219" s="546">
        <f t="shared" si="192"/>
        <v>0</v>
      </c>
      <c r="N219" s="546">
        <f t="shared" si="193"/>
        <v>0</v>
      </c>
      <c r="O219" s="546">
        <f t="shared" si="194"/>
        <v>0</v>
      </c>
      <c r="P219" s="546">
        <f t="shared" si="195"/>
        <v>0</v>
      </c>
      <c r="Q219" s="546">
        <f t="shared" si="196"/>
        <v>0</v>
      </c>
      <c r="R219" s="133"/>
      <c r="S219" s="133"/>
      <c r="T219" s="133"/>
      <c r="U219" s="133"/>
      <c r="V219" s="133"/>
      <c r="W219" s="133"/>
      <c r="X219" s="133"/>
      <c r="Y219" s="133"/>
      <c r="Z219" s="133"/>
      <c r="AJ219" s="283"/>
      <c r="AK219" s="283"/>
      <c r="AL219" s="283"/>
      <c r="AM219" s="283"/>
      <c r="AN219" s="283"/>
    </row>
    <row r="220" spans="1:40" x14ac:dyDescent="0.3">
      <c r="A220" s="847"/>
      <c r="B220" s="334" t="s">
        <v>1162</v>
      </c>
      <c r="C220" s="149">
        <f>'Inputs and eligible population'!H$115</f>
        <v>0</v>
      </c>
      <c r="D220" s="128">
        <f>'Inputs and eligible population'!$E$52*'Inputs and eligible population'!$L$84*'Capacity (local prices)'!$C$33</f>
        <v>0</v>
      </c>
      <c r="E220" s="128">
        <f>'Inputs and eligible population'!$E$52*'Inputs and eligible population'!$M$84*'Capacity (local prices)'!$C220</f>
        <v>0</v>
      </c>
      <c r="F220" s="128">
        <f>'Inputs and eligible population'!$E$52*'Inputs and eligible population'!$N$84*'Capacity (local prices)'!$C220</f>
        <v>0</v>
      </c>
      <c r="G220" s="128">
        <f>'Inputs and eligible population'!$E$52*'Inputs and eligible population'!$O$84*'Capacity (local prices)'!$C220</f>
        <v>0</v>
      </c>
      <c r="H220" s="128">
        <f>'Inputs and eligible population'!$E$52*'Inputs and eligible population'!$P$84*'Capacity (local prices)'!$C220</f>
        <v>0</v>
      </c>
      <c r="I220" s="128">
        <f>'Inputs and eligible population'!$E$52*'Inputs and eligible population'!$Q$84*'Capacity (local prices)'!$C220</f>
        <v>0</v>
      </c>
      <c r="J220" s="845"/>
      <c r="K220" s="544">
        <f>'Inputs and eligible population'!$N$116*'Inputs and eligible population'!H$116/60</f>
        <v>40.36</v>
      </c>
      <c r="L220" s="546">
        <f t="shared" si="197"/>
        <v>0</v>
      </c>
      <c r="M220" s="546">
        <f t="shared" si="192"/>
        <v>0</v>
      </c>
      <c r="N220" s="546">
        <f t="shared" si="193"/>
        <v>0</v>
      </c>
      <c r="O220" s="546">
        <f t="shared" si="194"/>
        <v>0</v>
      </c>
      <c r="P220" s="546">
        <f t="shared" si="195"/>
        <v>0</v>
      </c>
      <c r="Q220" s="546">
        <f t="shared" si="196"/>
        <v>0</v>
      </c>
      <c r="R220" s="133"/>
      <c r="S220" s="133"/>
      <c r="T220" s="133"/>
      <c r="U220" s="133"/>
      <c r="V220" s="133"/>
      <c r="W220" s="133"/>
      <c r="X220" s="133"/>
      <c r="Y220" s="133"/>
      <c r="Z220" s="133"/>
      <c r="AJ220" s="283"/>
      <c r="AK220" s="283"/>
      <c r="AL220" s="283"/>
      <c r="AM220" s="283"/>
      <c r="AN220" s="283"/>
    </row>
    <row r="221" spans="1:40" x14ac:dyDescent="0.3">
      <c r="A221" s="847"/>
      <c r="B221" s="334" t="s">
        <v>1163</v>
      </c>
      <c r="C221" s="149">
        <f>'Inputs and eligible population'!H$115</f>
        <v>0</v>
      </c>
      <c r="D221" s="128">
        <f>'Inputs and eligible population'!$F$52*'Inputs and eligible population'!$L$84*'Capacity (local prices)'!$C221</f>
        <v>0</v>
      </c>
      <c r="E221" s="128">
        <f>'Inputs and eligible population'!$F$52*'Inputs and eligible population'!$L$84*'Capacity (local prices)'!$C221</f>
        <v>0</v>
      </c>
      <c r="F221" s="128">
        <f>'Inputs and eligible population'!$F$52*'Inputs and eligible population'!$M$84*'Capacity (local prices)'!$C221</f>
        <v>0</v>
      </c>
      <c r="G221" s="128">
        <f>'Inputs and eligible population'!$F$52*'Inputs and eligible population'!$N$84*'Capacity (local prices)'!$C221</f>
        <v>0</v>
      </c>
      <c r="H221" s="128">
        <f>'Inputs and eligible population'!$F$52*'Inputs and eligible population'!$O$84*'Capacity (local prices)'!$C221</f>
        <v>0</v>
      </c>
      <c r="I221" s="128">
        <f>'Inputs and eligible population'!$F$52*'Inputs and eligible population'!$P$84*'Capacity (local prices)'!$C221</f>
        <v>0</v>
      </c>
      <c r="J221" s="845"/>
      <c r="K221" s="544">
        <f>'Inputs and eligible population'!$N$116*'Inputs and eligible population'!H$116/60</f>
        <v>40.36</v>
      </c>
      <c r="L221" s="546">
        <f t="shared" si="197"/>
        <v>0</v>
      </c>
      <c r="M221" s="546">
        <f t="shared" si="192"/>
        <v>0</v>
      </c>
      <c r="N221" s="546">
        <f t="shared" si="193"/>
        <v>0</v>
      </c>
      <c r="O221" s="546">
        <f t="shared" si="194"/>
        <v>0</v>
      </c>
      <c r="P221" s="546">
        <f t="shared" si="195"/>
        <v>0</v>
      </c>
      <c r="Q221" s="546">
        <f t="shared" si="196"/>
        <v>0</v>
      </c>
      <c r="R221" s="133"/>
      <c r="S221" s="133"/>
      <c r="T221" s="133"/>
      <c r="U221" s="133"/>
      <c r="V221" s="133"/>
      <c r="W221" s="133"/>
      <c r="X221" s="133"/>
      <c r="Y221" s="133"/>
      <c r="Z221" s="133"/>
      <c r="AJ221" s="283"/>
      <c r="AK221" s="283"/>
      <c r="AL221" s="283"/>
      <c r="AM221" s="283"/>
      <c r="AN221" s="283"/>
    </row>
    <row r="222" spans="1:40" x14ac:dyDescent="0.3">
      <c r="A222" s="847"/>
      <c r="B222" s="334" t="s">
        <v>1164</v>
      </c>
      <c r="C222" s="149">
        <f>'Inputs and eligible population'!H$115</f>
        <v>0</v>
      </c>
      <c r="D222" s="128">
        <f>'Inputs and eligible population'!$G$52*'Inputs and eligible population'!$L$84*'Capacity (local prices)'!$C222</f>
        <v>0</v>
      </c>
      <c r="E222" s="128">
        <f>'Inputs and eligible population'!$G$52*'Inputs and eligible population'!$L$84*'Capacity (local prices)'!$C222</f>
        <v>0</v>
      </c>
      <c r="F222" s="128">
        <f>'Inputs and eligible population'!$G$52*'Inputs and eligible population'!$L$84*'Capacity (local prices)'!$C222</f>
        <v>0</v>
      </c>
      <c r="G222" s="128">
        <f>'Inputs and eligible population'!$G$52*'Inputs and eligible population'!$M$84*'Capacity (local prices)'!$C222</f>
        <v>0</v>
      </c>
      <c r="H222" s="128">
        <f>'Inputs and eligible population'!$G$52*'Inputs and eligible population'!$N$84*'Capacity (local prices)'!$C222</f>
        <v>0</v>
      </c>
      <c r="I222" s="128">
        <f>'Inputs and eligible population'!$G$52*'Inputs and eligible population'!$O$84*'Capacity (local prices)'!$C222</f>
        <v>0</v>
      </c>
      <c r="J222" s="845"/>
      <c r="K222" s="544">
        <f>'Inputs and eligible population'!$N$116*'Inputs and eligible population'!H$116/60</f>
        <v>40.36</v>
      </c>
      <c r="L222" s="546">
        <f t="shared" si="197"/>
        <v>0</v>
      </c>
      <c r="M222" s="546">
        <f t="shared" si="192"/>
        <v>0</v>
      </c>
      <c r="N222" s="546">
        <f t="shared" si="193"/>
        <v>0</v>
      </c>
      <c r="O222" s="546">
        <f t="shared" si="194"/>
        <v>0</v>
      </c>
      <c r="P222" s="546">
        <f t="shared" si="195"/>
        <v>0</v>
      </c>
      <c r="Q222" s="546">
        <f t="shared" si="196"/>
        <v>0</v>
      </c>
      <c r="R222" s="133"/>
      <c r="S222" s="133"/>
      <c r="T222" s="133"/>
      <c r="U222" s="133"/>
      <c r="V222" s="133"/>
      <c r="W222" s="133"/>
      <c r="X222" s="133"/>
      <c r="Y222" s="133"/>
      <c r="Z222" s="133"/>
      <c r="AJ222" s="283"/>
      <c r="AK222" s="283"/>
      <c r="AL222" s="283"/>
      <c r="AM222" s="283"/>
      <c r="AN222" s="283"/>
    </row>
    <row r="223" spans="1:40" x14ac:dyDescent="0.3">
      <c r="A223" s="847"/>
      <c r="B223" s="334" t="s">
        <v>1066</v>
      </c>
      <c r="C223" s="846">
        <f>'Inputs and eligible population'!I115</f>
        <v>1.05</v>
      </c>
      <c r="D223" s="128">
        <f>'Financial impact (cash)'!D$15*$C223*'Inputs and eligible population'!$E$53</f>
        <v>0</v>
      </c>
      <c r="E223" s="128">
        <f>'Financial impact (cash)'!E$15*$C223*'Inputs and eligible population'!$E$53</f>
        <v>0</v>
      </c>
      <c r="F223" s="128">
        <f>'Financial impact (cash)'!F$15*$C223*'Inputs and eligible population'!$E$53</f>
        <v>0</v>
      </c>
      <c r="G223" s="128">
        <f>'Financial impact (cash)'!G$15*$C223*'Inputs and eligible population'!$E$53</f>
        <v>0</v>
      </c>
      <c r="H223" s="128">
        <f>'Financial impact (cash)'!H$15*$C223*'Inputs and eligible population'!$E$53</f>
        <v>0</v>
      </c>
      <c r="I223" s="128">
        <f>'Financial impact (cash)'!I$15*$C223*'Inputs and eligible population'!$E$53</f>
        <v>0</v>
      </c>
      <c r="J223" s="845"/>
      <c r="K223" s="544">
        <f>'Inputs and eligible population'!$N$116*'Inputs and eligible population'!I$116/60</f>
        <v>40.36</v>
      </c>
      <c r="L223" s="546">
        <f t="shared" si="197"/>
        <v>0</v>
      </c>
      <c r="M223" s="546">
        <f t="shared" si="192"/>
        <v>0</v>
      </c>
      <c r="N223" s="546">
        <f t="shared" si="193"/>
        <v>0</v>
      </c>
      <c r="O223" s="546">
        <f t="shared" si="194"/>
        <v>0</v>
      </c>
      <c r="P223" s="546">
        <f t="shared" si="195"/>
        <v>0</v>
      </c>
      <c r="Q223" s="546">
        <f t="shared" si="196"/>
        <v>0</v>
      </c>
      <c r="R223" s="133"/>
      <c r="S223" s="133"/>
      <c r="T223" s="133"/>
      <c r="U223" s="133"/>
      <c r="V223" s="133"/>
      <c r="W223" s="133"/>
      <c r="X223" s="133"/>
      <c r="Y223" s="133"/>
      <c r="Z223" s="133"/>
      <c r="AJ223" s="283"/>
      <c r="AK223" s="283"/>
      <c r="AL223" s="283"/>
      <c r="AM223" s="283"/>
      <c r="AN223" s="283"/>
    </row>
    <row r="224" spans="1:40" x14ac:dyDescent="0.3">
      <c r="A224" s="847"/>
      <c r="B224" s="334" t="s">
        <v>1067</v>
      </c>
      <c r="C224" s="149">
        <f>'Inputs and eligible population'!J115</f>
        <v>0.68</v>
      </c>
      <c r="D224" s="128">
        <f>'Financial impact (cash)'!D$15*$C224*'Inputs and eligible population'!$E$54</f>
        <v>0</v>
      </c>
      <c r="E224" s="128">
        <f>'Financial impact (cash)'!E$15*$C224*'Inputs and eligible population'!$E$54</f>
        <v>0</v>
      </c>
      <c r="F224" s="128">
        <f>'Financial impact (cash)'!F$15*$C224*'Inputs and eligible population'!$E$54</f>
        <v>0</v>
      </c>
      <c r="G224" s="128">
        <f>'Financial impact (cash)'!G$15*$C224*'Inputs and eligible population'!$E$54</f>
        <v>0</v>
      </c>
      <c r="H224" s="128">
        <f>'Financial impact (cash)'!H$15*$C224*'Inputs and eligible population'!$E$54</f>
        <v>0</v>
      </c>
      <c r="I224" s="128">
        <f>'Financial impact (cash)'!I$15*$C224*'Inputs and eligible population'!$E$54</f>
        <v>0</v>
      </c>
      <c r="J224" s="845"/>
      <c r="K224" s="544">
        <f>'Inputs and eligible population'!$N$116*'Inputs and eligible population'!J$116/60</f>
        <v>40.36</v>
      </c>
      <c r="L224" s="546">
        <f t="shared" si="197"/>
        <v>0</v>
      </c>
      <c r="M224" s="546">
        <f t="shared" si="192"/>
        <v>0</v>
      </c>
      <c r="N224" s="546">
        <f t="shared" si="193"/>
        <v>0</v>
      </c>
      <c r="O224" s="546">
        <f t="shared" si="194"/>
        <v>0</v>
      </c>
      <c r="P224" s="546">
        <f t="shared" si="195"/>
        <v>0</v>
      </c>
      <c r="Q224" s="546">
        <f t="shared" si="196"/>
        <v>0</v>
      </c>
      <c r="R224" s="133"/>
      <c r="S224" s="133"/>
      <c r="T224" s="133"/>
      <c r="U224" s="133"/>
      <c r="V224" s="133"/>
      <c r="W224" s="133"/>
      <c r="X224" s="133"/>
      <c r="Y224" s="133"/>
      <c r="Z224" s="133"/>
      <c r="AJ224" s="283"/>
      <c r="AK224" s="283"/>
      <c r="AL224" s="283"/>
      <c r="AM224" s="283"/>
      <c r="AN224" s="283"/>
    </row>
    <row r="225" spans="1:40" x14ac:dyDescent="0.3">
      <c r="A225" s="847"/>
      <c r="B225" s="334" t="s">
        <v>1165</v>
      </c>
      <c r="C225" s="149">
        <f>'Inputs and eligible population'!K$115</f>
        <v>0</v>
      </c>
      <c r="D225" s="128">
        <f>Summary!$C$17*'Capacity (local prices)'!$C225*'Inputs and eligible population'!$E$55</f>
        <v>0</v>
      </c>
      <c r="E225" s="128">
        <f>(Summary!$D$17*'Capacity (local prices)'!$C225*'Inputs and eligible population'!$E$55)</f>
        <v>0</v>
      </c>
      <c r="F225" s="128">
        <f>(Summary!$E$17*'Capacity (local prices)'!$C225*'Inputs and eligible population'!$E$55)</f>
        <v>0</v>
      </c>
      <c r="G225" s="128">
        <f>(Summary!$F$17*'Capacity (local prices)'!$C225*'Inputs and eligible population'!$E$55)</f>
        <v>0</v>
      </c>
      <c r="H225" s="128">
        <f>(Summary!$G$17*'Capacity (local prices)'!$C225*'Inputs and eligible population'!$E$55)</f>
        <v>0</v>
      </c>
      <c r="I225" s="128">
        <f>(Summary!$H$17*'Capacity (local prices)'!$C225*'Inputs and eligible population'!$E$55)</f>
        <v>0</v>
      </c>
      <c r="J225" s="845"/>
      <c r="K225" s="544">
        <f>'Inputs and eligible population'!$N$116*'Inputs and eligible population'!K$116/60</f>
        <v>40.36</v>
      </c>
      <c r="L225" s="546">
        <f t="shared" si="197"/>
        <v>0</v>
      </c>
      <c r="M225" s="546">
        <f t="shared" si="192"/>
        <v>0</v>
      </c>
      <c r="N225" s="546">
        <f t="shared" si="193"/>
        <v>0</v>
      </c>
      <c r="O225" s="546">
        <f t="shared" si="194"/>
        <v>0</v>
      </c>
      <c r="P225" s="546">
        <f t="shared" si="195"/>
        <v>0</v>
      </c>
      <c r="Q225" s="546">
        <f t="shared" si="196"/>
        <v>0</v>
      </c>
      <c r="R225" s="133"/>
      <c r="S225" s="133"/>
      <c r="T225" s="133"/>
      <c r="U225" s="133"/>
      <c r="V225" s="133"/>
      <c r="W225" s="133"/>
      <c r="X225" s="133"/>
      <c r="Y225" s="133"/>
      <c r="Z225" s="133"/>
      <c r="AJ225" s="283"/>
      <c r="AK225" s="283"/>
      <c r="AL225" s="283"/>
      <c r="AM225" s="283"/>
      <c r="AN225" s="283"/>
    </row>
    <row r="226" spans="1:40" x14ac:dyDescent="0.3">
      <c r="A226" s="847"/>
      <c r="B226" s="334" t="s">
        <v>1166</v>
      </c>
      <c r="C226" s="149">
        <f>'Inputs and eligible population'!K$115</f>
        <v>0</v>
      </c>
      <c r="D226" s="128">
        <f>Summary!$C$17*'Capacity (local prices)'!$C225*'Inputs and eligible population'!$F$55</f>
        <v>0</v>
      </c>
      <c r="E226" s="128">
        <f>Summary!$C$17*'Capacity (local prices)'!$C225*'Inputs and eligible population'!$F$55</f>
        <v>0</v>
      </c>
      <c r="F226" s="128">
        <f>(Summary!$D$17*'Capacity (local prices)'!$C225*'Inputs and eligible population'!$F$55)</f>
        <v>0</v>
      </c>
      <c r="G226" s="128">
        <f>(Summary!$E$17*'Capacity (local prices)'!$C225*'Inputs and eligible population'!$F$55)</f>
        <v>0</v>
      </c>
      <c r="H226" s="128">
        <f>(Summary!$F$17*'Capacity (local prices)'!$C225*'Inputs and eligible population'!$F$55)</f>
        <v>0</v>
      </c>
      <c r="I226" s="128">
        <f>(Summary!$G$17*'Capacity (local prices)'!$C225*'Inputs and eligible population'!$F$55)</f>
        <v>0</v>
      </c>
      <c r="J226" s="845"/>
      <c r="K226" s="544">
        <f>'Inputs and eligible population'!$N$116*'Inputs and eligible population'!K$116/60</f>
        <v>40.36</v>
      </c>
      <c r="L226" s="546">
        <f t="shared" si="197"/>
        <v>0</v>
      </c>
      <c r="M226" s="546">
        <f t="shared" si="192"/>
        <v>0</v>
      </c>
      <c r="N226" s="546">
        <f t="shared" si="193"/>
        <v>0</v>
      </c>
      <c r="O226" s="546">
        <f t="shared" si="194"/>
        <v>0</v>
      </c>
      <c r="P226" s="546">
        <f t="shared" si="195"/>
        <v>0</v>
      </c>
      <c r="Q226" s="546">
        <f t="shared" si="196"/>
        <v>0</v>
      </c>
      <c r="R226" s="133"/>
      <c r="S226" s="133"/>
      <c r="T226" s="133"/>
      <c r="U226" s="133"/>
      <c r="V226" s="133"/>
      <c r="W226" s="133"/>
      <c r="X226" s="133"/>
      <c r="Y226" s="133"/>
      <c r="Z226" s="133"/>
      <c r="AJ226" s="283"/>
      <c r="AK226" s="283"/>
      <c r="AL226" s="283"/>
      <c r="AM226" s="283"/>
      <c r="AN226" s="283"/>
    </row>
    <row r="227" spans="1:40" x14ac:dyDescent="0.3">
      <c r="A227" s="847"/>
      <c r="B227" s="334" t="s">
        <v>1167</v>
      </c>
      <c r="C227" s="149">
        <f>'Inputs and eligible population'!K$115</f>
        <v>0</v>
      </c>
      <c r="D227" s="128">
        <f>Summary!$C$17*'Capacity (local prices)'!$C225*'Inputs and eligible population'!$G$55</f>
        <v>0</v>
      </c>
      <c r="E227" s="128">
        <f>Summary!$C$17*'Capacity (local prices)'!$C225*'Inputs and eligible population'!$G$55</f>
        <v>0</v>
      </c>
      <c r="F227" s="128">
        <f>Summary!$C$17*'Capacity (local prices)'!$C225*'Inputs and eligible population'!$G$55</f>
        <v>0</v>
      </c>
      <c r="G227" s="128">
        <f>(Summary!$D$17*'Capacity (local prices)'!$C225*'Inputs and eligible population'!$G$55)</f>
        <v>0</v>
      </c>
      <c r="H227" s="128">
        <f>(Summary!$E$17*'Capacity (local prices)'!$C225*'Inputs and eligible population'!$G$55)</f>
        <v>0</v>
      </c>
      <c r="I227" s="128">
        <f>(Summary!$F$17*'Capacity (local prices)'!$C225*'Inputs and eligible population'!$G$55)</f>
        <v>0</v>
      </c>
      <c r="J227" s="845"/>
      <c r="K227" s="544">
        <f>'Inputs and eligible population'!$N$116*'Inputs and eligible population'!K$116/60</f>
        <v>40.36</v>
      </c>
      <c r="L227" s="546">
        <f t="shared" si="197"/>
        <v>0</v>
      </c>
      <c r="M227" s="546">
        <f t="shared" si="192"/>
        <v>0</v>
      </c>
      <c r="N227" s="546">
        <f t="shared" si="193"/>
        <v>0</v>
      </c>
      <c r="O227" s="546">
        <f t="shared" si="194"/>
        <v>0</v>
      </c>
      <c r="P227" s="546">
        <f t="shared" si="195"/>
        <v>0</v>
      </c>
      <c r="Q227" s="546">
        <f t="shared" si="196"/>
        <v>0</v>
      </c>
      <c r="R227" s="133"/>
      <c r="S227" s="133"/>
      <c r="T227" s="133"/>
      <c r="U227" s="133"/>
      <c r="V227" s="133"/>
      <c r="W227" s="133"/>
      <c r="X227" s="133"/>
      <c r="Y227" s="133"/>
      <c r="Z227" s="133"/>
      <c r="AJ227" s="283"/>
      <c r="AK227" s="283"/>
      <c r="AL227" s="283"/>
      <c r="AM227" s="283"/>
      <c r="AN227" s="283"/>
    </row>
    <row r="228" spans="1:40" x14ac:dyDescent="0.3">
      <c r="A228" s="847"/>
      <c r="B228" s="832" t="s">
        <v>1069</v>
      </c>
      <c r="C228" s="149">
        <f>'Inputs and eligible population'!L115</f>
        <v>0</v>
      </c>
      <c r="D228" s="128">
        <f>Summary!C$18*'Capacity (local prices)'!$C228*'Inputs and eligible population'!$E$56</f>
        <v>0</v>
      </c>
      <c r="E228" s="128">
        <f>Summary!D$18*'Capacity (local prices)'!$C228*'Inputs and eligible population'!$E$56</f>
        <v>0</v>
      </c>
      <c r="F228" s="128">
        <f>Summary!E$18*'Capacity (local prices)'!$C228*'Inputs and eligible population'!$E$56</f>
        <v>0</v>
      </c>
      <c r="G228" s="128">
        <f>Summary!F$18*'Capacity (local prices)'!$C228*'Inputs and eligible population'!$E$56</f>
        <v>0</v>
      </c>
      <c r="H228" s="128">
        <f>Summary!G$18*'Capacity (local prices)'!$C228*'Inputs and eligible population'!$E$56</f>
        <v>0</v>
      </c>
      <c r="I228" s="128">
        <f>Summary!H$18*'Capacity (local prices)'!$C228*'Inputs and eligible population'!$E$56</f>
        <v>0</v>
      </c>
      <c r="J228" s="845"/>
      <c r="K228" s="544">
        <f>'Inputs and eligible population'!$N$116*'Inputs and eligible population'!L$116/60</f>
        <v>40.36</v>
      </c>
      <c r="L228" s="546">
        <f t="shared" si="197"/>
        <v>0</v>
      </c>
      <c r="M228" s="546">
        <f t="shared" si="192"/>
        <v>0</v>
      </c>
      <c r="N228" s="546">
        <f t="shared" si="193"/>
        <v>0</v>
      </c>
      <c r="O228" s="546">
        <f t="shared" si="194"/>
        <v>0</v>
      </c>
      <c r="P228" s="546">
        <f t="shared" si="195"/>
        <v>0</v>
      </c>
      <c r="Q228" s="546">
        <f t="shared" si="196"/>
        <v>0</v>
      </c>
      <c r="R228" s="133"/>
      <c r="S228" s="133"/>
      <c r="T228" s="133"/>
      <c r="U228" s="133"/>
      <c r="V228" s="133"/>
      <c r="W228" s="133"/>
      <c r="X228" s="133"/>
      <c r="Y228" s="133"/>
      <c r="Z228" s="133"/>
      <c r="AJ228" s="283"/>
      <c r="AK228" s="283"/>
      <c r="AL228" s="283"/>
      <c r="AM228" s="283"/>
      <c r="AN228" s="283"/>
    </row>
    <row r="229" spans="1:40" x14ac:dyDescent="0.3">
      <c r="A229" s="847"/>
      <c r="B229" s="504"/>
      <c r="C229" s="280"/>
      <c r="D229" s="186">
        <f>SUM(D218:D228)</f>
        <v>0</v>
      </c>
      <c r="E229" s="186">
        <f t="shared" ref="E229:I229" si="198">SUM(E218:E228)</f>
        <v>0</v>
      </c>
      <c r="F229" s="186">
        <f t="shared" si="198"/>
        <v>0</v>
      </c>
      <c r="G229" s="186">
        <f t="shared" si="198"/>
        <v>0</v>
      </c>
      <c r="H229" s="186">
        <f>SUM(H218:H228)</f>
        <v>0</v>
      </c>
      <c r="I229" s="186">
        <f t="shared" si="198"/>
        <v>0</v>
      </c>
      <c r="J229" s="845"/>
      <c r="K229" s="221"/>
      <c r="L229" s="290">
        <f>SUM(L218:L228)</f>
        <v>0</v>
      </c>
      <c r="M229" s="290">
        <f t="shared" ref="M229:Q229" si="199">SUM(M218:M228)</f>
        <v>0</v>
      </c>
      <c r="N229" s="290">
        <f t="shared" si="199"/>
        <v>0</v>
      </c>
      <c r="O229" s="290">
        <f t="shared" si="199"/>
        <v>0</v>
      </c>
      <c r="P229" s="290">
        <f t="shared" si="199"/>
        <v>0</v>
      </c>
      <c r="Q229" s="290">
        <f t="shared" si="199"/>
        <v>0</v>
      </c>
      <c r="R229" s="133"/>
      <c r="S229" s="133"/>
      <c r="T229" s="133"/>
      <c r="U229" s="133"/>
      <c r="V229" s="133"/>
      <c r="W229" s="133"/>
      <c r="X229" s="133"/>
      <c r="Y229" s="133"/>
      <c r="Z229" s="133"/>
      <c r="AJ229" s="283"/>
      <c r="AK229" s="283"/>
      <c r="AL229" s="283"/>
      <c r="AM229" s="283"/>
      <c r="AN229" s="283"/>
    </row>
    <row r="230" spans="1:40" x14ac:dyDescent="0.3">
      <c r="A230" s="847"/>
      <c r="B230" s="255"/>
      <c r="C230" s="255"/>
      <c r="D230" s="282" t="s">
        <v>841</v>
      </c>
      <c r="E230" s="186">
        <f>E229-$D$178</f>
        <v>0</v>
      </c>
      <c r="F230" s="186">
        <f t="shared" ref="F230" si="200">F229-$D$178</f>
        <v>0</v>
      </c>
      <c r="G230" s="186">
        <f t="shared" ref="G230" si="201">G229-$D$178</f>
        <v>0</v>
      </c>
      <c r="H230" s="186">
        <f t="shared" ref="H230" si="202">H229-$D$178</f>
        <v>0</v>
      </c>
      <c r="I230" s="186">
        <f t="shared" ref="I230" si="203">I229-$D$178</f>
        <v>0</v>
      </c>
      <c r="J230" s="845"/>
      <c r="K230" s="221"/>
      <c r="L230" s="221"/>
      <c r="M230" s="290">
        <f>M229-$L229</f>
        <v>0</v>
      </c>
      <c r="N230" s="290">
        <f t="shared" ref="N230:Q230" si="204">N229-$L229</f>
        <v>0</v>
      </c>
      <c r="O230" s="290">
        <f t="shared" si="204"/>
        <v>0</v>
      </c>
      <c r="P230" s="290">
        <f t="shared" si="204"/>
        <v>0</v>
      </c>
      <c r="Q230" s="290">
        <f t="shared" si="204"/>
        <v>0</v>
      </c>
      <c r="R230" s="133"/>
      <c r="S230" s="133"/>
      <c r="T230" s="133"/>
      <c r="U230" s="133"/>
      <c r="V230" s="133"/>
      <c r="W230" s="133"/>
      <c r="X230" s="133"/>
      <c r="Y230" s="133"/>
      <c r="Z230" s="133"/>
      <c r="AJ230" s="283"/>
      <c r="AK230" s="283"/>
      <c r="AL230" s="283"/>
      <c r="AM230" s="283"/>
      <c r="AN230" s="283"/>
    </row>
    <row r="231" spans="1:40" x14ac:dyDescent="0.3">
      <c r="A231" s="287"/>
      <c r="B231" s="287"/>
      <c r="C231" s="221"/>
      <c r="D231" s="287"/>
      <c r="E231" s="287"/>
      <c r="F231" s="287"/>
      <c r="G231" s="287"/>
      <c r="H231" s="287"/>
      <c r="I231" s="221"/>
      <c r="J231" s="221"/>
      <c r="K231" s="221"/>
      <c r="L231" s="221"/>
      <c r="M231" s="221"/>
      <c r="N231" s="221"/>
      <c r="O231" s="221"/>
      <c r="P231" s="221"/>
      <c r="Q231" s="221"/>
      <c r="V231" s="133"/>
    </row>
    <row r="232" spans="1:40" x14ac:dyDescent="0.3">
      <c r="A232" s="849"/>
      <c r="B232" s="850" t="s">
        <v>1113</v>
      </c>
      <c r="C232" s="851"/>
      <c r="D232" s="852"/>
      <c r="E232" s="853"/>
      <c r="F232" s="854"/>
      <c r="G232" s="854"/>
      <c r="H232" s="854"/>
      <c r="I232" s="855"/>
      <c r="J232" s="849"/>
      <c r="K232" s="849"/>
      <c r="L232" s="849"/>
      <c r="M232" s="849"/>
      <c r="N232" s="849"/>
      <c r="O232" s="849"/>
      <c r="P232" s="849"/>
      <c r="Q232" s="856"/>
      <c r="R232" s="133"/>
      <c r="S232" s="133"/>
      <c r="T232" s="133"/>
      <c r="U232" s="133"/>
      <c r="V232" s="133"/>
      <c r="W232" s="133"/>
      <c r="X232" s="133"/>
      <c r="Y232" s="133"/>
      <c r="Z232" s="133"/>
      <c r="AJ232" s="283"/>
      <c r="AK232" s="283"/>
      <c r="AL232" s="283"/>
      <c r="AM232" s="283"/>
      <c r="AN232" s="283"/>
    </row>
    <row r="233" spans="1:40" x14ac:dyDescent="0.3">
      <c r="A233" s="849"/>
      <c r="B233" s="857" t="s">
        <v>1085</v>
      </c>
      <c r="C233" s="858"/>
      <c r="D233" s="858"/>
      <c r="E233" s="858"/>
      <c r="F233" s="858"/>
      <c r="G233" s="858"/>
      <c r="H233" s="858"/>
      <c r="I233" s="859"/>
      <c r="J233" s="856"/>
      <c r="K233" s="856"/>
      <c r="L233" s="860"/>
      <c r="M233" s="860"/>
      <c r="N233" s="860"/>
      <c r="O233" s="860"/>
      <c r="P233" s="860"/>
      <c r="Q233" s="860"/>
      <c r="R233" s="133"/>
      <c r="S233" s="133"/>
      <c r="T233" s="133"/>
      <c r="U233" s="133"/>
      <c r="V233" s="133"/>
      <c r="W233" s="133"/>
      <c r="X233" s="133"/>
      <c r="Y233" s="133"/>
      <c r="Z233" s="133"/>
      <c r="AJ233" s="283"/>
      <c r="AK233" s="283"/>
      <c r="AL233" s="283"/>
      <c r="AM233" s="283"/>
      <c r="AN233" s="283"/>
    </row>
    <row r="234" spans="1:40" ht="43.2" x14ac:dyDescent="0.3">
      <c r="A234" s="861"/>
      <c r="B234" s="306" t="s">
        <v>766</v>
      </c>
      <c r="C234" s="166" t="s">
        <v>1099</v>
      </c>
      <c r="D234" s="402" t="s">
        <v>831</v>
      </c>
      <c r="E234" s="254" t="s">
        <v>676</v>
      </c>
      <c r="F234" s="254" t="s">
        <v>677</v>
      </c>
      <c r="G234" s="165" t="s">
        <v>803</v>
      </c>
      <c r="H234" s="165" t="s">
        <v>804</v>
      </c>
      <c r="I234" s="254" t="s">
        <v>805</v>
      </c>
      <c r="J234" s="862"/>
      <c r="K234" s="531" t="s">
        <v>1100</v>
      </c>
      <c r="L234" s="402" t="s">
        <v>831</v>
      </c>
      <c r="M234" s="521" t="s">
        <v>676</v>
      </c>
      <c r="N234" s="521" t="s">
        <v>677</v>
      </c>
      <c r="O234" s="403" t="s">
        <v>803</v>
      </c>
      <c r="P234" s="403" t="s">
        <v>804</v>
      </c>
      <c r="Q234" s="521" t="s">
        <v>805</v>
      </c>
      <c r="R234" s="133"/>
      <c r="S234" s="133"/>
      <c r="T234" s="133"/>
      <c r="U234" s="133"/>
      <c r="V234" s="133"/>
      <c r="W234" s="133"/>
      <c r="X234" s="133"/>
      <c r="Y234" s="133"/>
      <c r="Z234" s="133"/>
      <c r="AJ234" s="283"/>
      <c r="AK234" s="283"/>
      <c r="AL234" s="283"/>
      <c r="AM234" s="283"/>
      <c r="AN234" s="283"/>
    </row>
    <row r="235" spans="1:40" x14ac:dyDescent="0.3">
      <c r="A235" s="861"/>
      <c r="B235" s="334" t="s">
        <v>1065</v>
      </c>
      <c r="C235" s="846">
        <f>'Inputs and eligible population'!F117</f>
        <v>0</v>
      </c>
      <c r="D235" s="128">
        <f>Summary!$C$16*'Capacity (local prices)'!$C235*'Inputs and eligible population'!$E$50</f>
        <v>0</v>
      </c>
      <c r="E235" s="128">
        <f>Summary!$D$16*'Capacity (local prices)'!$C235*'Inputs and eligible population'!$E$50</f>
        <v>0</v>
      </c>
      <c r="F235" s="128">
        <f>Summary!E$16*'Capacity (local prices)'!$C235*'Inputs and eligible population'!$E$50</f>
        <v>0</v>
      </c>
      <c r="G235" s="128">
        <f>Summary!F$16*'Capacity (local prices)'!$C235*'Inputs and eligible population'!$E$50</f>
        <v>0</v>
      </c>
      <c r="H235" s="128">
        <f>Summary!G$16*'Capacity (local prices)'!$C235*'Inputs and eligible population'!$E$50</f>
        <v>0</v>
      </c>
      <c r="I235" s="128">
        <f>Summary!H$16*'Capacity (local prices)'!$C235*'Inputs and eligible population'!$E$50</f>
        <v>0</v>
      </c>
      <c r="J235" s="862"/>
      <c r="K235" s="544">
        <f>'Inputs and eligible population'!$N$118*'Inputs and eligible population'!F$118/60</f>
        <v>0</v>
      </c>
      <c r="L235" s="546">
        <f>$K235/1000*D235</f>
        <v>0</v>
      </c>
      <c r="M235" s="546">
        <f t="shared" ref="M235:M245" si="205">$K235/1000*E235</f>
        <v>0</v>
      </c>
      <c r="N235" s="546">
        <f t="shared" ref="N235:N245" si="206">$K235/1000*F235</f>
        <v>0</v>
      </c>
      <c r="O235" s="546">
        <f t="shared" ref="O235:O245" si="207">$K235/1000*G235</f>
        <v>0</v>
      </c>
      <c r="P235" s="546">
        <f t="shared" ref="P235:P245" si="208">$K235/1000*H235</f>
        <v>0</v>
      </c>
      <c r="Q235" s="546">
        <f t="shared" ref="Q235:Q245" si="209">$K235/1000*I235</f>
        <v>0</v>
      </c>
      <c r="R235" s="133"/>
      <c r="S235" s="133"/>
      <c r="T235" s="133"/>
      <c r="U235" s="133"/>
      <c r="V235" s="133"/>
      <c r="W235" s="133"/>
      <c r="X235" s="133"/>
      <c r="Y235" s="133"/>
      <c r="Z235" s="133"/>
      <c r="AJ235" s="283"/>
      <c r="AK235" s="283"/>
      <c r="AL235" s="283"/>
      <c r="AM235" s="283"/>
      <c r="AN235" s="283"/>
    </row>
    <row r="236" spans="1:40" x14ac:dyDescent="0.3">
      <c r="A236" s="861"/>
      <c r="B236" s="334" t="s">
        <v>1064</v>
      </c>
      <c r="C236" s="149">
        <f>'Inputs and eligible population'!G117</f>
        <v>0.44</v>
      </c>
      <c r="D236" s="128">
        <f>Summary!C$16*'Capacity (local prices)'!$C236*'Inputs and eligible population'!$E$51</f>
        <v>0</v>
      </c>
      <c r="E236" s="128">
        <f>Summary!D$16*'Capacity (local prices)'!$C236*'Inputs and eligible population'!$E$51</f>
        <v>0</v>
      </c>
      <c r="F236" s="128">
        <f>Summary!E$16*'Capacity (local prices)'!$C236*'Inputs and eligible population'!$E$51</f>
        <v>0</v>
      </c>
      <c r="G236" s="128">
        <f>Summary!F$16*'Capacity (local prices)'!$C236*'Inputs and eligible population'!$E$51</f>
        <v>0</v>
      </c>
      <c r="H236" s="128">
        <f>Summary!G$16*'Capacity (local prices)'!$C236*'Inputs and eligible population'!$E$51</f>
        <v>0</v>
      </c>
      <c r="I236" s="128">
        <f>Summary!H$16*'Capacity (local prices)'!$C236*'Inputs and eligible population'!$E$51</f>
        <v>0</v>
      </c>
      <c r="J236" s="862"/>
      <c r="K236" s="544">
        <f>'Inputs and eligible population'!$N$118*'Inputs and eligible population'!G$118/60</f>
        <v>0</v>
      </c>
      <c r="L236" s="546">
        <f t="shared" ref="L236:L245" si="210">$K236/1000*D236</f>
        <v>0</v>
      </c>
      <c r="M236" s="546">
        <f t="shared" si="205"/>
        <v>0</v>
      </c>
      <c r="N236" s="546">
        <f t="shared" si="206"/>
        <v>0</v>
      </c>
      <c r="O236" s="546">
        <f t="shared" si="207"/>
        <v>0</v>
      </c>
      <c r="P236" s="546">
        <f t="shared" si="208"/>
        <v>0</v>
      </c>
      <c r="Q236" s="546">
        <f t="shared" si="209"/>
        <v>0</v>
      </c>
      <c r="R236" s="133"/>
      <c r="S236" s="133"/>
      <c r="T236" s="133"/>
      <c r="U236" s="133"/>
      <c r="V236" s="133"/>
      <c r="W236" s="133"/>
      <c r="X236" s="133"/>
      <c r="Y236" s="133"/>
      <c r="Z236" s="133"/>
      <c r="AJ236" s="283"/>
      <c r="AK236" s="283"/>
      <c r="AL236" s="283"/>
      <c r="AM236" s="283"/>
      <c r="AN236" s="283"/>
    </row>
    <row r="237" spans="1:40" x14ac:dyDescent="0.3">
      <c r="A237" s="861"/>
      <c r="B237" s="334" t="s">
        <v>1162</v>
      </c>
      <c r="C237" s="149">
        <f>'Inputs and eligible population'!H$117</f>
        <v>0</v>
      </c>
      <c r="D237" s="128">
        <f>'Inputs and eligible population'!$E$52*'Inputs and eligible population'!$L$84*'Capacity (local prices)'!$C$33</f>
        <v>0</v>
      </c>
      <c r="E237" s="128">
        <f>'Inputs and eligible population'!$E$52*'Inputs and eligible population'!$M$84*'Capacity (local prices)'!$C237</f>
        <v>0</v>
      </c>
      <c r="F237" s="128">
        <f>'Inputs and eligible population'!$E$52*'Inputs and eligible population'!$N$84*'Capacity (local prices)'!$C237</f>
        <v>0</v>
      </c>
      <c r="G237" s="128">
        <f>'Inputs and eligible population'!$E$52*'Inputs and eligible population'!$O$84*'Capacity (local prices)'!$C237</f>
        <v>0</v>
      </c>
      <c r="H237" s="128">
        <f>'Inputs and eligible population'!$E$52*'Inputs and eligible population'!$P$84*'Capacity (local prices)'!$C237</f>
        <v>0</v>
      </c>
      <c r="I237" s="128">
        <f>'Inputs and eligible population'!$E$52*'Inputs and eligible population'!$Q$84*'Capacity (local prices)'!$C237</f>
        <v>0</v>
      </c>
      <c r="J237" s="862"/>
      <c r="K237" s="544">
        <f>'Inputs and eligible population'!$N$118*'Inputs and eligible population'!H$118/60</f>
        <v>0</v>
      </c>
      <c r="L237" s="546">
        <f t="shared" si="210"/>
        <v>0</v>
      </c>
      <c r="M237" s="546">
        <f t="shared" si="205"/>
        <v>0</v>
      </c>
      <c r="N237" s="546">
        <f t="shared" si="206"/>
        <v>0</v>
      </c>
      <c r="O237" s="546">
        <f t="shared" si="207"/>
        <v>0</v>
      </c>
      <c r="P237" s="546">
        <f t="shared" si="208"/>
        <v>0</v>
      </c>
      <c r="Q237" s="546">
        <f t="shared" si="209"/>
        <v>0</v>
      </c>
      <c r="R237" s="133"/>
      <c r="S237" s="133"/>
      <c r="T237" s="133"/>
      <c r="U237" s="133"/>
      <c r="V237" s="133"/>
      <c r="W237" s="133"/>
      <c r="X237" s="133"/>
      <c r="Y237" s="133"/>
      <c r="Z237" s="133"/>
      <c r="AJ237" s="283"/>
      <c r="AK237" s="283"/>
      <c r="AL237" s="283"/>
      <c r="AM237" s="283"/>
      <c r="AN237" s="283"/>
    </row>
    <row r="238" spans="1:40" x14ac:dyDescent="0.3">
      <c r="A238" s="861"/>
      <c r="B238" s="334" t="s">
        <v>1163</v>
      </c>
      <c r="C238" s="149">
        <f>'Inputs and eligible population'!H$117</f>
        <v>0</v>
      </c>
      <c r="D238" s="128">
        <f>'Inputs and eligible population'!$F$52*'Inputs and eligible population'!$L$84*'Capacity (local prices)'!$C238</f>
        <v>0</v>
      </c>
      <c r="E238" s="128">
        <f>'Inputs and eligible population'!$F$52*'Inputs and eligible population'!$L$84*'Capacity (local prices)'!$C238</f>
        <v>0</v>
      </c>
      <c r="F238" s="128">
        <f>'Inputs and eligible population'!$F$52*'Inputs and eligible population'!$M$84*'Capacity (local prices)'!$C238</f>
        <v>0</v>
      </c>
      <c r="G238" s="128">
        <f>'Inputs and eligible population'!$F$52*'Inputs and eligible population'!$N$84*'Capacity (local prices)'!$C238</f>
        <v>0</v>
      </c>
      <c r="H238" s="128">
        <f>'Inputs and eligible population'!$F$52*'Inputs and eligible population'!$O$84*'Capacity (local prices)'!$C238</f>
        <v>0</v>
      </c>
      <c r="I238" s="128">
        <f>'Inputs and eligible population'!$F$52*'Inputs and eligible population'!$P$84*'Capacity (local prices)'!$C238</f>
        <v>0</v>
      </c>
      <c r="J238" s="862"/>
      <c r="K238" s="544">
        <f>'Inputs and eligible population'!$N$118*'Inputs and eligible population'!H$118/60</f>
        <v>0</v>
      </c>
      <c r="L238" s="546">
        <f t="shared" si="210"/>
        <v>0</v>
      </c>
      <c r="M238" s="546">
        <f t="shared" si="205"/>
        <v>0</v>
      </c>
      <c r="N238" s="546">
        <f t="shared" si="206"/>
        <v>0</v>
      </c>
      <c r="O238" s="546">
        <f t="shared" si="207"/>
        <v>0</v>
      </c>
      <c r="P238" s="546">
        <f t="shared" si="208"/>
        <v>0</v>
      </c>
      <c r="Q238" s="546">
        <f t="shared" si="209"/>
        <v>0</v>
      </c>
      <c r="R238" s="133"/>
      <c r="S238" s="133"/>
      <c r="T238" s="133"/>
      <c r="U238" s="133"/>
      <c r="V238" s="133"/>
      <c r="W238" s="133"/>
      <c r="X238" s="133"/>
      <c r="Y238" s="133"/>
      <c r="Z238" s="133"/>
      <c r="AJ238" s="283"/>
      <c r="AK238" s="283"/>
      <c r="AL238" s="283"/>
      <c r="AM238" s="283"/>
      <c r="AN238" s="283"/>
    </row>
    <row r="239" spans="1:40" x14ac:dyDescent="0.3">
      <c r="A239" s="861"/>
      <c r="B239" s="334" t="s">
        <v>1164</v>
      </c>
      <c r="C239" s="149">
        <f>'Inputs and eligible population'!H$117</f>
        <v>0</v>
      </c>
      <c r="D239" s="128">
        <f>'Inputs and eligible population'!$G$52*'Inputs and eligible population'!$L$84*'Capacity (local prices)'!$C239</f>
        <v>0</v>
      </c>
      <c r="E239" s="128">
        <f>'Inputs and eligible population'!$G$52*'Inputs and eligible population'!$L$84*'Capacity (local prices)'!$C239</f>
        <v>0</v>
      </c>
      <c r="F239" s="128">
        <f>'Inputs and eligible population'!$G$52*'Inputs and eligible population'!$L$84*'Capacity (local prices)'!$C239</f>
        <v>0</v>
      </c>
      <c r="G239" s="128">
        <f>'Inputs and eligible population'!$G$52*'Inputs and eligible population'!$M$84*'Capacity (local prices)'!$C239</f>
        <v>0</v>
      </c>
      <c r="H239" s="128">
        <f>'Inputs and eligible population'!$G$52*'Inputs and eligible population'!$N$84*'Capacity (local prices)'!$C239</f>
        <v>0</v>
      </c>
      <c r="I239" s="128">
        <f>'Inputs and eligible population'!$G$52*'Inputs and eligible population'!$O$84*'Capacity (local prices)'!$C239</f>
        <v>0</v>
      </c>
      <c r="J239" s="862"/>
      <c r="K239" s="544">
        <f>'Inputs and eligible population'!$N$118*'Inputs and eligible population'!H$118/60</f>
        <v>0</v>
      </c>
      <c r="L239" s="546">
        <f t="shared" si="210"/>
        <v>0</v>
      </c>
      <c r="M239" s="546">
        <f t="shared" si="205"/>
        <v>0</v>
      </c>
      <c r="N239" s="546">
        <f t="shared" si="206"/>
        <v>0</v>
      </c>
      <c r="O239" s="546">
        <f t="shared" si="207"/>
        <v>0</v>
      </c>
      <c r="P239" s="546">
        <f t="shared" si="208"/>
        <v>0</v>
      </c>
      <c r="Q239" s="546">
        <f t="shared" si="209"/>
        <v>0</v>
      </c>
      <c r="R239" s="133"/>
      <c r="S239" s="133"/>
      <c r="T239" s="133"/>
      <c r="U239" s="133"/>
      <c r="V239" s="133"/>
      <c r="W239" s="133"/>
      <c r="X239" s="133"/>
      <c r="Y239" s="133"/>
      <c r="Z239" s="133"/>
      <c r="AJ239" s="283"/>
      <c r="AK239" s="283"/>
      <c r="AL239" s="283"/>
      <c r="AM239" s="283"/>
      <c r="AN239" s="283"/>
    </row>
    <row r="240" spans="1:40" x14ac:dyDescent="0.3">
      <c r="A240" s="861"/>
      <c r="B240" s="334" t="s">
        <v>1066</v>
      </c>
      <c r="C240" s="846">
        <f>'Inputs and eligible population'!I117</f>
        <v>0</v>
      </c>
      <c r="D240" s="128">
        <f>'Financial impact (cash)'!D$15*$C240*'Inputs and eligible population'!$E$53</f>
        <v>0</v>
      </c>
      <c r="E240" s="128">
        <f>'Financial impact (cash)'!E$15*$C240*'Inputs and eligible population'!$E$53</f>
        <v>0</v>
      </c>
      <c r="F240" s="128">
        <f>'Financial impact (cash)'!F$15*$C240*'Inputs and eligible population'!$E$53</f>
        <v>0</v>
      </c>
      <c r="G240" s="128">
        <f>'Financial impact (cash)'!G$15*$C240*'Inputs and eligible population'!$E$53</f>
        <v>0</v>
      </c>
      <c r="H240" s="128">
        <f>'Financial impact (cash)'!H$15*$C240*'Inputs and eligible population'!$E$53</f>
        <v>0</v>
      </c>
      <c r="I240" s="128">
        <f>'Financial impact (cash)'!I$15*$C240*'Inputs and eligible population'!$E$53</f>
        <v>0</v>
      </c>
      <c r="J240" s="862"/>
      <c r="K240" s="544">
        <f>'Inputs and eligible population'!$N$118*'Inputs and eligible population'!I$118/60</f>
        <v>0</v>
      </c>
      <c r="L240" s="546">
        <f t="shared" si="210"/>
        <v>0</v>
      </c>
      <c r="M240" s="546">
        <f t="shared" si="205"/>
        <v>0</v>
      </c>
      <c r="N240" s="546">
        <f t="shared" si="206"/>
        <v>0</v>
      </c>
      <c r="O240" s="546">
        <f t="shared" si="207"/>
        <v>0</v>
      </c>
      <c r="P240" s="546">
        <f t="shared" si="208"/>
        <v>0</v>
      </c>
      <c r="Q240" s="546">
        <f t="shared" si="209"/>
        <v>0</v>
      </c>
      <c r="R240" s="133"/>
      <c r="S240" s="133"/>
      <c r="T240" s="133"/>
      <c r="U240" s="133"/>
      <c r="V240" s="133"/>
      <c r="W240" s="133"/>
      <c r="X240" s="133"/>
      <c r="Y240" s="133"/>
      <c r="Z240" s="133"/>
      <c r="AJ240" s="283"/>
      <c r="AK240" s="283"/>
      <c r="AL240" s="283"/>
      <c r="AM240" s="283"/>
      <c r="AN240" s="283"/>
    </row>
    <row r="241" spans="1:40" x14ac:dyDescent="0.3">
      <c r="A241" s="861"/>
      <c r="B241" s="334" t="s">
        <v>1067</v>
      </c>
      <c r="C241" s="149">
        <f>'Inputs and eligible population'!J117</f>
        <v>0.44</v>
      </c>
      <c r="D241" s="128">
        <f>'Financial impact (cash)'!D$15*$C241*'Inputs and eligible population'!$E$54</f>
        <v>0</v>
      </c>
      <c r="E241" s="128">
        <f>'Financial impact (cash)'!E$15*$C241*'Inputs and eligible population'!$E$54</f>
        <v>0</v>
      </c>
      <c r="F241" s="128">
        <f>'Financial impact (cash)'!F$15*$C241*'Inputs and eligible population'!$E$54</f>
        <v>0</v>
      </c>
      <c r="G241" s="128">
        <f>'Financial impact (cash)'!G$15*$C241*'Inputs and eligible population'!$E$54</f>
        <v>0</v>
      </c>
      <c r="H241" s="128">
        <f>'Financial impact (cash)'!H$15*$C241*'Inputs and eligible population'!$E$54</f>
        <v>0</v>
      </c>
      <c r="I241" s="128">
        <f>'Financial impact (cash)'!I$15*$C241*'Inputs and eligible population'!$E$54</f>
        <v>0</v>
      </c>
      <c r="J241" s="862"/>
      <c r="K241" s="544">
        <f>'Inputs and eligible population'!$N$118*'Inputs and eligible population'!J$118/60</f>
        <v>0</v>
      </c>
      <c r="L241" s="546">
        <f t="shared" si="210"/>
        <v>0</v>
      </c>
      <c r="M241" s="546">
        <f t="shared" si="205"/>
        <v>0</v>
      </c>
      <c r="N241" s="546">
        <f t="shared" si="206"/>
        <v>0</v>
      </c>
      <c r="O241" s="546">
        <f t="shared" si="207"/>
        <v>0</v>
      </c>
      <c r="P241" s="546">
        <f t="shared" si="208"/>
        <v>0</v>
      </c>
      <c r="Q241" s="546">
        <f t="shared" si="209"/>
        <v>0</v>
      </c>
      <c r="R241" s="133"/>
      <c r="S241" s="133"/>
      <c r="T241" s="133"/>
      <c r="U241" s="133"/>
      <c r="V241" s="133"/>
      <c r="W241" s="133"/>
      <c r="X241" s="133"/>
      <c r="Y241" s="133"/>
      <c r="Z241" s="133"/>
      <c r="AJ241" s="283"/>
      <c r="AK241" s="283"/>
      <c r="AL241" s="283"/>
      <c r="AM241" s="283"/>
      <c r="AN241" s="283"/>
    </row>
    <row r="242" spans="1:40" x14ac:dyDescent="0.3">
      <c r="A242" s="861"/>
      <c r="B242" s="334" t="s">
        <v>1165</v>
      </c>
      <c r="C242" s="149">
        <f>'Inputs and eligible population'!K$117</f>
        <v>0</v>
      </c>
      <c r="D242" s="128">
        <f>Summary!$C$17*'Capacity (local prices)'!$C242*'Inputs and eligible population'!$E$55</f>
        <v>0</v>
      </c>
      <c r="E242" s="128">
        <f>(Summary!$D$17*'Capacity (local prices)'!$C242*'Inputs and eligible population'!$E$55)</f>
        <v>0</v>
      </c>
      <c r="F242" s="128">
        <f>(Summary!$E$17*'Capacity (local prices)'!$C242*'Inputs and eligible population'!$E$55)</f>
        <v>0</v>
      </c>
      <c r="G242" s="128">
        <f>(Summary!$F$17*'Capacity (local prices)'!$C242*'Inputs and eligible population'!$E$55)</f>
        <v>0</v>
      </c>
      <c r="H242" s="128">
        <f>(Summary!$G$17*'Capacity (local prices)'!$C242*'Inputs and eligible population'!$E$55)</f>
        <v>0</v>
      </c>
      <c r="I242" s="128">
        <f>(Summary!$H$17*'Capacity (local prices)'!$C242*'Inputs and eligible population'!$E$55)</f>
        <v>0</v>
      </c>
      <c r="J242" s="862"/>
      <c r="K242" s="544">
        <f>'Inputs and eligible population'!$N$118*'Inputs and eligible population'!K$118/60</f>
        <v>0</v>
      </c>
      <c r="L242" s="546">
        <f t="shared" si="210"/>
        <v>0</v>
      </c>
      <c r="M242" s="546">
        <f t="shared" si="205"/>
        <v>0</v>
      </c>
      <c r="N242" s="546">
        <f t="shared" si="206"/>
        <v>0</v>
      </c>
      <c r="O242" s="546">
        <f t="shared" si="207"/>
        <v>0</v>
      </c>
      <c r="P242" s="546">
        <f t="shared" si="208"/>
        <v>0</v>
      </c>
      <c r="Q242" s="546">
        <f t="shared" si="209"/>
        <v>0</v>
      </c>
      <c r="R242" s="133"/>
      <c r="S242" s="133"/>
      <c r="T242" s="133"/>
      <c r="U242" s="133"/>
      <c r="V242" s="133"/>
      <c r="W242" s="133"/>
      <c r="X242" s="133"/>
      <c r="Y242" s="133"/>
      <c r="Z242" s="133"/>
      <c r="AJ242" s="283"/>
      <c r="AK242" s="283"/>
      <c r="AL242" s="283"/>
      <c r="AM242" s="283"/>
      <c r="AN242" s="283"/>
    </row>
    <row r="243" spans="1:40" x14ac:dyDescent="0.3">
      <c r="A243" s="861"/>
      <c r="B243" s="334" t="s">
        <v>1166</v>
      </c>
      <c r="C243" s="149">
        <f>'Inputs and eligible population'!K$117</f>
        <v>0</v>
      </c>
      <c r="D243" s="128">
        <f>Summary!$C$17*'Capacity (local prices)'!$C242*'Inputs and eligible population'!$F$55</f>
        <v>0</v>
      </c>
      <c r="E243" s="128">
        <f>Summary!$C$17*'Capacity (local prices)'!$C242*'Inputs and eligible population'!$F$55</f>
        <v>0</v>
      </c>
      <c r="F243" s="128">
        <f>(Summary!$D$17*'Capacity (local prices)'!$C242*'Inputs and eligible population'!$F$55)</f>
        <v>0</v>
      </c>
      <c r="G243" s="128">
        <f>(Summary!$E$17*'Capacity (local prices)'!$C242*'Inputs and eligible population'!$F$55)</f>
        <v>0</v>
      </c>
      <c r="H243" s="128">
        <f>(Summary!$F$17*'Capacity (local prices)'!$C242*'Inputs and eligible population'!$F$55)</f>
        <v>0</v>
      </c>
      <c r="I243" s="128">
        <f>(Summary!$G$17*'Capacity (local prices)'!$C242*'Inputs and eligible population'!$F$55)</f>
        <v>0</v>
      </c>
      <c r="J243" s="862"/>
      <c r="K243" s="544">
        <f>'Inputs and eligible population'!$N$118*'Inputs and eligible population'!K$118/60</f>
        <v>0</v>
      </c>
      <c r="L243" s="546">
        <f t="shared" si="210"/>
        <v>0</v>
      </c>
      <c r="M243" s="546">
        <f t="shared" si="205"/>
        <v>0</v>
      </c>
      <c r="N243" s="546">
        <f t="shared" si="206"/>
        <v>0</v>
      </c>
      <c r="O243" s="546">
        <f t="shared" si="207"/>
        <v>0</v>
      </c>
      <c r="P243" s="546">
        <f t="shared" si="208"/>
        <v>0</v>
      </c>
      <c r="Q243" s="546">
        <f t="shared" si="209"/>
        <v>0</v>
      </c>
      <c r="R243" s="133"/>
      <c r="S243" s="133"/>
      <c r="T243" s="133"/>
      <c r="U243" s="133"/>
      <c r="V243" s="133"/>
      <c r="W243" s="133"/>
      <c r="X243" s="133"/>
      <c r="Y243" s="133"/>
      <c r="Z243" s="133"/>
      <c r="AJ243" s="283"/>
      <c r="AK243" s="283"/>
      <c r="AL243" s="283"/>
      <c r="AM243" s="283"/>
      <c r="AN243" s="283"/>
    </row>
    <row r="244" spans="1:40" x14ac:dyDescent="0.3">
      <c r="A244" s="861"/>
      <c r="B244" s="334" t="s">
        <v>1167</v>
      </c>
      <c r="C244" s="149">
        <f>'Inputs and eligible population'!K$117</f>
        <v>0</v>
      </c>
      <c r="D244" s="128">
        <f>Summary!$C$17*'Capacity (local prices)'!$C242*'Inputs and eligible population'!$G$55</f>
        <v>0</v>
      </c>
      <c r="E244" s="128">
        <f>Summary!$C$17*'Capacity (local prices)'!$C242*'Inputs and eligible population'!$G$55</f>
        <v>0</v>
      </c>
      <c r="F244" s="128">
        <f>Summary!$C$17*'Capacity (local prices)'!$C242*'Inputs and eligible population'!$G$55</f>
        <v>0</v>
      </c>
      <c r="G244" s="128">
        <f>(Summary!$D$17*'Capacity (local prices)'!$C242*'Inputs and eligible population'!$G$55)</f>
        <v>0</v>
      </c>
      <c r="H244" s="128">
        <f>(Summary!$E$17*'Capacity (local prices)'!$C242*'Inputs and eligible population'!$G$55)</f>
        <v>0</v>
      </c>
      <c r="I244" s="128">
        <f>(Summary!$F$17*'Capacity (local prices)'!$C242*'Inputs and eligible population'!$G$55)</f>
        <v>0</v>
      </c>
      <c r="J244" s="862"/>
      <c r="K244" s="544">
        <f>'Inputs and eligible population'!$N$118*'Inputs and eligible population'!K$118/60</f>
        <v>0</v>
      </c>
      <c r="L244" s="546">
        <f t="shared" si="210"/>
        <v>0</v>
      </c>
      <c r="M244" s="546">
        <f t="shared" si="205"/>
        <v>0</v>
      </c>
      <c r="N244" s="546">
        <f t="shared" si="206"/>
        <v>0</v>
      </c>
      <c r="O244" s="546">
        <f t="shared" si="207"/>
        <v>0</v>
      </c>
      <c r="P244" s="546">
        <f t="shared" si="208"/>
        <v>0</v>
      </c>
      <c r="Q244" s="546">
        <f t="shared" si="209"/>
        <v>0</v>
      </c>
      <c r="R244" s="133"/>
      <c r="S244" s="133"/>
      <c r="T244" s="133"/>
      <c r="U244" s="133"/>
      <c r="V244" s="133"/>
      <c r="W244" s="133"/>
      <c r="X244" s="133"/>
      <c r="Y244" s="133"/>
      <c r="Z244" s="133"/>
      <c r="AJ244" s="283"/>
      <c r="AK244" s="283"/>
      <c r="AL244" s="283"/>
      <c r="AM244" s="283"/>
      <c r="AN244" s="283"/>
    </row>
    <row r="245" spans="1:40" x14ac:dyDescent="0.3">
      <c r="A245" s="861"/>
      <c r="B245" s="832" t="s">
        <v>1069</v>
      </c>
      <c r="C245" s="149">
        <f>'Inputs and eligible population'!L117</f>
        <v>0</v>
      </c>
      <c r="D245" s="128">
        <f>Summary!C$18*'Capacity (local prices)'!$C245*'Inputs and eligible population'!$E$56</f>
        <v>0</v>
      </c>
      <c r="E245" s="128">
        <f>Summary!D$18*'Capacity (local prices)'!$C245*'Inputs and eligible population'!$E$56</f>
        <v>0</v>
      </c>
      <c r="F245" s="128">
        <f>Summary!E$18*'Capacity (local prices)'!$C245*'Inputs and eligible population'!$E$56</f>
        <v>0</v>
      </c>
      <c r="G245" s="128">
        <f>Summary!F$18*'Capacity (local prices)'!$C245*'Inputs and eligible population'!$E$56</f>
        <v>0</v>
      </c>
      <c r="H245" s="128">
        <f>Summary!G$18*'Capacity (local prices)'!$C245*'Inputs and eligible population'!$E$56</f>
        <v>0</v>
      </c>
      <c r="I245" s="128">
        <f>Summary!H$18*'Capacity (local prices)'!$C245*'Inputs and eligible population'!$E$56</f>
        <v>0</v>
      </c>
      <c r="J245" s="862"/>
      <c r="K245" s="544">
        <f>'Inputs and eligible population'!$N$118*'Inputs and eligible population'!L$118/60</f>
        <v>0</v>
      </c>
      <c r="L245" s="546">
        <f t="shared" si="210"/>
        <v>0</v>
      </c>
      <c r="M245" s="546">
        <f t="shared" si="205"/>
        <v>0</v>
      </c>
      <c r="N245" s="546">
        <f t="shared" si="206"/>
        <v>0</v>
      </c>
      <c r="O245" s="546">
        <f t="shared" si="207"/>
        <v>0</v>
      </c>
      <c r="P245" s="546">
        <f t="shared" si="208"/>
        <v>0</v>
      </c>
      <c r="Q245" s="546">
        <f t="shared" si="209"/>
        <v>0</v>
      </c>
      <c r="R245" s="133"/>
      <c r="S245" s="133"/>
      <c r="T245" s="133"/>
      <c r="U245" s="133"/>
      <c r="V245" s="133"/>
      <c r="W245" s="133"/>
      <c r="X245" s="133"/>
      <c r="Y245" s="133"/>
      <c r="Z245" s="133"/>
      <c r="AJ245" s="283"/>
      <c r="AK245" s="283"/>
      <c r="AL245" s="283"/>
      <c r="AM245" s="283"/>
      <c r="AN245" s="283"/>
    </row>
    <row r="246" spans="1:40" x14ac:dyDescent="0.3">
      <c r="A246" s="861"/>
      <c r="B246" s="504"/>
      <c r="C246" s="280"/>
      <c r="D246" s="186">
        <f>SUM(D235:D245)</f>
        <v>0</v>
      </c>
      <c r="E246" s="186">
        <f t="shared" ref="E246:I246" si="211">SUM(E235:E245)</f>
        <v>0</v>
      </c>
      <c r="F246" s="186">
        <f t="shared" si="211"/>
        <v>0</v>
      </c>
      <c r="G246" s="186">
        <f>SUM(G235:G245)</f>
        <v>0</v>
      </c>
      <c r="H246" s="186">
        <f t="shared" si="211"/>
        <v>0</v>
      </c>
      <c r="I246" s="186">
        <f t="shared" si="211"/>
        <v>0</v>
      </c>
      <c r="J246" s="862"/>
      <c r="K246" s="856"/>
      <c r="L246" s="290">
        <f>SUM(L235:L245)</f>
        <v>0</v>
      </c>
      <c r="M246" s="290">
        <f t="shared" ref="M246:Q246" si="212">SUM(M235:M245)</f>
        <v>0</v>
      </c>
      <c r="N246" s="290">
        <f>SUM(N235:N245)</f>
        <v>0</v>
      </c>
      <c r="O246" s="290">
        <f t="shared" si="212"/>
        <v>0</v>
      </c>
      <c r="P246" s="290">
        <f t="shared" si="212"/>
        <v>0</v>
      </c>
      <c r="Q246" s="290">
        <f t="shared" si="212"/>
        <v>0</v>
      </c>
      <c r="R246" s="133"/>
      <c r="S246" s="133"/>
      <c r="T246" s="133"/>
      <c r="U246" s="133"/>
      <c r="V246" s="133"/>
      <c r="W246" s="133"/>
      <c r="X246" s="133"/>
      <c r="Y246" s="133"/>
      <c r="Z246" s="133"/>
      <c r="AJ246" s="283"/>
      <c r="AK246" s="283"/>
      <c r="AL246" s="283"/>
      <c r="AM246" s="283"/>
      <c r="AN246" s="283"/>
    </row>
    <row r="247" spans="1:40" x14ac:dyDescent="0.3">
      <c r="A247" s="861"/>
      <c r="B247" s="255"/>
      <c r="C247" s="255"/>
      <c r="D247" s="282" t="s">
        <v>841</v>
      </c>
      <c r="E247" s="186">
        <f>E246-$D$246</f>
        <v>0</v>
      </c>
      <c r="F247" s="186">
        <f t="shared" ref="F247:I247" si="213">F246-$D$246</f>
        <v>0</v>
      </c>
      <c r="G247" s="186">
        <f t="shared" si="213"/>
        <v>0</v>
      </c>
      <c r="H247" s="186">
        <f t="shared" si="213"/>
        <v>0</v>
      </c>
      <c r="I247" s="186">
        <f t="shared" si="213"/>
        <v>0</v>
      </c>
      <c r="J247" s="862"/>
      <c r="K247" s="856"/>
      <c r="L247" s="856"/>
      <c r="M247" s="290">
        <f>M246-$L246</f>
        <v>0</v>
      </c>
      <c r="N247" s="290">
        <f t="shared" ref="N247:Q247" si="214">N246-$L246</f>
        <v>0</v>
      </c>
      <c r="O247" s="290">
        <f t="shared" si="214"/>
        <v>0</v>
      </c>
      <c r="P247" s="290">
        <f t="shared" si="214"/>
        <v>0</v>
      </c>
      <c r="Q247" s="290">
        <f t="shared" si="214"/>
        <v>0</v>
      </c>
      <c r="R247" s="133"/>
      <c r="S247" s="133"/>
      <c r="T247" s="133"/>
      <c r="U247" s="133"/>
      <c r="V247" s="133"/>
      <c r="W247" s="133"/>
      <c r="X247" s="133"/>
      <c r="Y247" s="133"/>
      <c r="Z247" s="133"/>
      <c r="AJ247" s="283"/>
      <c r="AK247" s="283"/>
      <c r="AL247" s="283"/>
      <c r="AM247" s="283"/>
      <c r="AN247" s="283"/>
    </row>
    <row r="248" spans="1:40" x14ac:dyDescent="0.3">
      <c r="A248" s="849"/>
      <c r="B248" s="849"/>
      <c r="C248" s="856"/>
      <c r="D248" s="849"/>
      <c r="E248" s="849"/>
      <c r="F248" s="849"/>
      <c r="G248" s="849"/>
      <c r="H248" s="849"/>
      <c r="I248" s="856"/>
      <c r="J248" s="856"/>
      <c r="K248" s="856"/>
      <c r="L248" s="856"/>
      <c r="M248" s="856"/>
      <c r="N248" s="856"/>
      <c r="O248" s="856"/>
      <c r="P248" s="856"/>
      <c r="Q248" s="856"/>
      <c r="V248" s="133"/>
    </row>
    <row r="249" spans="1:40" x14ac:dyDescent="0.3">
      <c r="A249" s="849"/>
      <c r="B249" s="850" t="s">
        <v>1113</v>
      </c>
      <c r="C249" s="851"/>
      <c r="D249" s="852"/>
      <c r="E249" s="853"/>
      <c r="F249" s="854"/>
      <c r="G249" s="854"/>
      <c r="H249" s="854"/>
      <c r="I249" s="855"/>
      <c r="J249" s="849"/>
      <c r="K249" s="849"/>
      <c r="L249" s="849"/>
      <c r="M249" s="849"/>
      <c r="N249" s="849"/>
      <c r="O249" s="849"/>
      <c r="P249" s="849"/>
      <c r="Q249" s="856"/>
      <c r="R249" s="133"/>
      <c r="S249" s="133"/>
      <c r="T249" s="133"/>
      <c r="U249" s="133"/>
      <c r="V249" s="133"/>
      <c r="W249" s="133"/>
      <c r="X249" s="133"/>
      <c r="Y249" s="133"/>
      <c r="Z249" s="133"/>
      <c r="AJ249" s="283"/>
      <c r="AK249" s="283"/>
      <c r="AL249" s="283"/>
      <c r="AM249" s="283"/>
      <c r="AN249" s="283"/>
    </row>
    <row r="250" spans="1:40" x14ac:dyDescent="0.3">
      <c r="A250" s="849"/>
      <c r="B250" s="857" t="s">
        <v>1086</v>
      </c>
      <c r="C250" s="858"/>
      <c r="D250" s="858"/>
      <c r="E250" s="858"/>
      <c r="F250" s="858"/>
      <c r="G250" s="858"/>
      <c r="H250" s="858"/>
      <c r="I250" s="859"/>
      <c r="J250" s="856"/>
      <c r="K250" s="856"/>
      <c r="L250" s="860"/>
      <c r="M250" s="860"/>
      <c r="N250" s="860"/>
      <c r="O250" s="860"/>
      <c r="P250" s="860"/>
      <c r="Q250" s="860"/>
      <c r="R250" s="133"/>
      <c r="S250" s="133"/>
      <c r="T250" s="133"/>
      <c r="U250" s="133"/>
      <c r="V250" s="133"/>
      <c r="W250" s="133"/>
      <c r="X250" s="133"/>
      <c r="Y250" s="133"/>
      <c r="Z250" s="133"/>
      <c r="AJ250" s="283"/>
      <c r="AK250" s="283"/>
      <c r="AL250" s="283"/>
      <c r="AM250" s="283"/>
      <c r="AN250" s="283"/>
    </row>
    <row r="251" spans="1:40" ht="43.2" x14ac:dyDescent="0.3">
      <c r="A251" s="861"/>
      <c r="B251" s="306" t="s">
        <v>766</v>
      </c>
      <c r="C251" s="166" t="s">
        <v>1099</v>
      </c>
      <c r="D251" s="402" t="s">
        <v>831</v>
      </c>
      <c r="E251" s="254" t="s">
        <v>676</v>
      </c>
      <c r="F251" s="254" t="s">
        <v>677</v>
      </c>
      <c r="G251" s="165" t="s">
        <v>803</v>
      </c>
      <c r="H251" s="165" t="s">
        <v>804</v>
      </c>
      <c r="I251" s="254" t="s">
        <v>805</v>
      </c>
      <c r="J251" s="862"/>
      <c r="K251" s="531" t="s">
        <v>1100</v>
      </c>
      <c r="L251" s="402" t="s">
        <v>831</v>
      </c>
      <c r="M251" s="521" t="s">
        <v>676</v>
      </c>
      <c r="N251" s="521" t="s">
        <v>677</v>
      </c>
      <c r="O251" s="403" t="s">
        <v>803</v>
      </c>
      <c r="P251" s="403" t="s">
        <v>804</v>
      </c>
      <c r="Q251" s="521" t="s">
        <v>805</v>
      </c>
      <c r="R251" s="133"/>
      <c r="S251" s="133"/>
      <c r="T251" s="133"/>
      <c r="U251" s="133"/>
      <c r="V251" s="133"/>
      <c r="W251" s="133"/>
      <c r="X251" s="133"/>
      <c r="Y251" s="133"/>
      <c r="Z251" s="133"/>
      <c r="AJ251" s="283"/>
      <c r="AK251" s="283"/>
      <c r="AL251" s="283"/>
      <c r="AM251" s="283"/>
      <c r="AN251" s="283"/>
    </row>
    <row r="252" spans="1:40" x14ac:dyDescent="0.3">
      <c r="A252" s="861"/>
      <c r="B252" s="334" t="s">
        <v>1065</v>
      </c>
      <c r="C252" s="846">
        <f>'Inputs and eligible population'!F119</f>
        <v>0</v>
      </c>
      <c r="D252" s="128">
        <f>Summary!$C$16*'Capacity (local prices)'!$C252*'Inputs and eligible population'!$E$50</f>
        <v>0</v>
      </c>
      <c r="E252" s="128">
        <f>Summary!$D$16*'Capacity (local prices)'!$C252*'Inputs and eligible population'!$E$50</f>
        <v>0</v>
      </c>
      <c r="F252" s="128">
        <f>Summary!E$16*'Capacity (local prices)'!$C252*'Inputs and eligible population'!$E$50</f>
        <v>0</v>
      </c>
      <c r="G252" s="128">
        <f>Summary!F$16*'Capacity (local prices)'!$C252*'Inputs and eligible population'!$E$50</f>
        <v>0</v>
      </c>
      <c r="H252" s="128">
        <f>Summary!G$16*'Capacity (local prices)'!$C252*'Inputs and eligible population'!$E$50</f>
        <v>0</v>
      </c>
      <c r="I252" s="128">
        <f>Summary!H$16*'Capacity (local prices)'!$C252*'Inputs and eligible population'!$E$50</f>
        <v>0</v>
      </c>
      <c r="J252" s="862"/>
      <c r="K252" s="544">
        <f>'Inputs and eligible population'!$N$120*'Inputs and eligible population'!F$120/60</f>
        <v>0</v>
      </c>
      <c r="L252" s="546">
        <f>$K252/1000*D252</f>
        <v>0</v>
      </c>
      <c r="M252" s="546">
        <f t="shared" ref="M252:M261" si="215">$K252/1000*E252</f>
        <v>0</v>
      </c>
      <c r="N252" s="546">
        <f t="shared" ref="N252:N261" si="216">$K252/1000*F252</f>
        <v>0</v>
      </c>
      <c r="O252" s="546">
        <f t="shared" ref="O252:O261" si="217">$K252/1000*G252</f>
        <v>0</v>
      </c>
      <c r="P252" s="546">
        <f t="shared" ref="P252:P261" si="218">$K252/1000*H252</f>
        <v>0</v>
      </c>
      <c r="Q252" s="546">
        <f t="shared" ref="Q252:Q261" si="219">$K252/1000*I252</f>
        <v>0</v>
      </c>
      <c r="R252" s="133"/>
      <c r="S252" s="133"/>
      <c r="T252" s="133"/>
      <c r="U252" s="133"/>
      <c r="V252" s="133"/>
      <c r="W252" s="133"/>
      <c r="X252" s="133"/>
      <c r="Y252" s="133"/>
      <c r="Z252" s="133"/>
      <c r="AJ252" s="283"/>
      <c r="AK252" s="283"/>
      <c r="AL252" s="283"/>
      <c r="AM252" s="283"/>
      <c r="AN252" s="283"/>
    </row>
    <row r="253" spans="1:40" x14ac:dyDescent="0.3">
      <c r="A253" s="861"/>
      <c r="B253" s="334" t="s">
        <v>1064</v>
      </c>
      <c r="C253" s="149">
        <f>'Inputs and eligible population'!G119</f>
        <v>0.32</v>
      </c>
      <c r="D253" s="128">
        <f>Summary!C$16*'Capacity (local prices)'!$C253*'Inputs and eligible population'!$E$51</f>
        <v>0</v>
      </c>
      <c r="E253" s="128">
        <f>Summary!D$16*'Capacity (local prices)'!$C253*'Inputs and eligible population'!$E$51</f>
        <v>0</v>
      </c>
      <c r="F253" s="128">
        <f>Summary!E$16*'Capacity (local prices)'!$C253*'Inputs and eligible population'!$E$51</f>
        <v>0</v>
      </c>
      <c r="G253" s="128">
        <f>Summary!F$16*'Capacity (local prices)'!$C253*'Inputs and eligible population'!$E$51</f>
        <v>0</v>
      </c>
      <c r="H253" s="128">
        <f>Summary!G$16*'Capacity (local prices)'!$C253*'Inputs and eligible population'!$E$51</f>
        <v>0</v>
      </c>
      <c r="I253" s="128">
        <f>Summary!H$16*'Capacity (local prices)'!$C253*'Inputs and eligible population'!$E$51</f>
        <v>0</v>
      </c>
      <c r="J253" s="862"/>
      <c r="K253" s="544">
        <f>'Inputs and eligible population'!$N$120*'Inputs and eligible population'!G$120/60</f>
        <v>0</v>
      </c>
      <c r="L253" s="546">
        <f t="shared" ref="L253:L261" si="220">$K253/1000*D253</f>
        <v>0</v>
      </c>
      <c r="M253" s="546">
        <f t="shared" si="215"/>
        <v>0</v>
      </c>
      <c r="N253" s="546">
        <f t="shared" si="216"/>
        <v>0</v>
      </c>
      <c r="O253" s="546">
        <f t="shared" si="217"/>
        <v>0</v>
      </c>
      <c r="P253" s="546">
        <f t="shared" si="218"/>
        <v>0</v>
      </c>
      <c r="Q253" s="546">
        <f t="shared" si="219"/>
        <v>0</v>
      </c>
      <c r="R253" s="133"/>
      <c r="S253" s="133"/>
      <c r="T253" s="133"/>
      <c r="U253" s="133"/>
      <c r="V253" s="133"/>
      <c r="W253" s="133"/>
      <c r="X253" s="133"/>
      <c r="Y253" s="133"/>
      <c r="Z253" s="133"/>
      <c r="AJ253" s="283"/>
      <c r="AK253" s="283"/>
      <c r="AL253" s="283"/>
      <c r="AM253" s="283"/>
      <c r="AN253" s="283"/>
    </row>
    <row r="254" spans="1:40" x14ac:dyDescent="0.3">
      <c r="A254" s="861"/>
      <c r="B254" s="334" t="s">
        <v>1162</v>
      </c>
      <c r="C254" s="149">
        <f>'Inputs and eligible population'!H$119</f>
        <v>0</v>
      </c>
      <c r="D254" s="128">
        <f>'Inputs and eligible population'!$E$52*'Inputs and eligible population'!$L$84*'Capacity (local prices)'!$C$33</f>
        <v>0</v>
      </c>
      <c r="E254" s="128">
        <f>'Inputs and eligible population'!$E$52*'Inputs and eligible population'!$M$84*'Capacity (local prices)'!$C254</f>
        <v>0</v>
      </c>
      <c r="F254" s="128">
        <f>'Inputs and eligible population'!$E$52*'Inputs and eligible population'!$N$84*'Capacity (local prices)'!$C254</f>
        <v>0</v>
      </c>
      <c r="G254" s="128">
        <f>'Inputs and eligible population'!$E$52*'Inputs and eligible population'!$O$84*'Capacity (local prices)'!$C254</f>
        <v>0</v>
      </c>
      <c r="H254" s="128">
        <f>'Inputs and eligible population'!$E$52*'Inputs and eligible population'!$P$84*'Capacity (local prices)'!$C254</f>
        <v>0</v>
      </c>
      <c r="I254" s="128">
        <f>'Inputs and eligible population'!$E$52*'Inputs and eligible population'!$Q$84*'Capacity (local prices)'!$C254</f>
        <v>0</v>
      </c>
      <c r="J254" s="862"/>
      <c r="K254" s="544">
        <f>'Inputs and eligible population'!$N$120*'Inputs and eligible population'!H$120/60</f>
        <v>0</v>
      </c>
      <c r="L254" s="546">
        <f t="shared" si="220"/>
        <v>0</v>
      </c>
      <c r="M254" s="546">
        <f t="shared" si="215"/>
        <v>0</v>
      </c>
      <c r="N254" s="546">
        <f t="shared" si="216"/>
        <v>0</v>
      </c>
      <c r="O254" s="546">
        <f t="shared" si="217"/>
        <v>0</v>
      </c>
      <c r="P254" s="546">
        <f t="shared" si="218"/>
        <v>0</v>
      </c>
      <c r="Q254" s="546">
        <f t="shared" si="219"/>
        <v>0</v>
      </c>
      <c r="R254" s="133"/>
      <c r="S254" s="133"/>
      <c r="T254" s="133"/>
      <c r="U254" s="133"/>
      <c r="V254" s="133"/>
      <c r="W254" s="133"/>
      <c r="X254" s="133"/>
      <c r="Y254" s="133"/>
      <c r="Z254" s="133"/>
      <c r="AJ254" s="283"/>
      <c r="AK254" s="283"/>
      <c r="AL254" s="283"/>
      <c r="AM254" s="283"/>
      <c r="AN254" s="283"/>
    </row>
    <row r="255" spans="1:40" x14ac:dyDescent="0.3">
      <c r="A255" s="861"/>
      <c r="B255" s="334" t="s">
        <v>1163</v>
      </c>
      <c r="C255" s="149">
        <f>'Inputs and eligible population'!H$119</f>
        <v>0</v>
      </c>
      <c r="D255" s="128">
        <f>'Inputs and eligible population'!$F$52*'Inputs and eligible population'!$L$84*'Capacity (local prices)'!$C255</f>
        <v>0</v>
      </c>
      <c r="E255" s="128">
        <f>'Inputs and eligible population'!$F$52*'Inputs and eligible population'!$L$84*'Capacity (local prices)'!$C255</f>
        <v>0</v>
      </c>
      <c r="F255" s="128">
        <f>'Inputs and eligible population'!$F$52*'Inputs and eligible population'!$M$84*'Capacity (local prices)'!$C255</f>
        <v>0</v>
      </c>
      <c r="G255" s="128">
        <f>'Inputs and eligible population'!$F$52*'Inputs and eligible population'!$N$84*'Capacity (local prices)'!$C255</f>
        <v>0</v>
      </c>
      <c r="H255" s="128">
        <f>'Inputs and eligible population'!$F$52*'Inputs and eligible population'!$O$84*'Capacity (local prices)'!$C255</f>
        <v>0</v>
      </c>
      <c r="I255" s="128">
        <f>'Inputs and eligible population'!$F$52*'Inputs and eligible population'!$P$84*'Capacity (local prices)'!$C255</f>
        <v>0</v>
      </c>
      <c r="J255" s="862"/>
      <c r="K255" s="544">
        <f>'Inputs and eligible population'!$N$120*'Inputs and eligible population'!H$120/60</f>
        <v>0</v>
      </c>
      <c r="L255" s="546">
        <f t="shared" si="220"/>
        <v>0</v>
      </c>
      <c r="M255" s="546">
        <f t="shared" si="215"/>
        <v>0</v>
      </c>
      <c r="N255" s="546">
        <f t="shared" si="216"/>
        <v>0</v>
      </c>
      <c r="O255" s="546">
        <f t="shared" si="217"/>
        <v>0</v>
      </c>
      <c r="P255" s="546">
        <f t="shared" si="218"/>
        <v>0</v>
      </c>
      <c r="Q255" s="546">
        <f t="shared" si="219"/>
        <v>0</v>
      </c>
      <c r="R255" s="133"/>
      <c r="S255" s="133"/>
      <c r="T255" s="133"/>
      <c r="U255" s="133"/>
      <c r="V255" s="133"/>
      <c r="W255" s="133"/>
      <c r="X255" s="133"/>
      <c r="Y255" s="133"/>
      <c r="Z255" s="133"/>
      <c r="AJ255" s="283"/>
      <c r="AK255" s="283"/>
      <c r="AL255" s="283"/>
      <c r="AM255" s="283"/>
      <c r="AN255" s="283"/>
    </row>
    <row r="256" spans="1:40" x14ac:dyDescent="0.3">
      <c r="A256" s="861"/>
      <c r="B256" s="334" t="s">
        <v>1164</v>
      </c>
      <c r="C256" s="149">
        <f>'Inputs and eligible population'!H$119</f>
        <v>0</v>
      </c>
      <c r="D256" s="128">
        <f>'Inputs and eligible population'!$G$52*'Inputs and eligible population'!$L$84*'Capacity (local prices)'!$C256</f>
        <v>0</v>
      </c>
      <c r="E256" s="128">
        <f>'Inputs and eligible population'!$G$52*'Inputs and eligible population'!$L$84*'Capacity (local prices)'!$C256</f>
        <v>0</v>
      </c>
      <c r="F256" s="128">
        <f>'Inputs and eligible population'!$G$52*'Inputs and eligible population'!$L$84*'Capacity (local prices)'!$C256</f>
        <v>0</v>
      </c>
      <c r="G256" s="128">
        <f>'Inputs and eligible population'!$G$52*'Inputs and eligible population'!$M$84*'Capacity (local prices)'!$C256</f>
        <v>0</v>
      </c>
      <c r="H256" s="128">
        <f>'Inputs and eligible population'!$G$52*'Inputs and eligible population'!$N$84*'Capacity (local prices)'!$C256</f>
        <v>0</v>
      </c>
      <c r="I256" s="128">
        <f>'Inputs and eligible population'!$G$52*'Inputs and eligible population'!$O$84*'Capacity (local prices)'!$C256</f>
        <v>0</v>
      </c>
      <c r="J256" s="862"/>
      <c r="K256" s="544">
        <f>'Inputs and eligible population'!$N$120*'Inputs and eligible population'!H$120/60</f>
        <v>0</v>
      </c>
      <c r="L256" s="546">
        <f t="shared" si="220"/>
        <v>0</v>
      </c>
      <c r="M256" s="546">
        <f t="shared" si="215"/>
        <v>0</v>
      </c>
      <c r="N256" s="546">
        <f t="shared" si="216"/>
        <v>0</v>
      </c>
      <c r="O256" s="546">
        <f t="shared" si="217"/>
        <v>0</v>
      </c>
      <c r="P256" s="546">
        <f t="shared" si="218"/>
        <v>0</v>
      </c>
      <c r="Q256" s="546">
        <f t="shared" si="219"/>
        <v>0</v>
      </c>
      <c r="R256" s="133"/>
      <c r="S256" s="133"/>
      <c r="T256" s="133"/>
      <c r="U256" s="133"/>
      <c r="V256" s="133"/>
      <c r="W256" s="133"/>
      <c r="X256" s="133"/>
      <c r="Y256" s="133"/>
      <c r="Z256" s="133"/>
      <c r="AJ256" s="283"/>
      <c r="AK256" s="283"/>
      <c r="AL256" s="283"/>
      <c r="AM256" s="283"/>
      <c r="AN256" s="283"/>
    </row>
    <row r="257" spans="1:40" x14ac:dyDescent="0.3">
      <c r="A257" s="861"/>
      <c r="B257" s="334" t="s">
        <v>1066</v>
      </c>
      <c r="C257" s="846">
        <f>'Inputs and eligible population'!I119</f>
        <v>0</v>
      </c>
      <c r="D257" s="128">
        <f>'Financial impact (cash)'!D$15*$C257*'Inputs and eligible population'!$E$53</f>
        <v>0</v>
      </c>
      <c r="E257" s="128">
        <f>'Financial impact (cash)'!E$15*$C257*'Inputs and eligible population'!$E$53</f>
        <v>0</v>
      </c>
      <c r="F257" s="128">
        <f>'Financial impact (cash)'!F$15*$C257*'Inputs and eligible population'!$E$53</f>
        <v>0</v>
      </c>
      <c r="G257" s="128">
        <f>'Financial impact (cash)'!G$15*$C257*'Inputs and eligible population'!$E$53</f>
        <v>0</v>
      </c>
      <c r="H257" s="128">
        <f>'Financial impact (cash)'!H$15*$C257*'Inputs and eligible population'!$E$53</f>
        <v>0</v>
      </c>
      <c r="I257" s="128">
        <f>'Financial impact (cash)'!I$15*$C257*'Inputs and eligible population'!$E$53</f>
        <v>0</v>
      </c>
      <c r="J257" s="862"/>
      <c r="K257" s="544">
        <f>'Inputs and eligible population'!$N$120*'Inputs and eligible population'!I$120/60</f>
        <v>0</v>
      </c>
      <c r="L257" s="546">
        <f t="shared" si="220"/>
        <v>0</v>
      </c>
      <c r="M257" s="546">
        <f t="shared" si="215"/>
        <v>0</v>
      </c>
      <c r="N257" s="546">
        <f t="shared" si="216"/>
        <v>0</v>
      </c>
      <c r="O257" s="546">
        <f t="shared" si="217"/>
        <v>0</v>
      </c>
      <c r="P257" s="546">
        <f t="shared" si="218"/>
        <v>0</v>
      </c>
      <c r="Q257" s="546">
        <f t="shared" si="219"/>
        <v>0</v>
      </c>
      <c r="R257" s="133"/>
      <c r="S257" s="133"/>
      <c r="T257" s="133"/>
      <c r="U257" s="133"/>
      <c r="V257" s="133"/>
      <c r="W257" s="133"/>
      <c r="X257" s="133"/>
      <c r="Y257" s="133"/>
      <c r="Z257" s="133"/>
      <c r="AJ257" s="283"/>
      <c r="AK257" s="283"/>
      <c r="AL257" s="283"/>
      <c r="AM257" s="283"/>
      <c r="AN257" s="283"/>
    </row>
    <row r="258" spans="1:40" x14ac:dyDescent="0.3">
      <c r="A258" s="861"/>
      <c r="B258" s="334" t="s">
        <v>1067</v>
      </c>
      <c r="C258" s="149">
        <f>'Inputs and eligible population'!J119</f>
        <v>0.32</v>
      </c>
      <c r="D258" s="128">
        <f>'Financial impact (cash)'!D$15*$C258*'Inputs and eligible population'!$E$54</f>
        <v>0</v>
      </c>
      <c r="E258" s="128">
        <f>'Financial impact (cash)'!E$15*$C258*'Inputs and eligible population'!$E$54</f>
        <v>0</v>
      </c>
      <c r="F258" s="128">
        <f>'Financial impact (cash)'!F$15*$C258*'Inputs and eligible population'!$E$54</f>
        <v>0</v>
      </c>
      <c r="G258" s="128">
        <f>'Financial impact (cash)'!G$15*$C258*'Inputs and eligible population'!$E$54</f>
        <v>0</v>
      </c>
      <c r="H258" s="128">
        <f>'Financial impact (cash)'!H$15*$C258*'Inputs and eligible population'!$E$54</f>
        <v>0</v>
      </c>
      <c r="I258" s="128">
        <f>'Financial impact (cash)'!I$15*$C258*'Inputs and eligible population'!$E$54</f>
        <v>0</v>
      </c>
      <c r="J258" s="862"/>
      <c r="K258" s="544">
        <f>'Inputs and eligible population'!$N$120*'Inputs and eligible population'!J$120/60</f>
        <v>0</v>
      </c>
      <c r="L258" s="546">
        <f t="shared" si="220"/>
        <v>0</v>
      </c>
      <c r="M258" s="546">
        <f t="shared" si="215"/>
        <v>0</v>
      </c>
      <c r="N258" s="546">
        <f t="shared" si="216"/>
        <v>0</v>
      </c>
      <c r="O258" s="546">
        <f t="shared" si="217"/>
        <v>0</v>
      </c>
      <c r="P258" s="546">
        <f t="shared" si="218"/>
        <v>0</v>
      </c>
      <c r="Q258" s="546">
        <f t="shared" si="219"/>
        <v>0</v>
      </c>
      <c r="R258" s="133"/>
      <c r="S258" s="133"/>
      <c r="T258" s="133"/>
      <c r="U258" s="133"/>
      <c r="V258" s="133"/>
      <c r="W258" s="133"/>
      <c r="X258" s="133"/>
      <c r="Y258" s="133"/>
      <c r="Z258" s="133"/>
      <c r="AJ258" s="283"/>
      <c r="AK258" s="283"/>
      <c r="AL258" s="283"/>
      <c r="AM258" s="283"/>
      <c r="AN258" s="283"/>
    </row>
    <row r="259" spans="1:40" x14ac:dyDescent="0.3">
      <c r="A259" s="861"/>
      <c r="B259" s="334" t="s">
        <v>1165</v>
      </c>
      <c r="C259" s="149">
        <f>'Inputs and eligible population'!K$119</f>
        <v>0</v>
      </c>
      <c r="D259" s="128">
        <f>Summary!$C$17*'Capacity (local prices)'!$C259*'Inputs and eligible population'!$E$55</f>
        <v>0</v>
      </c>
      <c r="E259" s="128">
        <f>(Summary!$D$17*'Capacity (local prices)'!$C259*'Inputs and eligible population'!$E$55)</f>
        <v>0</v>
      </c>
      <c r="F259" s="128">
        <f>(Summary!$E$17*'Capacity (local prices)'!$C259*'Inputs and eligible population'!$E$55)</f>
        <v>0</v>
      </c>
      <c r="G259" s="128">
        <f>(Summary!$F$17*'Capacity (local prices)'!$C259*'Inputs and eligible population'!$E$55)</f>
        <v>0</v>
      </c>
      <c r="H259" s="128">
        <f>(Summary!$G$17*'Capacity (local prices)'!$C259*'Inputs and eligible population'!$E$55)</f>
        <v>0</v>
      </c>
      <c r="I259" s="128">
        <f>(Summary!$H$17*'Capacity (local prices)'!$C259*'Inputs and eligible population'!$E$55)</f>
        <v>0</v>
      </c>
      <c r="J259" s="862"/>
      <c r="K259" s="544">
        <f>'Inputs and eligible population'!$N$120*'Inputs and eligible population'!K$120/60</f>
        <v>0</v>
      </c>
      <c r="L259" s="546">
        <f t="shared" si="220"/>
        <v>0</v>
      </c>
      <c r="M259" s="546">
        <f t="shared" si="215"/>
        <v>0</v>
      </c>
      <c r="N259" s="546">
        <f t="shared" si="216"/>
        <v>0</v>
      </c>
      <c r="O259" s="546">
        <f t="shared" si="217"/>
        <v>0</v>
      </c>
      <c r="P259" s="546">
        <f t="shared" si="218"/>
        <v>0</v>
      </c>
      <c r="Q259" s="546">
        <f t="shared" si="219"/>
        <v>0</v>
      </c>
      <c r="R259" s="133"/>
      <c r="S259" s="133"/>
      <c r="T259" s="133"/>
      <c r="U259" s="133"/>
      <c r="V259" s="133"/>
      <c r="W259" s="133"/>
      <c r="X259" s="133"/>
      <c r="Y259" s="133"/>
      <c r="Z259" s="133"/>
      <c r="AJ259" s="283"/>
      <c r="AK259" s="283"/>
      <c r="AL259" s="283"/>
      <c r="AM259" s="283"/>
      <c r="AN259" s="283"/>
    </row>
    <row r="260" spans="1:40" x14ac:dyDescent="0.3">
      <c r="A260" s="861"/>
      <c r="B260" s="334" t="s">
        <v>1166</v>
      </c>
      <c r="C260" s="149">
        <f>'Inputs and eligible population'!K$119</f>
        <v>0</v>
      </c>
      <c r="D260" s="128">
        <f>Summary!$C$17*'Capacity (local prices)'!$C259*'Inputs and eligible population'!$F$55</f>
        <v>0</v>
      </c>
      <c r="E260" s="128">
        <f>Summary!$C$17*'Capacity (local prices)'!$C259*'Inputs and eligible population'!$F$55</f>
        <v>0</v>
      </c>
      <c r="F260" s="128">
        <f>(Summary!$D$17*'Capacity (local prices)'!$C259*'Inputs and eligible population'!$F$55)</f>
        <v>0</v>
      </c>
      <c r="G260" s="128">
        <f>(Summary!$E$17*'Capacity (local prices)'!$C259*'Inputs and eligible population'!$F$55)</f>
        <v>0</v>
      </c>
      <c r="H260" s="128">
        <f>(Summary!$F$17*'Capacity (local prices)'!$C259*'Inputs and eligible population'!$F$55)</f>
        <v>0</v>
      </c>
      <c r="I260" s="128">
        <f>(Summary!$G$17*'Capacity (local prices)'!$C259*'Inputs and eligible population'!$F$55)</f>
        <v>0</v>
      </c>
      <c r="J260" s="862"/>
      <c r="K260" s="544">
        <f>'Inputs and eligible population'!$N$120*'Inputs and eligible population'!H$120/60</f>
        <v>0</v>
      </c>
      <c r="L260" s="546">
        <f t="shared" si="220"/>
        <v>0</v>
      </c>
      <c r="M260" s="546">
        <f t="shared" si="215"/>
        <v>0</v>
      </c>
      <c r="N260" s="546">
        <f t="shared" si="216"/>
        <v>0</v>
      </c>
      <c r="O260" s="546">
        <f t="shared" si="217"/>
        <v>0</v>
      </c>
      <c r="P260" s="546">
        <f t="shared" si="218"/>
        <v>0</v>
      </c>
      <c r="Q260" s="546">
        <f t="shared" si="219"/>
        <v>0</v>
      </c>
      <c r="R260" s="133"/>
      <c r="S260" s="133"/>
      <c r="T260" s="133"/>
      <c r="U260" s="133"/>
      <c r="V260" s="133"/>
      <c r="W260" s="133"/>
      <c r="X260" s="133"/>
      <c r="Y260" s="133"/>
      <c r="Z260" s="133"/>
      <c r="AJ260" s="283"/>
      <c r="AK260" s="283"/>
      <c r="AL260" s="283"/>
      <c r="AM260" s="283"/>
      <c r="AN260" s="283"/>
    </row>
    <row r="261" spans="1:40" x14ac:dyDescent="0.3">
      <c r="A261" s="861"/>
      <c r="B261" s="334" t="s">
        <v>1167</v>
      </c>
      <c r="C261" s="149">
        <f>'Inputs and eligible population'!K$119</f>
        <v>0</v>
      </c>
      <c r="D261" s="128">
        <f>Summary!$C$17*'Capacity (local prices)'!$C259*'Inputs and eligible population'!$G$55</f>
        <v>0</v>
      </c>
      <c r="E261" s="128">
        <f>Summary!$C$17*'Capacity (local prices)'!$C259*'Inputs and eligible population'!$G$55</f>
        <v>0</v>
      </c>
      <c r="F261" s="128">
        <f>Summary!$C$17*'Capacity (local prices)'!$C259*'Inputs and eligible population'!$G$55</f>
        <v>0</v>
      </c>
      <c r="G261" s="128">
        <f>(Summary!$D$17*'Capacity (local prices)'!$C259*'Inputs and eligible population'!$G$55)</f>
        <v>0</v>
      </c>
      <c r="H261" s="128">
        <f>(Summary!$E$17*'Capacity (local prices)'!$C259*'Inputs and eligible population'!$G$55)</f>
        <v>0</v>
      </c>
      <c r="I261" s="128">
        <f>(Summary!$F$17*'Capacity (local prices)'!$C259*'Inputs and eligible population'!$G$55)</f>
        <v>0</v>
      </c>
      <c r="J261" s="862"/>
      <c r="K261" s="544">
        <f>'Inputs and eligible population'!$N$120*'Inputs and eligible population'!H$120/60</f>
        <v>0</v>
      </c>
      <c r="L261" s="546">
        <f t="shared" si="220"/>
        <v>0</v>
      </c>
      <c r="M261" s="546">
        <f t="shared" si="215"/>
        <v>0</v>
      </c>
      <c r="N261" s="546">
        <f t="shared" si="216"/>
        <v>0</v>
      </c>
      <c r="O261" s="546">
        <f t="shared" si="217"/>
        <v>0</v>
      </c>
      <c r="P261" s="546">
        <f t="shared" si="218"/>
        <v>0</v>
      </c>
      <c r="Q261" s="546">
        <f t="shared" si="219"/>
        <v>0</v>
      </c>
      <c r="R261" s="133"/>
      <c r="S261" s="133"/>
      <c r="T261" s="133"/>
      <c r="U261" s="133"/>
      <c r="V261" s="133"/>
      <c r="W261" s="133"/>
      <c r="X261" s="133"/>
      <c r="Y261" s="133"/>
      <c r="Z261" s="133"/>
      <c r="AJ261" s="283"/>
      <c r="AK261" s="283"/>
      <c r="AL261" s="283"/>
      <c r="AM261" s="283"/>
      <c r="AN261" s="283"/>
    </row>
    <row r="262" spans="1:40" x14ac:dyDescent="0.3">
      <c r="A262" s="861"/>
      <c r="B262" s="832" t="s">
        <v>1069</v>
      </c>
      <c r="C262" s="149">
        <f>'Inputs and eligible population'!L119</f>
        <v>0</v>
      </c>
      <c r="D262" s="128">
        <f>Summary!C$18*'Capacity (local prices)'!$C262*'Inputs and eligible population'!$E$56</f>
        <v>0</v>
      </c>
      <c r="E262" s="128">
        <f>Summary!D$18*'Capacity (local prices)'!$C262*'Inputs and eligible population'!$E$56</f>
        <v>0</v>
      </c>
      <c r="F262" s="128">
        <f>Summary!E$18*'Capacity (local prices)'!$C262*'Inputs and eligible population'!$E$56</f>
        <v>0</v>
      </c>
      <c r="G262" s="128">
        <f>Summary!F$18*'Capacity (local prices)'!$C262*'Inputs and eligible population'!$E$56</f>
        <v>0</v>
      </c>
      <c r="H262" s="128">
        <f>Summary!G$18*'Capacity (local prices)'!$C262*'Inputs and eligible population'!$E$56</f>
        <v>0</v>
      </c>
      <c r="I262" s="128">
        <f>Summary!H$18*'Capacity (local prices)'!$C262*'Inputs and eligible population'!$E$56</f>
        <v>0</v>
      </c>
      <c r="J262" s="862"/>
      <c r="K262" s="544">
        <f>'Inputs and eligible population'!$N$120*'Inputs and eligible population'!L$120/60</f>
        <v>0</v>
      </c>
      <c r="L262" s="546">
        <f t="shared" ref="L262" si="221">$K262/1000*D262</f>
        <v>0</v>
      </c>
      <c r="M262" s="546">
        <f t="shared" ref="M262" si="222">$K262/1000*E262</f>
        <v>0</v>
      </c>
      <c r="N262" s="546">
        <f t="shared" ref="N262" si="223">$K262/1000*F262</f>
        <v>0</v>
      </c>
      <c r="O262" s="546">
        <f t="shared" ref="O262" si="224">$K262/1000*G262</f>
        <v>0</v>
      </c>
      <c r="P262" s="546">
        <f t="shared" ref="P262" si="225">$K262/1000*H262</f>
        <v>0</v>
      </c>
      <c r="Q262" s="546">
        <f t="shared" ref="Q262" si="226">$K262/1000*I262</f>
        <v>0</v>
      </c>
      <c r="R262" s="133"/>
      <c r="S262" s="133"/>
      <c r="T262" s="133"/>
      <c r="U262" s="133"/>
      <c r="V262" s="133"/>
      <c r="W262" s="133"/>
      <c r="X262" s="133"/>
      <c r="Y262" s="133"/>
      <c r="Z262" s="133"/>
      <c r="AJ262" s="283"/>
      <c r="AK262" s="283"/>
      <c r="AL262" s="283"/>
      <c r="AM262" s="283"/>
      <c r="AN262" s="283"/>
    </row>
    <row r="263" spans="1:40" x14ac:dyDescent="0.3">
      <c r="A263" s="861"/>
      <c r="B263" s="504"/>
      <c r="C263" s="280"/>
      <c r="D263" s="186">
        <f>SUM(D252:D262)</f>
        <v>0</v>
      </c>
      <c r="E263" s="186">
        <f t="shared" ref="E263:I263" si="227">SUM(E252:E262)</f>
        <v>0</v>
      </c>
      <c r="F263" s="186">
        <f t="shared" si="227"/>
        <v>0</v>
      </c>
      <c r="G263" s="186">
        <f t="shared" si="227"/>
        <v>0</v>
      </c>
      <c r="H263" s="186">
        <f t="shared" si="227"/>
        <v>0</v>
      </c>
      <c r="I263" s="186">
        <f t="shared" si="227"/>
        <v>0</v>
      </c>
      <c r="J263" s="862"/>
      <c r="K263" s="856"/>
      <c r="L263" s="290">
        <f>SUM(L252:L262)</f>
        <v>0</v>
      </c>
      <c r="M263" s="290">
        <f t="shared" ref="M263:Q263" si="228">SUM(M252:M262)</f>
        <v>0</v>
      </c>
      <c r="N263" s="290">
        <f t="shared" si="228"/>
        <v>0</v>
      </c>
      <c r="O263" s="290">
        <f t="shared" si="228"/>
        <v>0</v>
      </c>
      <c r="P263" s="290">
        <f t="shared" si="228"/>
        <v>0</v>
      </c>
      <c r="Q263" s="290">
        <f t="shared" si="228"/>
        <v>0</v>
      </c>
      <c r="R263" s="133"/>
      <c r="S263" s="133"/>
      <c r="T263" s="133"/>
      <c r="U263" s="133"/>
      <c r="V263" s="133"/>
      <c r="W263" s="133"/>
      <c r="X263" s="133"/>
      <c r="Y263" s="133"/>
      <c r="Z263" s="133"/>
      <c r="AJ263" s="283"/>
      <c r="AK263" s="283"/>
      <c r="AL263" s="283"/>
      <c r="AM263" s="283"/>
      <c r="AN263" s="283"/>
    </row>
    <row r="264" spans="1:40" x14ac:dyDescent="0.3">
      <c r="A264" s="861"/>
      <c r="B264" s="255"/>
      <c r="C264" s="255"/>
      <c r="D264" s="282" t="s">
        <v>841</v>
      </c>
      <c r="E264" s="186">
        <f>E263-$D$263</f>
        <v>0</v>
      </c>
      <c r="F264" s="186">
        <f t="shared" ref="F264:I264" si="229">F263-$D$263</f>
        <v>0</v>
      </c>
      <c r="G264" s="186">
        <f t="shared" si="229"/>
        <v>0</v>
      </c>
      <c r="H264" s="186">
        <f t="shared" si="229"/>
        <v>0</v>
      </c>
      <c r="I264" s="186">
        <f t="shared" si="229"/>
        <v>0</v>
      </c>
      <c r="J264" s="862"/>
      <c r="K264" s="856"/>
      <c r="L264" s="856"/>
      <c r="M264" s="290">
        <f>M263-$L263</f>
        <v>0</v>
      </c>
      <c r="N264" s="290">
        <f t="shared" ref="N264:Q264" si="230">N263-$L263</f>
        <v>0</v>
      </c>
      <c r="O264" s="290">
        <f t="shared" si="230"/>
        <v>0</v>
      </c>
      <c r="P264" s="290">
        <f t="shared" si="230"/>
        <v>0</v>
      </c>
      <c r="Q264" s="290">
        <f t="shared" si="230"/>
        <v>0</v>
      </c>
      <c r="R264" s="133"/>
      <c r="S264" s="133"/>
      <c r="T264" s="133"/>
      <c r="U264" s="133"/>
      <c r="V264" s="133"/>
      <c r="W264" s="133"/>
      <c r="X264" s="133"/>
      <c r="Y264" s="133"/>
      <c r="Z264" s="133"/>
      <c r="AJ264" s="283"/>
      <c r="AK264" s="283"/>
      <c r="AL264" s="283"/>
      <c r="AM264" s="283"/>
      <c r="AN264" s="283"/>
    </row>
    <row r="265" spans="1:40" x14ac:dyDescent="0.3">
      <c r="A265" s="849"/>
      <c r="B265" s="849"/>
      <c r="C265" s="856"/>
      <c r="D265" s="849"/>
      <c r="E265" s="849"/>
      <c r="F265" s="849"/>
      <c r="G265" s="849"/>
      <c r="H265" s="849"/>
      <c r="I265" s="856"/>
      <c r="J265" s="856"/>
      <c r="K265" s="856"/>
      <c r="L265" s="856"/>
      <c r="M265" s="856"/>
      <c r="N265" s="856"/>
      <c r="O265" s="856"/>
      <c r="P265" s="856"/>
      <c r="Q265" s="856"/>
      <c r="V265" s="133"/>
    </row>
    <row r="266" spans="1:40" x14ac:dyDescent="0.3">
      <c r="A266" s="288"/>
      <c r="B266" s="312" t="s">
        <v>726</v>
      </c>
      <c r="C266" s="302"/>
      <c r="D266" s="303"/>
      <c r="E266" s="304"/>
      <c r="F266" s="305"/>
      <c r="G266" s="305"/>
      <c r="H266" s="305"/>
      <c r="I266" s="411"/>
      <c r="J266" s="417"/>
      <c r="K266" s="288"/>
      <c r="L266" s="288"/>
      <c r="M266" s="288"/>
      <c r="N266" s="288"/>
      <c r="O266" s="288"/>
      <c r="P266" s="288"/>
      <c r="Q266" s="288"/>
      <c r="R266" s="133"/>
      <c r="S266" s="133"/>
      <c r="T266" s="133"/>
      <c r="U266" s="133"/>
      <c r="V266" s="133"/>
      <c r="W266" s="133"/>
      <c r="X266" s="133"/>
      <c r="Y266" s="133"/>
      <c r="Z266" s="133"/>
      <c r="AJ266" s="283"/>
      <c r="AK266" s="283"/>
      <c r="AL266" s="283"/>
      <c r="AM266" s="283"/>
      <c r="AN266" s="283"/>
    </row>
    <row r="267" spans="1:40" x14ac:dyDescent="0.3">
      <c r="A267" s="288"/>
      <c r="B267" s="383" t="s">
        <v>849</v>
      </c>
      <c r="C267" s="384"/>
      <c r="D267" s="384"/>
      <c r="E267" s="384"/>
      <c r="F267" s="384"/>
      <c r="G267" s="384"/>
      <c r="H267" s="384"/>
      <c r="I267" s="222"/>
      <c r="J267" s="415"/>
      <c r="K267" s="415"/>
      <c r="L267" s="416"/>
      <c r="M267" s="416"/>
      <c r="N267" s="416"/>
      <c r="O267" s="416"/>
      <c r="P267" s="416"/>
      <c r="Q267" s="416"/>
      <c r="R267" s="133"/>
      <c r="S267" s="133"/>
      <c r="T267" s="133"/>
      <c r="U267" s="133"/>
      <c r="V267" s="133"/>
      <c r="W267" s="133"/>
      <c r="X267" s="133"/>
      <c r="Y267" s="133"/>
      <c r="Z267" s="133"/>
      <c r="AJ267" s="283"/>
      <c r="AK267" s="283"/>
      <c r="AL267" s="283"/>
      <c r="AM267" s="283"/>
      <c r="AN267" s="283"/>
    </row>
    <row r="268" spans="1:40" ht="43.2" x14ac:dyDescent="0.3">
      <c r="A268" s="288"/>
      <c r="B268" s="276" t="s">
        <v>766</v>
      </c>
      <c r="C268" s="208"/>
      <c r="D268" s="402" t="s">
        <v>831</v>
      </c>
      <c r="E268" s="254" t="s">
        <v>676</v>
      </c>
      <c r="F268" s="254" t="s">
        <v>677</v>
      </c>
      <c r="G268" s="165" t="s">
        <v>803</v>
      </c>
      <c r="H268" s="165" t="s">
        <v>804</v>
      </c>
      <c r="I268" s="254" t="s">
        <v>805</v>
      </c>
      <c r="J268" s="288"/>
      <c r="K268" s="531" t="s">
        <v>850</v>
      </c>
      <c r="L268" s="402" t="s">
        <v>831</v>
      </c>
      <c r="M268" s="254" t="s">
        <v>676</v>
      </c>
      <c r="N268" s="254" t="s">
        <v>677</v>
      </c>
      <c r="O268" s="165" t="s">
        <v>803</v>
      </c>
      <c r="P268" s="165" t="s">
        <v>804</v>
      </c>
      <c r="Q268" s="254" t="s">
        <v>805</v>
      </c>
      <c r="R268" s="133"/>
      <c r="S268" s="133"/>
      <c r="T268" s="133"/>
      <c r="U268" s="133"/>
      <c r="V268" s="133"/>
      <c r="W268" s="133"/>
      <c r="X268" s="133"/>
      <c r="Y268" s="133"/>
      <c r="Z268" s="133"/>
      <c r="AJ268" s="283"/>
      <c r="AK268" s="283"/>
      <c r="AL268" s="283"/>
      <c r="AM268" s="283"/>
      <c r="AN268" s="283"/>
    </row>
    <row r="269" spans="1:40" x14ac:dyDescent="0.3">
      <c r="A269" s="288"/>
      <c r="B269" s="866" t="s">
        <v>1147</v>
      </c>
      <c r="C269" s="168"/>
      <c r="D269" s="128">
        <f>(Summary!C$16*'Unit costs'!$C148)+(Summary!C$17*'Unit costs'!$D148)+(Summary!C$18*'Unit costs'!$E148)</f>
        <v>233.59821621698711</v>
      </c>
      <c r="E269" s="128">
        <f>(Summary!D$16*'Unit costs'!$C148)+(Summary!D$17*'Unit costs'!$D148)+(Summary!D$18*'Unit costs'!$E148)</f>
        <v>214.51166819599376</v>
      </c>
      <c r="F269" s="128">
        <f>(Summary!E$16*'Unit costs'!$C148)+(Summary!E$17*'Unit costs'!$D148)+(Summary!E$18*'Unit costs'!$E148)</f>
        <v>214.02861392883091</v>
      </c>
      <c r="G269" s="128">
        <f>(Summary!F$16*'Unit costs'!$C148)+(Summary!F$17*'Unit costs'!$D148)+(Summary!F$18*'Unit costs'!$E148)</f>
        <v>196.91583945944336</v>
      </c>
      <c r="H269" s="128">
        <f>(Summary!G$16*'Unit costs'!$C148)+(Summary!G$17*'Unit costs'!$D148)+(Summary!G$18*'Unit costs'!$E148)</f>
        <v>198.81446407010924</v>
      </c>
      <c r="I269" s="128">
        <f>(Summary!H$16*'Unit costs'!$C148)+(Summary!H$17*'Unit costs'!$D148)+(Summary!H$18*'Unit costs'!$E148)</f>
        <v>200.7313948537174</v>
      </c>
      <c r="J269" s="288"/>
      <c r="K269" s="547">
        <f>'Unit costs'!L148</f>
        <v>392.18201514736484</v>
      </c>
      <c r="L269" s="289">
        <f>(D269*$K269)/1000</f>
        <v>91.613019170807846</v>
      </c>
      <c r="M269" s="289">
        <f t="shared" ref="M269:Q293" si="231">(E269*$K269)/1000</f>
        <v>84.127618305727722</v>
      </c>
      <c r="N269" s="289">
        <f t="shared" si="231"/>
        <v>83.938173109806257</v>
      </c>
      <c r="O269" s="289">
        <f t="shared" si="231"/>
        <v>77.22685073363948</v>
      </c>
      <c r="P269" s="289">
        <f t="shared" si="231"/>
        <v>77.971457159458808</v>
      </c>
      <c r="Q269" s="289">
        <f t="shared" si="231"/>
        <v>78.723242937072271</v>
      </c>
      <c r="R269" s="133"/>
      <c r="S269" s="133"/>
      <c r="T269" s="133"/>
      <c r="U269" s="133"/>
      <c r="V269" s="133"/>
      <c r="W269" s="133"/>
      <c r="X269" s="133"/>
      <c r="Y269" s="133"/>
      <c r="Z269" s="133"/>
      <c r="AJ269" s="283"/>
      <c r="AK269" s="283"/>
      <c r="AL269" s="283"/>
      <c r="AM269" s="283"/>
      <c r="AN269" s="283"/>
    </row>
    <row r="270" spans="1:40" x14ac:dyDescent="0.3">
      <c r="A270" s="288"/>
      <c r="B270" s="866" t="s">
        <v>1148</v>
      </c>
      <c r="C270" s="168"/>
      <c r="D270" s="128">
        <f>(Summary!C$16*'Unit costs'!$C149)+(Summary!C$17*'Unit costs'!$D149)+(Summary!C$18*'Unit costs'!$E149)</f>
        <v>39.761398505019088</v>
      </c>
      <c r="E270" s="128">
        <f>(Summary!D$16*'Unit costs'!$C149)+(Summary!D$17*'Unit costs'!$D149)+(Summary!D$18*'Unit costs'!$E149)</f>
        <v>36.512624373786174</v>
      </c>
      <c r="F270" s="128">
        <f>(Summary!E$16*'Unit costs'!$C149)+(Summary!E$17*'Unit costs'!$D149)+(Summary!E$18*'Unit costs'!$E149)</f>
        <v>36.43040237086484</v>
      </c>
      <c r="G270" s="128">
        <f>(Summary!F$16*'Unit costs'!$C149)+(Summary!F$17*'Unit costs'!$D149)+(Summary!F$18*'Unit costs'!$E149)</f>
        <v>33.517589695224402</v>
      </c>
      <c r="H270" s="128">
        <f>(Summary!G$16*'Unit costs'!$C149)+(Summary!G$17*'Unit costs'!$D149)+(Summary!G$18*'Unit costs'!$E149)</f>
        <v>33.840759841720725</v>
      </c>
      <c r="I270" s="128">
        <f>(Summary!H$16*'Unit costs'!$C149)+(Summary!H$17*'Unit costs'!$D149)+(Summary!H$18*'Unit costs'!$E149)</f>
        <v>34.167045932547651</v>
      </c>
      <c r="J270" s="288"/>
      <c r="K270" s="547">
        <f>'Unit costs'!L149</f>
        <v>413.10891580742805</v>
      </c>
      <c r="L270" s="289">
        <f t="shared" ref="L270:L294" si="232">(D270*$K270)/1000</f>
        <v>16.425788227395525</v>
      </c>
      <c r="M270" s="289">
        <f t="shared" si="231"/>
        <v>15.083690668338679</v>
      </c>
      <c r="N270" s="289">
        <f t="shared" si="231"/>
        <v>15.04972402585633</v>
      </c>
      <c r="O270" s="289">
        <f t="shared" si="231"/>
        <v>13.846415139472375</v>
      </c>
      <c r="P270" s="289">
        <f t="shared" si="231"/>
        <v>13.9799196083128</v>
      </c>
      <c r="Q270" s="289">
        <f t="shared" si="231"/>
        <v>14.114711301537355</v>
      </c>
      <c r="R270" s="133"/>
      <c r="S270" s="133"/>
      <c r="T270" s="133"/>
      <c r="U270" s="133"/>
      <c r="V270" s="133"/>
      <c r="W270" s="133"/>
      <c r="X270" s="133"/>
      <c r="Y270" s="133"/>
      <c r="Z270" s="133"/>
      <c r="AJ270" s="283"/>
      <c r="AK270" s="283"/>
      <c r="AL270" s="283"/>
      <c r="AM270" s="283"/>
      <c r="AN270" s="283"/>
    </row>
    <row r="271" spans="1:40" x14ac:dyDescent="0.3">
      <c r="A271" s="288"/>
      <c r="B271" s="866" t="s">
        <v>974</v>
      </c>
      <c r="C271" s="168"/>
      <c r="D271" s="128">
        <f>(Summary!C$16*'Unit costs'!$C150)+(Summary!C$17*'Unit costs'!$D150)+(Summary!C$18*'Unit costs'!$E150)</f>
        <v>22.720799145725191</v>
      </c>
      <c r="E271" s="128">
        <f>(Summary!D$16*'Unit costs'!$C150)+(Summary!D$17*'Unit costs'!$D150)+(Summary!D$18*'Unit costs'!$E150)</f>
        <v>20.864356785020671</v>
      </c>
      <c r="F271" s="128">
        <f>(Summary!E$16*'Unit costs'!$C150)+(Summary!E$17*'Unit costs'!$D150)+(Summary!E$18*'Unit costs'!$E150)</f>
        <v>20.817372783351335</v>
      </c>
      <c r="G271" s="128">
        <f>(Summary!F$16*'Unit costs'!$C150)+(Summary!F$17*'Unit costs'!$D150)+(Summary!F$18*'Unit costs'!$E150)</f>
        <v>19.152908397271087</v>
      </c>
      <c r="H271" s="128">
        <f>(Summary!G$16*'Unit costs'!$C150)+(Summary!G$17*'Unit costs'!$D150)+(Summary!G$18*'Unit costs'!$E150)</f>
        <v>19.337577052411842</v>
      </c>
      <c r="I271" s="128">
        <f>(Summary!H$16*'Unit costs'!$C150)+(Summary!H$17*'Unit costs'!$D150)+(Summary!H$18*'Unit costs'!$E150)</f>
        <v>19.524026247170085</v>
      </c>
      <c r="J271" s="288"/>
      <c r="K271" s="547">
        <f>'Unit costs'!L150</f>
        <v>379.12694673761439</v>
      </c>
      <c r="L271" s="289">
        <f t="shared" si="232"/>
        <v>8.6140672075573885</v>
      </c>
      <c r="M271" s="289">
        <f t="shared" si="231"/>
        <v>7.9102398835491154</v>
      </c>
      <c r="N271" s="289">
        <f t="shared" si="231"/>
        <v>7.8924269824507043</v>
      </c>
      <c r="O271" s="289">
        <f t="shared" si="231"/>
        <v>7.2613836818026032</v>
      </c>
      <c r="P271" s="289">
        <f t="shared" si="231"/>
        <v>7.3313965451842584</v>
      </c>
      <c r="Q271" s="289">
        <f t="shared" si="231"/>
        <v>7.4020844591146382</v>
      </c>
      <c r="R271" s="133"/>
      <c r="S271" s="133"/>
      <c r="T271" s="133"/>
      <c r="U271" s="133"/>
      <c r="V271" s="133"/>
      <c r="W271" s="133"/>
      <c r="X271" s="133"/>
      <c r="Y271" s="133"/>
      <c r="Z271" s="133"/>
      <c r="AJ271" s="283"/>
      <c r="AK271" s="283"/>
      <c r="AL271" s="283"/>
      <c r="AM271" s="283"/>
      <c r="AN271" s="283"/>
    </row>
    <row r="272" spans="1:40" x14ac:dyDescent="0.3">
      <c r="A272" s="288"/>
      <c r="B272" s="866" t="s">
        <v>975</v>
      </c>
      <c r="C272" s="168"/>
      <c r="D272" s="128">
        <f>(Summary!C$16*'Unit costs'!$C151)+(Summary!C$17*'Unit costs'!$D151)+(Summary!C$18*'Unit costs'!$E151)</f>
        <v>205.90724225813454</v>
      </c>
      <c r="E272" s="128">
        <f>(Summary!D$16*'Unit costs'!$C151)+(Summary!D$17*'Unit costs'!$D151)+(Summary!D$18*'Unit costs'!$E151)</f>
        <v>189.08323336424982</v>
      </c>
      <c r="F272" s="128">
        <f>(Summary!E$16*'Unit costs'!$C151)+(Summary!E$17*'Unit costs'!$D151)+(Summary!E$18*'Unit costs'!$E151)</f>
        <v>188.65744084912149</v>
      </c>
      <c r="G272" s="128">
        <f>(Summary!F$16*'Unit costs'!$C151)+(Summary!F$17*'Unit costs'!$D151)+(Summary!F$18*'Unit costs'!$E151)</f>
        <v>173.57323235026922</v>
      </c>
      <c r="H272" s="128">
        <f>(Summary!G$16*'Unit costs'!$C151)+(Summary!G$17*'Unit costs'!$D151)+(Summary!G$18*'Unit costs'!$E151)</f>
        <v>175.24679203748229</v>
      </c>
      <c r="I272" s="128">
        <f>(Summary!H$16*'Unit costs'!$C151)+(Summary!H$17*'Unit costs'!$D151)+(Summary!H$18*'Unit costs'!$E151)</f>
        <v>176.93648786497889</v>
      </c>
      <c r="J272" s="288"/>
      <c r="K272" s="547">
        <f>'Unit costs'!L151</f>
        <v>2863.2000000000003</v>
      </c>
      <c r="L272" s="289">
        <f t="shared" si="232"/>
        <v>589.55361603349081</v>
      </c>
      <c r="M272" s="289">
        <f t="shared" si="231"/>
        <v>541.38311376852016</v>
      </c>
      <c r="N272" s="289">
        <f t="shared" si="231"/>
        <v>540.16398463920473</v>
      </c>
      <c r="O272" s="289">
        <f t="shared" si="231"/>
        <v>496.97487886529092</v>
      </c>
      <c r="P272" s="289">
        <f t="shared" si="231"/>
        <v>501.76661496171937</v>
      </c>
      <c r="Q272" s="289">
        <f t="shared" si="231"/>
        <v>506.60455205500762</v>
      </c>
      <c r="R272" s="133"/>
      <c r="S272" s="133"/>
      <c r="T272" s="133"/>
      <c r="U272" s="133"/>
      <c r="V272" s="133"/>
      <c r="W272" s="133"/>
      <c r="X272" s="133"/>
      <c r="Y272" s="133"/>
      <c r="Z272" s="133"/>
      <c r="AJ272" s="283"/>
      <c r="AK272" s="283"/>
      <c r="AL272" s="283"/>
      <c r="AM272" s="283"/>
      <c r="AN272" s="283"/>
    </row>
    <row r="273" spans="1:40" x14ac:dyDescent="0.3">
      <c r="A273" s="288"/>
      <c r="B273" s="866" t="s">
        <v>976</v>
      </c>
      <c r="C273" s="168"/>
      <c r="D273" s="128">
        <f>(Summary!C$16*'Unit costs'!$C152)+(Summary!C$17*'Unit costs'!$D152)+(Summary!C$18*'Unit costs'!$E152)</f>
        <v>17.750624332597805</v>
      </c>
      <c r="E273" s="128">
        <f>(Summary!D$16*'Unit costs'!$C152)+(Summary!D$17*'Unit costs'!$D152)+(Summary!D$18*'Unit costs'!$E152)</f>
        <v>16.300278738297401</v>
      </c>
      <c r="F273" s="128">
        <f>(Summary!E$16*'Unit costs'!$C152)+(Summary!E$17*'Unit costs'!$D152)+(Summary!E$18*'Unit costs'!$E152)</f>
        <v>16.26357248699323</v>
      </c>
      <c r="G273" s="128">
        <f>(Summary!F$16*'Unit costs'!$C152)+(Summary!F$17*'Unit costs'!$D152)+(Summary!F$18*'Unit costs'!$E152)</f>
        <v>14.963209685368037</v>
      </c>
      <c r="H273" s="128">
        <f>(Summary!G$16*'Unit costs'!$C152)+(Summary!G$17*'Unit costs'!$D152)+(Summary!G$18*'Unit costs'!$E152)</f>
        <v>15.107482072196751</v>
      </c>
      <c r="I273" s="128">
        <f>(Summary!H$16*'Unit costs'!$C152)+(Summary!H$17*'Unit costs'!$D152)+(Summary!H$18*'Unit costs'!$E152)</f>
        <v>15.253145505601628</v>
      </c>
      <c r="J273" s="288"/>
      <c r="K273" s="547">
        <f>'Unit costs'!L152</f>
        <v>653.38692282679085</v>
      </c>
      <c r="L273" s="289">
        <f t="shared" si="232"/>
        <v>11.598025810930437</v>
      </c>
      <c r="M273" s="289">
        <f t="shared" si="231"/>
        <v>10.650388966035104</v>
      </c>
      <c r="N273" s="289">
        <f t="shared" si="231"/>
        <v>10.626405581446965</v>
      </c>
      <c r="O273" s="289">
        <f t="shared" si="231"/>
        <v>9.7767655319346556</v>
      </c>
      <c r="P273" s="289">
        <f t="shared" si="231"/>
        <v>9.8710312228135439</v>
      </c>
      <c r="Q273" s="289">
        <f t="shared" si="231"/>
        <v>9.9662058053343419</v>
      </c>
      <c r="R273" s="133"/>
      <c r="S273" s="133"/>
      <c r="T273" s="133"/>
      <c r="U273" s="133"/>
      <c r="V273" s="133"/>
      <c r="W273" s="133"/>
      <c r="X273" s="133"/>
      <c r="Y273" s="133"/>
      <c r="Z273" s="133"/>
      <c r="AJ273" s="283"/>
      <c r="AK273" s="283"/>
      <c r="AL273" s="283"/>
      <c r="AM273" s="283"/>
      <c r="AN273" s="283"/>
    </row>
    <row r="274" spans="1:40" x14ac:dyDescent="0.3">
      <c r="A274" s="288"/>
      <c r="B274" s="866" t="s">
        <v>1149</v>
      </c>
      <c r="C274" s="168"/>
      <c r="D274" s="128">
        <f>(Summary!C$16*'Unit costs'!$C153)+(Summary!C$17*'Unit costs'!$D153)+(Summary!C$18*'Unit costs'!$E153)</f>
        <v>17.040599359293889</v>
      </c>
      <c r="E274" s="128">
        <f>(Summary!D$16*'Unit costs'!$C153)+(Summary!D$17*'Unit costs'!$D153)+(Summary!D$18*'Unit costs'!$E153)</f>
        <v>15.648267588765501</v>
      </c>
      <c r="F274" s="128">
        <f>(Summary!E$16*'Unit costs'!$C153)+(Summary!E$17*'Unit costs'!$D153)+(Summary!E$18*'Unit costs'!$E153)</f>
        <v>15.613029587513498</v>
      </c>
      <c r="G274" s="128">
        <f>(Summary!F$16*'Unit costs'!$C153)+(Summary!F$17*'Unit costs'!$D153)+(Summary!F$18*'Unit costs'!$E153)</f>
        <v>14.364681297953314</v>
      </c>
      <c r="H274" s="128">
        <f>(Summary!G$16*'Unit costs'!$C153)+(Summary!G$17*'Unit costs'!$D153)+(Summary!G$18*'Unit costs'!$E153)</f>
        <v>14.503182789308878</v>
      </c>
      <c r="I274" s="128">
        <f>(Summary!H$16*'Unit costs'!$C153)+(Summary!H$17*'Unit costs'!$D153)+(Summary!H$18*'Unit costs'!$E153)</f>
        <v>14.643019685377562</v>
      </c>
      <c r="J274" s="288"/>
      <c r="K274" s="547">
        <f>'Unit costs'!L153</f>
        <v>459.7501511248413</v>
      </c>
      <c r="L274" s="289">
        <f t="shared" si="232"/>
        <v>7.8344181306932397</v>
      </c>
      <c r="M274" s="289">
        <f t="shared" si="231"/>
        <v>7.1942933887768952</v>
      </c>
      <c r="N274" s="289">
        <f t="shared" si="231"/>
        <v>7.1780927123759497</v>
      </c>
      <c r="O274" s="289">
        <f t="shared" si="231"/>
        <v>6.6041643975942179</v>
      </c>
      <c r="P274" s="289">
        <f t="shared" si="231"/>
        <v>6.667840479175954</v>
      </c>
      <c r="Q274" s="289">
        <f t="shared" si="231"/>
        <v>6.7321305132763598</v>
      </c>
      <c r="R274" s="133"/>
      <c r="S274" s="133"/>
      <c r="T274" s="133"/>
      <c r="U274" s="133"/>
      <c r="V274" s="133"/>
      <c r="W274" s="133"/>
      <c r="X274" s="133"/>
      <c r="Y274" s="133"/>
      <c r="Z274" s="133"/>
      <c r="AJ274" s="283"/>
      <c r="AK274" s="283"/>
      <c r="AL274" s="283"/>
      <c r="AM274" s="283"/>
      <c r="AN274" s="283"/>
    </row>
    <row r="275" spans="1:40" x14ac:dyDescent="0.3">
      <c r="A275" s="288"/>
      <c r="B275" s="866" t="s">
        <v>1150</v>
      </c>
      <c r="C275" s="168"/>
      <c r="D275" s="128">
        <f>(Summary!C$16*'Unit costs'!$C154)+(Summary!C$17*'Unit costs'!$D154)+(Summary!C$18*'Unit costs'!$E154)</f>
        <v>34.791223691891702</v>
      </c>
      <c r="E275" s="128">
        <f>(Summary!D$16*'Unit costs'!$C154)+(Summary!D$17*'Unit costs'!$D154)+(Summary!D$18*'Unit costs'!$E154)</f>
        <v>31.948546327062903</v>
      </c>
      <c r="F275" s="128">
        <f>(Summary!E$16*'Unit costs'!$C154)+(Summary!E$17*'Unit costs'!$D154)+(Summary!E$18*'Unit costs'!$E154)</f>
        <v>31.876602074506732</v>
      </c>
      <c r="G275" s="128">
        <f>(Summary!F$16*'Unit costs'!$C154)+(Summary!F$17*'Unit costs'!$D154)+(Summary!F$18*'Unit costs'!$E154)</f>
        <v>29.327890983321353</v>
      </c>
      <c r="H275" s="128">
        <f>(Summary!G$16*'Unit costs'!$C154)+(Summary!G$17*'Unit costs'!$D154)+(Summary!G$18*'Unit costs'!$E154)</f>
        <v>29.610664861505633</v>
      </c>
      <c r="I275" s="128">
        <f>(Summary!H$16*'Unit costs'!$C154)+(Summary!H$17*'Unit costs'!$D154)+(Summary!H$18*'Unit costs'!$E154)</f>
        <v>29.896165190979193</v>
      </c>
      <c r="J275" s="288"/>
      <c r="K275" s="547">
        <f>'Unit costs'!L154</f>
        <v>459.7501511248413</v>
      </c>
      <c r="L275" s="289">
        <f t="shared" si="232"/>
        <v>15.995270350165368</v>
      </c>
      <c r="M275" s="289">
        <f t="shared" si="231"/>
        <v>14.688349002086163</v>
      </c>
      <c r="N275" s="289">
        <f t="shared" si="231"/>
        <v>14.655272621100899</v>
      </c>
      <c r="O275" s="289">
        <f t="shared" si="231"/>
        <v>13.483502311754863</v>
      </c>
      <c r="P275" s="289">
        <f t="shared" si="231"/>
        <v>13.613507644984242</v>
      </c>
      <c r="Q275" s="289">
        <f t="shared" si="231"/>
        <v>13.744766464605904</v>
      </c>
      <c r="R275" s="133"/>
      <c r="S275" s="133"/>
      <c r="T275" s="133"/>
      <c r="U275" s="133"/>
      <c r="V275" s="133"/>
      <c r="W275" s="133"/>
      <c r="X275" s="133"/>
      <c r="Y275" s="133"/>
      <c r="Z275" s="133"/>
      <c r="AJ275" s="283"/>
      <c r="AK275" s="283"/>
      <c r="AL275" s="283"/>
      <c r="AM275" s="283"/>
      <c r="AN275" s="283"/>
    </row>
    <row r="276" spans="1:40" x14ac:dyDescent="0.3">
      <c r="A276" s="288"/>
      <c r="B276" s="866" t="s">
        <v>977</v>
      </c>
      <c r="C276" s="168"/>
      <c r="D276" s="128">
        <f>(Summary!C$16*'Unit costs'!$C155)+(Summary!C$17*'Unit costs'!$D155)+(Summary!C$18*'Unit costs'!$E155)</f>
        <v>22.010774172421275</v>
      </c>
      <c r="E276" s="128">
        <f>(Summary!D$16*'Unit costs'!$C155)+(Summary!D$17*'Unit costs'!$D155)+(Summary!D$18*'Unit costs'!$E155)</f>
        <v>20.212345635488774</v>
      </c>
      <c r="F276" s="128">
        <f>(Summary!E$16*'Unit costs'!$C155)+(Summary!E$17*'Unit costs'!$D155)+(Summary!E$18*'Unit costs'!$E155)</f>
        <v>20.166829883871603</v>
      </c>
      <c r="G276" s="128">
        <f>(Summary!F$16*'Unit costs'!$C155)+(Summary!F$17*'Unit costs'!$D155)+(Summary!F$18*'Unit costs'!$E155)</f>
        <v>18.554380009856363</v>
      </c>
      <c r="H276" s="128">
        <f>(Summary!G$16*'Unit costs'!$C155)+(Summary!G$17*'Unit costs'!$D155)+(Summary!G$18*'Unit costs'!$E155)</f>
        <v>18.733277769523969</v>
      </c>
      <c r="I276" s="128">
        <f>(Summary!H$16*'Unit costs'!$C155)+(Summary!H$17*'Unit costs'!$D155)+(Summary!H$18*'Unit costs'!$E155)</f>
        <v>18.913900426946018</v>
      </c>
      <c r="J276" s="288"/>
      <c r="K276" s="547">
        <f>'Unit costs'!L155</f>
        <v>459.7501511248413</v>
      </c>
      <c r="L276" s="289">
        <f t="shared" si="232"/>
        <v>10.119456752145435</v>
      </c>
      <c r="M276" s="289">
        <f t="shared" si="231"/>
        <v>9.2926289605034906</v>
      </c>
      <c r="N276" s="289">
        <f t="shared" si="231"/>
        <v>9.2717030868189365</v>
      </c>
      <c r="O276" s="289">
        <f t="shared" si="231"/>
        <v>8.5303790135591964</v>
      </c>
      <c r="P276" s="289">
        <f t="shared" si="231"/>
        <v>8.6126272856022759</v>
      </c>
      <c r="Q276" s="289">
        <f t="shared" si="231"/>
        <v>8.6956685796486326</v>
      </c>
      <c r="R276" s="133"/>
      <c r="S276" s="133"/>
      <c r="T276" s="133"/>
      <c r="U276" s="133"/>
      <c r="V276" s="133"/>
      <c r="W276" s="133"/>
      <c r="X276" s="133"/>
      <c r="Y276" s="133"/>
      <c r="Z276" s="133"/>
      <c r="AJ276" s="283"/>
      <c r="AK276" s="283"/>
      <c r="AL276" s="283"/>
      <c r="AM276" s="283"/>
      <c r="AN276" s="283"/>
    </row>
    <row r="277" spans="1:40" x14ac:dyDescent="0.3">
      <c r="A277" s="288"/>
      <c r="B277" s="866" t="s">
        <v>978</v>
      </c>
      <c r="C277" s="168"/>
      <c r="D277" s="128">
        <f>(Summary!C$16*'Unit costs'!$C156)+(Summary!C$17*'Unit costs'!$D156)+(Summary!C$18*'Unit costs'!$E156)</f>
        <v>13.490474492774331</v>
      </c>
      <c r="E277" s="128">
        <f>(Summary!D$16*'Unit costs'!$C156)+(Summary!D$17*'Unit costs'!$D156)+(Summary!D$18*'Unit costs'!$E156)</f>
        <v>12.388211841106022</v>
      </c>
      <c r="F277" s="128">
        <f>(Summary!E$16*'Unit costs'!$C156)+(Summary!E$17*'Unit costs'!$D156)+(Summary!E$18*'Unit costs'!$E156)</f>
        <v>12.360315090114854</v>
      </c>
      <c r="G277" s="128">
        <f>(Summary!F$16*'Unit costs'!$C156)+(Summary!F$17*'Unit costs'!$D156)+(Summary!F$18*'Unit costs'!$E156)</f>
        <v>11.372039360879707</v>
      </c>
      <c r="H277" s="128">
        <f>(Summary!G$16*'Unit costs'!$C156)+(Summary!G$17*'Unit costs'!$D156)+(Summary!G$18*'Unit costs'!$E156)</f>
        <v>11.481686374869529</v>
      </c>
      <c r="I277" s="128">
        <f>(Summary!H$16*'Unit costs'!$C156)+(Summary!H$17*'Unit costs'!$D156)+(Summary!H$18*'Unit costs'!$E156)</f>
        <v>11.592390584257236</v>
      </c>
      <c r="J277" s="288"/>
      <c r="K277" s="547">
        <f>'Unit costs'!L156</f>
        <v>459.7501511248413</v>
      </c>
      <c r="L277" s="289">
        <f t="shared" si="232"/>
        <v>6.202247686798815</v>
      </c>
      <c r="M277" s="289">
        <f t="shared" si="231"/>
        <v>5.6954822661150422</v>
      </c>
      <c r="N277" s="289">
        <f t="shared" si="231"/>
        <v>5.6826567306309608</v>
      </c>
      <c r="O277" s="289">
        <f t="shared" si="231"/>
        <v>5.2282968147620892</v>
      </c>
      <c r="P277" s="289">
        <f t="shared" si="231"/>
        <v>5.2787070460142971</v>
      </c>
      <c r="Q277" s="289">
        <f t="shared" si="231"/>
        <v>5.3296033230104509</v>
      </c>
      <c r="R277" s="133"/>
      <c r="S277" s="133"/>
      <c r="T277" s="133"/>
      <c r="U277" s="133"/>
      <c r="V277" s="133"/>
      <c r="W277" s="133"/>
      <c r="X277" s="133"/>
      <c r="Y277" s="133"/>
      <c r="Z277" s="133"/>
      <c r="AJ277" s="283"/>
      <c r="AK277" s="283"/>
      <c r="AL277" s="283"/>
      <c r="AM277" s="283"/>
      <c r="AN277" s="283"/>
    </row>
    <row r="278" spans="1:40" x14ac:dyDescent="0.3">
      <c r="A278" s="288"/>
      <c r="B278" s="866" t="s">
        <v>979</v>
      </c>
      <c r="C278" s="168"/>
      <c r="D278" s="128">
        <f>(Summary!C$16*'Unit costs'!$C157)+(Summary!C$17*'Unit costs'!$D157)+(Summary!C$18*'Unit costs'!$E157)</f>
        <v>31.951123798676047</v>
      </c>
      <c r="E278" s="128">
        <f>(Summary!D$16*'Unit costs'!$C157)+(Summary!D$17*'Unit costs'!$D157)+(Summary!D$18*'Unit costs'!$E157)</f>
        <v>29.340501728935315</v>
      </c>
      <c r="F278" s="128">
        <f>(Summary!E$16*'Unit costs'!$C157)+(Summary!E$17*'Unit costs'!$D157)+(Summary!E$18*'Unit costs'!$E157)</f>
        <v>29.274430476587813</v>
      </c>
      <c r="G278" s="128">
        <f>(Summary!F$16*'Unit costs'!$C157)+(Summary!F$17*'Unit costs'!$D157)+(Summary!F$18*'Unit costs'!$E157)</f>
        <v>26.933777433662467</v>
      </c>
      <c r="H278" s="128">
        <f>(Summary!G$16*'Unit costs'!$C157)+(Summary!G$17*'Unit costs'!$D157)+(Summary!G$18*'Unit costs'!$E157)</f>
        <v>27.193467729954151</v>
      </c>
      <c r="I278" s="128">
        <f>(Summary!H$16*'Unit costs'!$C157)+(Summary!H$17*'Unit costs'!$D157)+(Summary!H$18*'Unit costs'!$E157)</f>
        <v>27.455661910082927</v>
      </c>
      <c r="J278" s="288"/>
      <c r="K278" s="547">
        <f>'Unit costs'!L157</f>
        <v>653.38692282679085</v>
      </c>
      <c r="L278" s="289">
        <f t="shared" si="232"/>
        <v>20.876446459674785</v>
      </c>
      <c r="M278" s="289">
        <f t="shared" si="231"/>
        <v>19.170700138863182</v>
      </c>
      <c r="N278" s="289">
        <f t="shared" si="231"/>
        <v>19.127530046604537</v>
      </c>
      <c r="O278" s="289">
        <f t="shared" si="231"/>
        <v>17.598177957482378</v>
      </c>
      <c r="P278" s="289">
        <f t="shared" si="231"/>
        <v>17.767856201064379</v>
      </c>
      <c r="Q278" s="289">
        <f t="shared" si="231"/>
        <v>17.939170449601814</v>
      </c>
      <c r="R278" s="133"/>
      <c r="S278" s="133"/>
      <c r="T278" s="133"/>
      <c r="U278" s="133"/>
      <c r="V278" s="133"/>
      <c r="W278" s="133"/>
      <c r="X278" s="133"/>
      <c r="Y278" s="133"/>
      <c r="Z278" s="133"/>
      <c r="AJ278" s="283"/>
      <c r="AK278" s="283"/>
      <c r="AL278" s="283"/>
      <c r="AM278" s="283"/>
      <c r="AN278" s="283"/>
    </row>
    <row r="279" spans="1:40" x14ac:dyDescent="0.3">
      <c r="A279" s="288"/>
      <c r="B279" s="866" t="s">
        <v>980</v>
      </c>
      <c r="C279" s="168"/>
      <c r="D279" s="128">
        <f>(Summary!C$16*'Unit costs'!$C158)+(Summary!C$17*'Unit costs'!$D158)+(Summary!C$18*'Unit costs'!$E158)</f>
        <v>132.06464503452764</v>
      </c>
      <c r="E279" s="128">
        <f>(Summary!D$16*'Unit costs'!$C158)+(Summary!D$17*'Unit costs'!$D158)+(Summary!D$18*'Unit costs'!$E158)</f>
        <v>121.27407381293264</v>
      </c>
      <c r="F279" s="128">
        <f>(Summary!E$16*'Unit costs'!$C158)+(Summary!E$17*'Unit costs'!$D158)+(Summary!E$18*'Unit costs'!$E158)</f>
        <v>121.00097930322963</v>
      </c>
      <c r="G279" s="128">
        <f>(Summary!F$16*'Unit costs'!$C158)+(Summary!F$17*'Unit costs'!$D158)+(Summary!F$18*'Unit costs'!$E158)</f>
        <v>111.32628005913818</v>
      </c>
      <c r="H279" s="128">
        <f>(Summary!G$16*'Unit costs'!$C158)+(Summary!G$17*'Unit costs'!$D158)+(Summary!G$18*'Unit costs'!$E158)</f>
        <v>112.39966661714381</v>
      </c>
      <c r="I279" s="128">
        <f>(Summary!H$16*'Unit costs'!$C158)+(Summary!H$17*'Unit costs'!$D158)+(Summary!H$18*'Unit costs'!$E158)</f>
        <v>113.4834025616761</v>
      </c>
      <c r="J279" s="288"/>
      <c r="K279" s="547">
        <f>'Unit costs'!L158</f>
        <v>711.91377044661158</v>
      </c>
      <c r="L279" s="289">
        <f t="shared" si="232"/>
        <v>94.018639389223964</v>
      </c>
      <c r="M279" s="289">
        <f t="shared" si="231"/>
        <v>86.336683145585553</v>
      </c>
      <c r="N279" s="289">
        <f t="shared" si="231"/>
        <v>86.14226340349461</v>
      </c>
      <c r="O279" s="289">
        <f t="shared" si="231"/>
        <v>79.254711786696504</v>
      </c>
      <c r="P279" s="289">
        <f t="shared" si="231"/>
        <v>80.018870458352993</v>
      </c>
      <c r="Q279" s="289">
        <f t="shared" si="231"/>
        <v>80.790397000793504</v>
      </c>
      <c r="R279" s="133"/>
      <c r="S279" s="133"/>
      <c r="T279" s="133"/>
      <c r="U279" s="133"/>
      <c r="V279" s="133"/>
      <c r="W279" s="133"/>
      <c r="X279" s="133"/>
      <c r="Y279" s="133"/>
      <c r="Z279" s="133"/>
      <c r="AJ279" s="283"/>
      <c r="AK279" s="283"/>
      <c r="AL279" s="283"/>
      <c r="AM279" s="283"/>
      <c r="AN279" s="283"/>
    </row>
    <row r="280" spans="1:40" x14ac:dyDescent="0.3">
      <c r="A280" s="288"/>
      <c r="B280" s="866" t="s">
        <v>981</v>
      </c>
      <c r="C280" s="168"/>
      <c r="D280" s="128">
        <f>(Summary!C$16*'Unit costs'!$C159)+(Summary!C$17*'Unit costs'!$D159)+(Summary!C$18*'Unit costs'!$E159)</f>
        <v>66.032322517263822</v>
      </c>
      <c r="E280" s="128">
        <f>(Summary!D$16*'Unit costs'!$C159)+(Summary!D$17*'Unit costs'!$D159)+(Summary!D$18*'Unit costs'!$E159)</f>
        <v>60.637036906466321</v>
      </c>
      <c r="F280" s="128">
        <f>(Summary!E$16*'Unit costs'!$C159)+(Summary!E$17*'Unit costs'!$D159)+(Summary!E$18*'Unit costs'!$E159)</f>
        <v>60.500489651614814</v>
      </c>
      <c r="G280" s="128">
        <f>(Summary!F$16*'Unit costs'!$C159)+(Summary!F$17*'Unit costs'!$D159)+(Summary!F$18*'Unit costs'!$E159)</f>
        <v>55.663140029569092</v>
      </c>
      <c r="H280" s="128">
        <f>(Summary!G$16*'Unit costs'!$C159)+(Summary!G$17*'Unit costs'!$D159)+(Summary!G$18*'Unit costs'!$E159)</f>
        <v>56.199833308571904</v>
      </c>
      <c r="I280" s="128">
        <f>(Summary!H$16*'Unit costs'!$C159)+(Summary!H$17*'Unit costs'!$D159)+(Summary!H$18*'Unit costs'!$E159)</f>
        <v>56.741701280838051</v>
      </c>
      <c r="J280" s="288"/>
      <c r="K280" s="547">
        <f>'Unit costs'!L159</f>
        <v>540.59987699799615</v>
      </c>
      <c r="L280" s="289">
        <f t="shared" si="232"/>
        <v>35.697065430724834</v>
      </c>
      <c r="M280" s="289">
        <f t="shared" si="231"/>
        <v>32.780374693158642</v>
      </c>
      <c r="N280" s="289">
        <f t="shared" si="231"/>
        <v>32.706557263981509</v>
      </c>
      <c r="O280" s="289">
        <f t="shared" si="231"/>
        <v>30.091486653307285</v>
      </c>
      <c r="P280" s="289">
        <f t="shared" si="231"/>
        <v>30.381622973921857</v>
      </c>
      <c r="Q280" s="289">
        <f t="shared" si="231"/>
        <v>30.674556733078091</v>
      </c>
      <c r="R280" s="133"/>
      <c r="S280" s="133"/>
      <c r="T280" s="133"/>
      <c r="U280" s="133"/>
      <c r="V280" s="133"/>
      <c r="W280" s="133"/>
      <c r="X280" s="133"/>
      <c r="Y280" s="133"/>
      <c r="Z280" s="133"/>
      <c r="AJ280" s="283"/>
      <c r="AK280" s="283"/>
      <c r="AL280" s="283"/>
      <c r="AM280" s="283"/>
      <c r="AN280" s="283"/>
    </row>
    <row r="281" spans="1:40" x14ac:dyDescent="0.3">
      <c r="A281" s="288"/>
      <c r="B281" s="866" t="s">
        <v>982</v>
      </c>
      <c r="C281" s="168"/>
      <c r="D281" s="128">
        <f>(Summary!C$16*'Unit costs'!$C160)+(Summary!C$17*'Unit costs'!$D160)+(Summary!C$18*'Unit costs'!$E160)</f>
        <v>48.281698184666027</v>
      </c>
      <c r="E281" s="128">
        <f>(Summary!D$16*'Unit costs'!$C160)+(Summary!D$17*'Unit costs'!$D160)+(Summary!D$18*'Unit costs'!$E160)</f>
        <v>44.33675816816892</v>
      </c>
      <c r="F281" s="128">
        <f>(Summary!E$16*'Unit costs'!$C160)+(Summary!E$17*'Unit costs'!$D160)+(Summary!E$18*'Unit costs'!$E160)</f>
        <v>44.236917164621588</v>
      </c>
      <c r="G281" s="128">
        <f>(Summary!F$16*'Unit costs'!$C160)+(Summary!F$17*'Unit costs'!$D160)+(Summary!F$18*'Unit costs'!$E160)</f>
        <v>40.699930344201057</v>
      </c>
      <c r="H281" s="128">
        <f>(Summary!G$16*'Unit costs'!$C160)+(Summary!G$17*'Unit costs'!$D160)+(Summary!G$18*'Unit costs'!$E160)</f>
        <v>41.092351236375158</v>
      </c>
      <c r="I281" s="128">
        <f>(Summary!H$16*'Unit costs'!$C160)+(Summary!H$17*'Unit costs'!$D160)+(Summary!H$18*'Unit costs'!$E160)</f>
        <v>41.488555775236428</v>
      </c>
      <c r="J281" s="288"/>
      <c r="K281" s="547">
        <f>'Unit costs'!L160</f>
        <v>1123.5795829872293</v>
      </c>
      <c r="L281" s="289">
        <f t="shared" si="232"/>
        <v>54.248330312242317</v>
      </c>
      <c r="M281" s="289">
        <f t="shared" si="231"/>
        <v>49.815876253596869</v>
      </c>
      <c r="N281" s="289">
        <f t="shared" si="231"/>
        <v>49.703696940466131</v>
      </c>
      <c r="O281" s="289">
        <f t="shared" si="231"/>
        <v>45.729610763746706</v>
      </c>
      <c r="P281" s="289">
        <f t="shared" si="231"/>
        <v>46.170526866131155</v>
      </c>
      <c r="Q281" s="289">
        <f t="shared" si="231"/>
        <v>46.615694196682547</v>
      </c>
      <c r="R281" s="133"/>
      <c r="S281" s="133"/>
      <c r="T281" s="133"/>
      <c r="U281" s="133"/>
      <c r="V281" s="133"/>
      <c r="W281" s="133"/>
      <c r="X281" s="133"/>
      <c r="Y281" s="133"/>
      <c r="Z281" s="133"/>
      <c r="AJ281" s="283"/>
      <c r="AK281" s="283"/>
      <c r="AL281" s="283"/>
      <c r="AM281" s="283"/>
      <c r="AN281" s="283"/>
    </row>
    <row r="282" spans="1:40" x14ac:dyDescent="0.3">
      <c r="A282" s="288"/>
      <c r="B282" s="866" t="s">
        <v>983</v>
      </c>
      <c r="C282" s="168"/>
      <c r="D282" s="128">
        <f>(Summary!C$16*'Unit costs'!$C161)+(Summary!C$17*'Unit costs'!$D161)+(Summary!C$18*'Unit costs'!$E161)</f>
        <v>15.620549412686069</v>
      </c>
      <c r="E282" s="128">
        <f>(Summary!D$16*'Unit costs'!$C161)+(Summary!D$17*'Unit costs'!$D161)+(Summary!D$18*'Unit costs'!$E161)</f>
        <v>14.344245289701711</v>
      </c>
      <c r="F282" s="128">
        <f>(Summary!E$16*'Unit costs'!$C161)+(Summary!E$17*'Unit costs'!$D161)+(Summary!E$18*'Unit costs'!$E161)</f>
        <v>14.311943788554043</v>
      </c>
      <c r="G282" s="128">
        <f>(Summary!F$16*'Unit costs'!$C161)+(Summary!F$17*'Unit costs'!$D161)+(Summary!F$18*'Unit costs'!$E161)</f>
        <v>13.167624523123873</v>
      </c>
      <c r="H282" s="128">
        <f>(Summary!G$16*'Unit costs'!$C161)+(Summary!G$17*'Unit costs'!$D161)+(Summary!G$18*'Unit costs'!$E161)</f>
        <v>13.294584223533141</v>
      </c>
      <c r="I282" s="128">
        <f>(Summary!H$16*'Unit costs'!$C161)+(Summary!H$17*'Unit costs'!$D161)+(Summary!H$18*'Unit costs'!$E161)</f>
        <v>13.422768044929432</v>
      </c>
      <c r="J282" s="288"/>
      <c r="K282" s="547">
        <f>'Unit costs'!L161</f>
        <v>379.12694673761439</v>
      </c>
      <c r="L282" s="289">
        <f t="shared" si="232"/>
        <v>5.9221712051957045</v>
      </c>
      <c r="M282" s="289">
        <f t="shared" si="231"/>
        <v>5.4382899199400159</v>
      </c>
      <c r="N282" s="289">
        <f t="shared" si="231"/>
        <v>5.4260435504348594</v>
      </c>
      <c r="O282" s="289">
        <f t="shared" si="231"/>
        <v>4.9922012812392893</v>
      </c>
      <c r="P282" s="289">
        <f t="shared" si="231"/>
        <v>5.0403351248141783</v>
      </c>
      <c r="Q282" s="289">
        <f t="shared" si="231"/>
        <v>5.0889330656413128</v>
      </c>
      <c r="R282" s="133"/>
      <c r="S282" s="133"/>
      <c r="T282" s="133"/>
      <c r="U282" s="133"/>
      <c r="V282" s="133"/>
      <c r="W282" s="133"/>
      <c r="X282" s="133"/>
      <c r="Y282" s="133"/>
      <c r="Z282" s="133"/>
      <c r="AJ282" s="283"/>
      <c r="AK282" s="283"/>
      <c r="AL282" s="283"/>
      <c r="AM282" s="283"/>
      <c r="AN282" s="283"/>
    </row>
    <row r="283" spans="1:40" x14ac:dyDescent="0.3">
      <c r="A283" s="288"/>
      <c r="B283" s="866" t="s">
        <v>984</v>
      </c>
      <c r="C283" s="168"/>
      <c r="D283" s="128">
        <f>(Summary!C$16*'Unit costs'!$C162)+(Summary!C$17*'Unit costs'!$D162)+(Summary!C$18*'Unit costs'!$E162)</f>
        <v>14.200499466078243</v>
      </c>
      <c r="E283" s="128">
        <f>(Summary!D$16*'Unit costs'!$C162)+(Summary!D$17*'Unit costs'!$D162)+(Summary!D$18*'Unit costs'!$E162)</f>
        <v>13.040222990637918</v>
      </c>
      <c r="F283" s="128">
        <f>(Summary!E$16*'Unit costs'!$C162)+(Summary!E$17*'Unit costs'!$D162)+(Summary!E$18*'Unit costs'!$E162)</f>
        <v>13.010857989594584</v>
      </c>
      <c r="G283" s="128">
        <f>(Summary!F$16*'Unit costs'!$C162)+(Summary!F$17*'Unit costs'!$D162)+(Summary!F$18*'Unit costs'!$E162)</f>
        <v>11.97056774829443</v>
      </c>
      <c r="H283" s="128">
        <f>(Summary!G$16*'Unit costs'!$C162)+(Summary!G$17*'Unit costs'!$D162)+(Summary!G$18*'Unit costs'!$E162)</f>
        <v>12.0859856577574</v>
      </c>
      <c r="I283" s="128">
        <f>(Summary!H$16*'Unit costs'!$C162)+(Summary!H$17*'Unit costs'!$D162)+(Summary!H$18*'Unit costs'!$E162)</f>
        <v>12.202516404481303</v>
      </c>
      <c r="J283" s="288"/>
      <c r="K283" s="547">
        <f>'Unit costs'!L162</f>
        <v>379.12694673761439</v>
      </c>
      <c r="L283" s="289">
        <f t="shared" si="232"/>
        <v>5.3837920047233672</v>
      </c>
      <c r="M283" s="289">
        <f t="shared" si="231"/>
        <v>4.9438999272181965</v>
      </c>
      <c r="N283" s="289">
        <f t="shared" si="231"/>
        <v>4.9327668640316906</v>
      </c>
      <c r="O283" s="289">
        <f t="shared" si="231"/>
        <v>4.5383648011266269</v>
      </c>
      <c r="P283" s="289">
        <f t="shared" si="231"/>
        <v>4.5821228407401611</v>
      </c>
      <c r="Q283" s="289">
        <f t="shared" si="231"/>
        <v>4.6263027869466491</v>
      </c>
      <c r="R283" s="133"/>
      <c r="S283" s="133"/>
      <c r="T283" s="133"/>
      <c r="U283" s="133"/>
      <c r="V283" s="133"/>
      <c r="W283" s="133"/>
      <c r="X283" s="133"/>
      <c r="Y283" s="133"/>
      <c r="Z283" s="133"/>
      <c r="AJ283" s="283"/>
      <c r="AK283" s="283"/>
      <c r="AL283" s="283"/>
      <c r="AM283" s="283"/>
      <c r="AN283" s="283"/>
    </row>
    <row r="284" spans="1:40" x14ac:dyDescent="0.3">
      <c r="A284" s="288"/>
      <c r="B284" s="866" t="s">
        <v>985</v>
      </c>
      <c r="C284" s="168"/>
      <c r="D284" s="128">
        <f>(Summary!C$16*'Unit costs'!$C163)+(Summary!C$17*'Unit costs'!$D163)+(Summary!C$18*'Unit costs'!$E163)</f>
        <v>239.9884409767223</v>
      </c>
      <c r="E284" s="128">
        <f>(Summary!D$16*'Unit costs'!$C163)+(Summary!D$17*'Unit costs'!$D163)+(Summary!D$18*'Unit costs'!$E163)</f>
        <v>220.37976854178081</v>
      </c>
      <c r="F284" s="128">
        <f>(Summary!E$16*'Unit costs'!$C163)+(Summary!E$17*'Unit costs'!$D163)+(Summary!E$18*'Unit costs'!$E163)</f>
        <v>219.88350002414845</v>
      </c>
      <c r="G284" s="128">
        <f>(Summary!F$16*'Unit costs'!$C163)+(Summary!F$17*'Unit costs'!$D163)+(Summary!F$18*'Unit costs'!$E163)</f>
        <v>202.30259494617584</v>
      </c>
      <c r="H284" s="128">
        <f>(Summary!G$16*'Unit costs'!$C163)+(Summary!G$17*'Unit costs'!$D163)+(Summary!G$18*'Unit costs'!$E163)</f>
        <v>204.25315761610005</v>
      </c>
      <c r="I284" s="128">
        <f>(Summary!H$16*'Unit costs'!$C163)+(Summary!H$17*'Unit costs'!$D163)+(Summary!H$18*'Unit costs'!$E163)</f>
        <v>206.22252723573399</v>
      </c>
      <c r="J284" s="288"/>
      <c r="K284" s="547">
        <f>'Unit costs'!L163</f>
        <v>379.12694673761439</v>
      </c>
      <c r="L284" s="289">
        <f t="shared" si="232"/>
        <v>90.986084879824901</v>
      </c>
      <c r="M284" s="289">
        <f t="shared" si="231"/>
        <v>83.55190876998752</v>
      </c>
      <c r="N284" s="289">
        <f t="shared" si="231"/>
        <v>83.363760002135564</v>
      </c>
      <c r="O284" s="289">
        <f t="shared" si="231"/>
        <v>76.698365139039993</v>
      </c>
      <c r="P284" s="289">
        <f t="shared" si="231"/>
        <v>77.437876008508724</v>
      </c>
      <c r="Q284" s="289">
        <f t="shared" si="231"/>
        <v>78.184517099398349</v>
      </c>
      <c r="R284" s="133"/>
      <c r="S284" s="133"/>
      <c r="T284" s="133"/>
      <c r="U284" s="133"/>
      <c r="V284" s="133"/>
      <c r="W284" s="133"/>
      <c r="X284" s="133"/>
      <c r="Y284" s="133"/>
      <c r="Z284" s="133"/>
      <c r="AJ284" s="283"/>
      <c r="AK284" s="283"/>
      <c r="AL284" s="283"/>
      <c r="AM284" s="283"/>
      <c r="AN284" s="283"/>
    </row>
    <row r="285" spans="1:40" x14ac:dyDescent="0.3">
      <c r="A285" s="288"/>
      <c r="B285" s="866" t="s">
        <v>986</v>
      </c>
      <c r="C285" s="168"/>
      <c r="D285" s="128">
        <f>(Summary!C$16*'Unit costs'!$C164)+(Summary!C$17*'Unit costs'!$D164)+(Summary!C$18*'Unit costs'!$E164)</f>
        <v>33.371173745283869</v>
      </c>
      <c r="E285" s="128">
        <f>(Summary!D$16*'Unit costs'!$C164)+(Summary!D$17*'Unit costs'!$D164)+(Summary!D$18*'Unit costs'!$E164)</f>
        <v>30.644524027999108</v>
      </c>
      <c r="F285" s="128">
        <f>(Summary!E$16*'Unit costs'!$C164)+(Summary!E$17*'Unit costs'!$D164)+(Summary!E$18*'Unit costs'!$E164)</f>
        <v>30.575516275547269</v>
      </c>
      <c r="G285" s="128">
        <f>(Summary!F$16*'Unit costs'!$C164)+(Summary!F$17*'Unit costs'!$D164)+(Summary!F$18*'Unit costs'!$E164)</f>
        <v>28.130834208491908</v>
      </c>
      <c r="H285" s="128">
        <f>(Summary!G$16*'Unit costs'!$C164)+(Summary!G$17*'Unit costs'!$D164)+(Summary!G$18*'Unit costs'!$E164)</f>
        <v>28.402066295729888</v>
      </c>
      <c r="I285" s="128">
        <f>(Summary!H$16*'Unit costs'!$C164)+(Summary!H$17*'Unit costs'!$D164)+(Summary!H$18*'Unit costs'!$E164)</f>
        <v>28.675913550531057</v>
      </c>
      <c r="J285" s="288"/>
      <c r="K285" s="547">
        <f>'Unit costs'!L164</f>
        <v>379.12694673761439</v>
      </c>
      <c r="L285" s="289">
        <f t="shared" si="232"/>
        <v>12.651911211099915</v>
      </c>
      <c r="M285" s="289">
        <f t="shared" si="231"/>
        <v>11.618164828962763</v>
      </c>
      <c r="N285" s="289">
        <f t="shared" si="231"/>
        <v>11.592002130474471</v>
      </c>
      <c r="O285" s="289">
        <f t="shared" si="231"/>
        <v>10.665157282647574</v>
      </c>
      <c r="P285" s="289">
        <f t="shared" si="231"/>
        <v>10.767988675739378</v>
      </c>
      <c r="Q285" s="289">
        <f t="shared" si="231"/>
        <v>10.871811549324622</v>
      </c>
      <c r="R285" s="133"/>
      <c r="S285" s="133"/>
      <c r="T285" s="133"/>
      <c r="U285" s="133"/>
      <c r="V285" s="133"/>
      <c r="W285" s="133"/>
      <c r="X285" s="133"/>
      <c r="Y285" s="133"/>
      <c r="Z285" s="133"/>
      <c r="AJ285" s="283"/>
      <c r="AK285" s="283"/>
      <c r="AL285" s="283"/>
      <c r="AM285" s="283"/>
      <c r="AN285" s="283"/>
    </row>
    <row r="286" spans="1:40" x14ac:dyDescent="0.3">
      <c r="A286" s="288"/>
      <c r="B286" s="866" t="s">
        <v>987</v>
      </c>
      <c r="C286" s="168"/>
      <c r="D286" s="128">
        <f>(Summary!C$16*'Unit costs'!$C165)+(Summary!C$17*'Unit costs'!$D165)+(Summary!C$18*'Unit costs'!$E165)</f>
        <v>19.880699252509544</v>
      </c>
      <c r="E286" s="128">
        <f>(Summary!D$16*'Unit costs'!$C165)+(Summary!D$17*'Unit costs'!$D165)+(Summary!D$18*'Unit costs'!$E165)</f>
        <v>18.256312186893087</v>
      </c>
      <c r="F286" s="128">
        <f>(Summary!E$16*'Unit costs'!$C165)+(Summary!E$17*'Unit costs'!$D165)+(Summary!E$18*'Unit costs'!$E165)</f>
        <v>18.21520118543242</v>
      </c>
      <c r="G286" s="128">
        <f>(Summary!F$16*'Unit costs'!$C165)+(Summary!F$17*'Unit costs'!$D165)+(Summary!F$18*'Unit costs'!$E165)</f>
        <v>16.758794847612201</v>
      </c>
      <c r="H286" s="128">
        <f>(Summary!G$16*'Unit costs'!$C165)+(Summary!G$17*'Unit costs'!$D165)+(Summary!G$18*'Unit costs'!$E165)</f>
        <v>16.920379920860363</v>
      </c>
      <c r="I286" s="128">
        <f>(Summary!H$16*'Unit costs'!$C165)+(Summary!H$17*'Unit costs'!$D165)+(Summary!H$18*'Unit costs'!$E165)</f>
        <v>17.083522966273826</v>
      </c>
      <c r="J286" s="288"/>
      <c r="K286" s="547">
        <f>'Unit costs'!L165</f>
        <v>524.36225376011248</v>
      </c>
      <c r="L286" s="289">
        <f t="shared" si="232"/>
        <v>10.424688266372888</v>
      </c>
      <c r="M286" s="289">
        <f t="shared" si="231"/>
        <v>9.5729210036674672</v>
      </c>
      <c r="N286" s="289">
        <f t="shared" si="231"/>
        <v>9.551363946287216</v>
      </c>
      <c r="O286" s="289">
        <f t="shared" si="231"/>
        <v>8.7876794365972941</v>
      </c>
      <c r="P286" s="289">
        <f t="shared" si="231"/>
        <v>8.8724085497796938</v>
      </c>
      <c r="Q286" s="289">
        <f t="shared" si="231"/>
        <v>8.9579546047579868</v>
      </c>
      <c r="R286" s="133"/>
      <c r="S286" s="133"/>
      <c r="T286" s="133"/>
      <c r="U286" s="133"/>
      <c r="V286" s="133"/>
      <c r="W286" s="133"/>
      <c r="X286" s="133"/>
      <c r="Y286" s="133"/>
      <c r="Z286" s="133"/>
      <c r="AJ286" s="283"/>
      <c r="AK286" s="283"/>
      <c r="AL286" s="283"/>
      <c r="AM286" s="283"/>
      <c r="AN286" s="283"/>
    </row>
    <row r="287" spans="1:40" x14ac:dyDescent="0.3">
      <c r="A287" s="288"/>
      <c r="B287" s="866" t="s">
        <v>988</v>
      </c>
      <c r="C287" s="168"/>
      <c r="D287" s="128">
        <f>(Summary!C$16*'Unit costs'!$C166)+(Summary!C$17*'Unit costs'!$D166)+(Summary!C$18*'Unit costs'!$E166)</f>
        <v>35.501248665195611</v>
      </c>
      <c r="E287" s="128">
        <f>(Summary!D$16*'Unit costs'!$C166)+(Summary!D$17*'Unit costs'!$D166)+(Summary!D$18*'Unit costs'!$E166)</f>
        <v>32.600557476594801</v>
      </c>
      <c r="F287" s="128">
        <f>(Summary!E$16*'Unit costs'!$C166)+(Summary!E$17*'Unit costs'!$D166)+(Summary!E$18*'Unit costs'!$E166)</f>
        <v>32.527144973986459</v>
      </c>
      <c r="G287" s="128">
        <f>(Summary!F$16*'Unit costs'!$C166)+(Summary!F$17*'Unit costs'!$D166)+(Summary!F$18*'Unit costs'!$E166)</f>
        <v>29.926419370736074</v>
      </c>
      <c r="H287" s="128">
        <f>(Summary!G$16*'Unit costs'!$C166)+(Summary!G$17*'Unit costs'!$D166)+(Summary!G$18*'Unit costs'!$E166)</f>
        <v>30.214964144393502</v>
      </c>
      <c r="I287" s="128">
        <f>(Summary!H$16*'Unit costs'!$C166)+(Summary!H$17*'Unit costs'!$D166)+(Summary!H$18*'Unit costs'!$E166)</f>
        <v>30.506291011203256</v>
      </c>
      <c r="J287" s="288"/>
      <c r="K287" s="547">
        <f>'Unit costs'!L166</f>
        <v>481.72137282999114</v>
      </c>
      <c r="L287" s="289">
        <f t="shared" si="232"/>
        <v>17.101710244176921</v>
      </c>
      <c r="M287" s="289">
        <f t="shared" si="231"/>
        <v>15.70438530264828</v>
      </c>
      <c r="N287" s="289">
        <f t="shared" si="231"/>
        <v>15.669020931108903</v>
      </c>
      <c r="O287" s="289">
        <f t="shared" si="231"/>
        <v>14.41619582315702</v>
      </c>
      <c r="P287" s="289">
        <f t="shared" si="231"/>
        <v>14.555194007646197</v>
      </c>
      <c r="Q287" s="289">
        <f t="shared" si="231"/>
        <v>14.69553238586805</v>
      </c>
      <c r="R287" s="133"/>
      <c r="S287" s="133"/>
      <c r="T287" s="133"/>
      <c r="U287" s="133"/>
      <c r="V287" s="133"/>
      <c r="W287" s="133"/>
      <c r="X287" s="133"/>
      <c r="Y287" s="133"/>
      <c r="Z287" s="133"/>
      <c r="AJ287" s="283"/>
      <c r="AK287" s="283"/>
      <c r="AL287" s="283"/>
      <c r="AM287" s="283"/>
      <c r="AN287" s="283"/>
    </row>
    <row r="288" spans="1:40" x14ac:dyDescent="0.3">
      <c r="A288" s="288"/>
      <c r="B288" s="866" t="s">
        <v>989</v>
      </c>
      <c r="C288" s="168"/>
      <c r="D288" s="128">
        <f>(Summary!C$16*'Unit costs'!$C167)+(Summary!C$17*'Unit costs'!$D167)+(Summary!C$18*'Unit costs'!$E167)</f>
        <v>245.66864076315363</v>
      </c>
      <c r="E288" s="128">
        <f>(Summary!D$16*'Unit costs'!$C167)+(Summary!D$17*'Unit costs'!$D167)+(Summary!D$18*'Unit costs'!$E167)</f>
        <v>225.59585773803602</v>
      </c>
      <c r="F288" s="128">
        <f>(Summary!E$16*'Unit costs'!$C167)+(Summary!E$17*'Unit costs'!$D167)+(Summary!E$18*'Unit costs'!$E167)</f>
        <v>225.0878432199863</v>
      </c>
      <c r="G288" s="128">
        <f>(Summary!F$16*'Unit costs'!$C167)+(Summary!F$17*'Unit costs'!$D167)+(Summary!F$18*'Unit costs'!$E167)</f>
        <v>207.09082204549364</v>
      </c>
      <c r="H288" s="128">
        <f>(Summary!G$16*'Unit costs'!$C167)+(Summary!G$17*'Unit costs'!$D167)+(Summary!G$18*'Unit costs'!$E167)</f>
        <v>209.08755187920303</v>
      </c>
      <c r="I288" s="128">
        <f>(Summary!H$16*'Unit costs'!$C167)+(Summary!H$17*'Unit costs'!$D167)+(Summary!H$18*'Unit costs'!$E167)</f>
        <v>211.10353379752652</v>
      </c>
      <c r="J288" s="288"/>
      <c r="K288" s="547">
        <f>'Unit costs'!L167</f>
        <v>546.41974159390804</v>
      </c>
      <c r="L288" s="289">
        <f t="shared" si="232"/>
        <v>134.23819520352902</v>
      </c>
      <c r="M288" s="289">
        <f t="shared" si="231"/>
        <v>123.27003028987369</v>
      </c>
      <c r="N288" s="289">
        <f t="shared" si="231"/>
        <v>122.992441128195</v>
      </c>
      <c r="O288" s="289">
        <f t="shared" si="231"/>
        <v>113.15851346856863</v>
      </c>
      <c r="P288" s="289">
        <f t="shared" si="231"/>
        <v>114.24956606833696</v>
      </c>
      <c r="Q288" s="289">
        <f t="shared" si="231"/>
        <v>115.35113838720528</v>
      </c>
      <c r="R288" s="133"/>
      <c r="S288" s="133"/>
      <c r="T288" s="133"/>
      <c r="U288" s="133"/>
      <c r="V288" s="133"/>
      <c r="W288" s="133"/>
      <c r="X288" s="133"/>
      <c r="Y288" s="133"/>
      <c r="Z288" s="133"/>
      <c r="AJ288" s="283"/>
      <c r="AK288" s="283"/>
      <c r="AL288" s="283"/>
      <c r="AM288" s="283"/>
      <c r="AN288" s="283"/>
    </row>
    <row r="289" spans="1:40" x14ac:dyDescent="0.3">
      <c r="A289" s="288"/>
      <c r="B289" s="866" t="s">
        <v>990</v>
      </c>
      <c r="C289" s="168"/>
      <c r="D289" s="128">
        <f>(Summary!C$16*'Unit costs'!$C168)+(Summary!C$17*'Unit costs'!$D168)+(Summary!C$18*'Unit costs'!$E168)</f>
        <v>98.302957553926646</v>
      </c>
      <c r="E289" s="128">
        <f>(Summary!D$16*'Unit costs'!$C168)+(Summary!D$17*'Unit costs'!$D168)+(Summary!D$18*'Unit costs'!$E168)</f>
        <v>90.270943652691003</v>
      </c>
      <c r="F289" s="128">
        <f>(Summary!E$16*'Unit costs'!$C168)+(Summary!E$17*'Unit costs'!$D168)+(Summary!E$18*'Unit costs'!$E168)</f>
        <v>90.067664432968513</v>
      </c>
      <c r="G289" s="128">
        <f>(Summary!F$16*'Unit costs'!$C168)+(Summary!F$17*'Unit costs'!$D168)+(Summary!F$18*'Unit costs'!$E168)</f>
        <v>82.866255237568197</v>
      </c>
      <c r="H289" s="128">
        <f>(Summary!G$16*'Unit costs'!$C168)+(Summary!G$17*'Unit costs'!$D168)+(Summary!G$18*'Unit costs'!$E168)</f>
        <v>83.665235715825602</v>
      </c>
      <c r="I289" s="128">
        <f>(Summary!H$16*'Unit costs'!$C168)+(Summary!H$17*'Unit costs'!$D168)+(Summary!H$18*'Unit costs'!$E168)</f>
        <v>84.471919810021816</v>
      </c>
      <c r="J289" s="288"/>
      <c r="K289" s="547">
        <f>'Unit costs'!L168</f>
        <v>44116</v>
      </c>
      <c r="L289" s="289">
        <f t="shared" si="232"/>
        <v>4336.733275449028</v>
      </c>
      <c r="M289" s="289">
        <f t="shared" si="231"/>
        <v>3982.3929501821162</v>
      </c>
      <c r="N289" s="289">
        <f t="shared" si="231"/>
        <v>3973.425084124839</v>
      </c>
      <c r="O289" s="289">
        <f t="shared" si="231"/>
        <v>3655.7277160605586</v>
      </c>
      <c r="P289" s="289">
        <f t="shared" si="231"/>
        <v>3690.9755388393619</v>
      </c>
      <c r="Q289" s="289">
        <f t="shared" si="231"/>
        <v>3726.5632143389225</v>
      </c>
      <c r="R289" s="133"/>
      <c r="S289" s="133"/>
      <c r="T289" s="133"/>
      <c r="U289" s="133"/>
      <c r="V289" s="133"/>
      <c r="W289" s="133"/>
      <c r="X289" s="133"/>
      <c r="Y289" s="133"/>
      <c r="Z289" s="133"/>
      <c r="AJ289" s="283"/>
      <c r="AK289" s="283"/>
      <c r="AL289" s="283"/>
      <c r="AM289" s="283"/>
      <c r="AN289" s="283"/>
    </row>
    <row r="290" spans="1:40" x14ac:dyDescent="0.3">
      <c r="A290" s="288"/>
      <c r="B290" s="866" t="s">
        <v>991</v>
      </c>
      <c r="C290" s="168"/>
      <c r="D290" s="128">
        <f>(Summary!C$16*'Unit costs'!$C169)+(Summary!C$17*'Unit costs'!$D169)+(Summary!C$18*'Unit costs'!$E169)</f>
        <v>0</v>
      </c>
      <c r="E290" s="128">
        <f>(Summary!D$16*'Unit costs'!$C169)+(Summary!D$17*'Unit costs'!$D169)+(Summary!D$18*'Unit costs'!$E169)</f>
        <v>0</v>
      </c>
      <c r="F290" s="128">
        <f>(Summary!E$16*'Unit costs'!$C169)+(Summary!E$17*'Unit costs'!$D169)+(Summary!E$18*'Unit costs'!$E169)</f>
        <v>0</v>
      </c>
      <c r="G290" s="128">
        <f>(Summary!F$16*'Unit costs'!$C169)+(Summary!F$17*'Unit costs'!$D169)+(Summary!F$18*'Unit costs'!$E169)</f>
        <v>0</v>
      </c>
      <c r="H290" s="128">
        <f>(Summary!G$16*'Unit costs'!$C169)+(Summary!G$17*'Unit costs'!$D169)+(Summary!G$18*'Unit costs'!$E169)</f>
        <v>0</v>
      </c>
      <c r="I290" s="128">
        <f>(Summary!H$16*'Unit costs'!$C169)+(Summary!H$17*'Unit costs'!$D169)+(Summary!H$18*'Unit costs'!$E169)</f>
        <v>0</v>
      </c>
      <c r="J290" s="288"/>
      <c r="K290" s="547">
        <f>'Unit costs'!L169</f>
        <v>540.59987699799615</v>
      </c>
      <c r="L290" s="289">
        <f t="shared" si="232"/>
        <v>0</v>
      </c>
      <c r="M290" s="289">
        <f t="shared" si="231"/>
        <v>0</v>
      </c>
      <c r="N290" s="289">
        <f t="shared" si="231"/>
        <v>0</v>
      </c>
      <c r="O290" s="289">
        <f t="shared" si="231"/>
        <v>0</v>
      </c>
      <c r="P290" s="289">
        <f t="shared" si="231"/>
        <v>0</v>
      </c>
      <c r="Q290" s="289">
        <f t="shared" si="231"/>
        <v>0</v>
      </c>
      <c r="R290" s="133"/>
      <c r="S290" s="133"/>
      <c r="T290" s="133"/>
      <c r="U290" s="133"/>
      <c r="V290" s="133"/>
      <c r="W290" s="133"/>
      <c r="X290" s="133"/>
      <c r="Y290" s="133"/>
      <c r="Z290" s="133"/>
      <c r="AJ290" s="283"/>
      <c r="AK290" s="283"/>
      <c r="AL290" s="283"/>
      <c r="AM290" s="283"/>
      <c r="AN290" s="283"/>
    </row>
    <row r="291" spans="1:40" x14ac:dyDescent="0.3">
      <c r="A291" s="288"/>
      <c r="B291" s="866" t="s">
        <v>992</v>
      </c>
      <c r="C291" s="168"/>
      <c r="D291" s="128">
        <f>(Summary!C$16*'Unit costs'!$C170)+(Summary!C$17*'Unit costs'!$D170)+(Summary!C$18*'Unit costs'!$E170)</f>
        <v>0</v>
      </c>
      <c r="E291" s="128">
        <f>(Summary!D$16*'Unit costs'!$C170)+(Summary!D$17*'Unit costs'!$D170)+(Summary!D$18*'Unit costs'!$E170)</f>
        <v>0</v>
      </c>
      <c r="F291" s="128">
        <f>(Summary!E$16*'Unit costs'!$C170)+(Summary!E$17*'Unit costs'!$D170)+(Summary!E$18*'Unit costs'!$E170)</f>
        <v>0</v>
      </c>
      <c r="G291" s="128">
        <f>(Summary!F$16*'Unit costs'!$C170)+(Summary!F$17*'Unit costs'!$D170)+(Summary!F$18*'Unit costs'!$E170)</f>
        <v>0</v>
      </c>
      <c r="H291" s="128">
        <f>(Summary!G$16*'Unit costs'!$C170)+(Summary!G$17*'Unit costs'!$D170)+(Summary!G$18*'Unit costs'!$E170)</f>
        <v>0</v>
      </c>
      <c r="I291" s="128">
        <f>(Summary!H$16*'Unit costs'!$C170)+(Summary!H$17*'Unit costs'!$D170)+(Summary!H$18*'Unit costs'!$E170)</f>
        <v>0</v>
      </c>
      <c r="J291" s="288"/>
      <c r="K291" s="547">
        <f>'Unit costs'!L170</f>
        <v>585.16960879091766</v>
      </c>
      <c r="L291" s="289">
        <f t="shared" si="232"/>
        <v>0</v>
      </c>
      <c r="M291" s="289">
        <f t="shared" si="231"/>
        <v>0</v>
      </c>
      <c r="N291" s="289">
        <f t="shared" si="231"/>
        <v>0</v>
      </c>
      <c r="O291" s="289">
        <f t="shared" si="231"/>
        <v>0</v>
      </c>
      <c r="P291" s="289">
        <f t="shared" si="231"/>
        <v>0</v>
      </c>
      <c r="Q291" s="289">
        <f t="shared" si="231"/>
        <v>0</v>
      </c>
      <c r="R291" s="133"/>
      <c r="S291" s="133"/>
      <c r="T291" s="133"/>
      <c r="U291" s="133"/>
      <c r="V291" s="133"/>
      <c r="W291" s="133"/>
      <c r="X291" s="133"/>
      <c r="Y291" s="133"/>
      <c r="Z291" s="133"/>
      <c r="AJ291" s="283"/>
      <c r="AK291" s="283"/>
      <c r="AL291" s="283"/>
      <c r="AM291" s="283"/>
      <c r="AN291" s="283"/>
    </row>
    <row r="292" spans="1:40" x14ac:dyDescent="0.3">
      <c r="A292" s="288"/>
      <c r="B292" s="866" t="s">
        <v>993</v>
      </c>
      <c r="C292" s="168"/>
      <c r="D292" s="128">
        <f>(Summary!C$16*'Unit costs'!$C171)+(Summary!C$17*'Unit costs'!$D171)+(Summary!C$18*'Unit costs'!$E171)</f>
        <v>0</v>
      </c>
      <c r="E292" s="128">
        <f>(Summary!D$16*'Unit costs'!$C171)+(Summary!D$17*'Unit costs'!$D171)+(Summary!D$18*'Unit costs'!$E171)</f>
        <v>0</v>
      </c>
      <c r="F292" s="128">
        <f>(Summary!E$16*'Unit costs'!$C171)+(Summary!E$17*'Unit costs'!$D171)+(Summary!E$18*'Unit costs'!$E171)</f>
        <v>0</v>
      </c>
      <c r="G292" s="128">
        <f>(Summary!F$16*'Unit costs'!$C171)+(Summary!F$17*'Unit costs'!$D171)+(Summary!F$18*'Unit costs'!$E171)</f>
        <v>0</v>
      </c>
      <c r="H292" s="128">
        <f>(Summary!G$16*'Unit costs'!$C171)+(Summary!G$17*'Unit costs'!$D171)+(Summary!G$18*'Unit costs'!$E171)</f>
        <v>0</v>
      </c>
      <c r="I292" s="128">
        <f>(Summary!H$16*'Unit costs'!$C171)+(Summary!H$17*'Unit costs'!$D171)+(Summary!H$18*'Unit costs'!$E171)</f>
        <v>0</v>
      </c>
      <c r="J292" s="288"/>
      <c r="K292" s="547">
        <f>'Unit costs'!L171</f>
        <v>653.38692282679085</v>
      </c>
      <c r="L292" s="289">
        <f t="shared" si="232"/>
        <v>0</v>
      </c>
      <c r="M292" s="289">
        <f t="shared" si="231"/>
        <v>0</v>
      </c>
      <c r="N292" s="289">
        <f t="shared" si="231"/>
        <v>0</v>
      </c>
      <c r="O292" s="289">
        <f t="shared" si="231"/>
        <v>0</v>
      </c>
      <c r="P292" s="289">
        <f t="shared" si="231"/>
        <v>0</v>
      </c>
      <c r="Q292" s="289">
        <f t="shared" si="231"/>
        <v>0</v>
      </c>
      <c r="R292" s="133"/>
      <c r="S292" s="133"/>
      <c r="T292" s="133"/>
      <c r="U292" s="133"/>
      <c r="V292" s="133"/>
      <c r="W292" s="133"/>
      <c r="X292" s="133"/>
      <c r="Y292" s="133"/>
      <c r="Z292" s="133"/>
      <c r="AJ292" s="283"/>
      <c r="AK292" s="283"/>
      <c r="AL292" s="283"/>
      <c r="AM292" s="283"/>
      <c r="AN292" s="283"/>
    </row>
    <row r="293" spans="1:40" x14ac:dyDescent="0.3">
      <c r="A293" s="288"/>
      <c r="B293" s="866" t="s">
        <v>994</v>
      </c>
      <c r="C293" s="168"/>
      <c r="D293" s="128">
        <f>(Summary!C$16*'Unit costs'!$C172)+(Summary!C$17*'Unit costs'!$D172)+(Summary!C$18*'Unit costs'!$E172)</f>
        <v>0</v>
      </c>
      <c r="E293" s="128">
        <f>(Summary!D$16*'Unit costs'!$C172)+(Summary!D$17*'Unit costs'!$D172)+(Summary!D$18*'Unit costs'!$E172)</f>
        <v>0</v>
      </c>
      <c r="F293" s="128">
        <f>(Summary!E$16*'Unit costs'!$C172)+(Summary!E$17*'Unit costs'!$D172)+(Summary!E$18*'Unit costs'!$E172)</f>
        <v>0</v>
      </c>
      <c r="G293" s="128">
        <f>(Summary!F$16*'Unit costs'!$C172)+(Summary!F$17*'Unit costs'!$D172)+(Summary!F$18*'Unit costs'!$E172)</f>
        <v>0</v>
      </c>
      <c r="H293" s="128">
        <f>(Summary!G$16*'Unit costs'!$C172)+(Summary!G$17*'Unit costs'!$D172)+(Summary!G$18*'Unit costs'!$E172)</f>
        <v>0</v>
      </c>
      <c r="I293" s="128">
        <f>(Summary!H$16*'Unit costs'!$C172)+(Summary!H$17*'Unit costs'!$D172)+(Summary!H$18*'Unit costs'!$E172)</f>
        <v>0</v>
      </c>
      <c r="J293" s="288"/>
      <c r="K293" s="547">
        <f>'Unit costs'!L172</f>
        <v>540.59987699799615</v>
      </c>
      <c r="L293" s="289">
        <f t="shared" si="232"/>
        <v>0</v>
      </c>
      <c r="M293" s="289">
        <f t="shared" si="231"/>
        <v>0</v>
      </c>
      <c r="N293" s="289">
        <f t="shared" si="231"/>
        <v>0</v>
      </c>
      <c r="O293" s="289">
        <f t="shared" si="231"/>
        <v>0</v>
      </c>
      <c r="P293" s="289">
        <f t="shared" si="231"/>
        <v>0</v>
      </c>
      <c r="Q293" s="289">
        <f t="shared" si="231"/>
        <v>0</v>
      </c>
      <c r="R293" s="133"/>
      <c r="S293" s="133"/>
      <c r="T293" s="133"/>
      <c r="U293" s="133"/>
      <c r="V293" s="133"/>
      <c r="W293" s="133"/>
      <c r="X293" s="133"/>
      <c r="Y293" s="133"/>
      <c r="Z293" s="133"/>
      <c r="AJ293" s="283"/>
      <c r="AK293" s="283"/>
      <c r="AL293" s="283"/>
      <c r="AM293" s="283"/>
      <c r="AN293" s="283"/>
    </row>
    <row r="294" spans="1:40" x14ac:dyDescent="0.3">
      <c r="A294" s="288"/>
      <c r="B294" s="866" t="s">
        <v>995</v>
      </c>
      <c r="C294" s="168"/>
      <c r="D294" s="128">
        <f>(Summary!C$16*'Unit costs'!$C173)+(Summary!C$17*'Unit costs'!$D173)+(Summary!C$18*'Unit costs'!$E173)</f>
        <v>0</v>
      </c>
      <c r="E294" s="128">
        <f>(Summary!D$16*'Unit costs'!$C173)+(Summary!D$17*'Unit costs'!$D173)+(Summary!D$18*'Unit costs'!$E173)</f>
        <v>0</v>
      </c>
      <c r="F294" s="128">
        <f>(Summary!E$16*'Unit costs'!$C173)+(Summary!E$17*'Unit costs'!$D173)+(Summary!E$18*'Unit costs'!$E173)</f>
        <v>0</v>
      </c>
      <c r="G294" s="128">
        <f>(Summary!F$16*'Unit costs'!$C173)+(Summary!F$17*'Unit costs'!$D173)+(Summary!F$18*'Unit costs'!$E173)</f>
        <v>0</v>
      </c>
      <c r="H294" s="128">
        <f>(Summary!G$16*'Unit costs'!$C173)+(Summary!G$17*'Unit costs'!$D173)+(Summary!G$18*'Unit costs'!$E173)</f>
        <v>0</v>
      </c>
      <c r="I294" s="128">
        <f>(Summary!H$16*'Unit costs'!$C173)+(Summary!H$17*'Unit costs'!$D173)+(Summary!H$18*'Unit costs'!$E173)</f>
        <v>0</v>
      </c>
      <c r="J294" s="288"/>
      <c r="K294" s="547">
        <f>'Unit costs'!L173</f>
        <v>339.67982896652006</v>
      </c>
      <c r="L294" s="289">
        <f t="shared" si="232"/>
        <v>0</v>
      </c>
      <c r="M294" s="289">
        <f t="shared" ref="M294:Q294" si="233">(E294*$K294)/1000</f>
        <v>0</v>
      </c>
      <c r="N294" s="289">
        <f t="shared" si="233"/>
        <v>0</v>
      </c>
      <c r="O294" s="289">
        <f t="shared" si="233"/>
        <v>0</v>
      </c>
      <c r="P294" s="289">
        <f t="shared" si="233"/>
        <v>0</v>
      </c>
      <c r="Q294" s="289">
        <f t="shared" si="233"/>
        <v>0</v>
      </c>
      <c r="R294" s="133"/>
      <c r="S294" s="133"/>
      <c r="T294" s="133"/>
      <c r="U294" s="133"/>
      <c r="V294" s="133"/>
      <c r="W294" s="133"/>
      <c r="X294" s="133"/>
      <c r="Y294" s="133"/>
      <c r="Z294" s="133"/>
      <c r="AJ294" s="283"/>
      <c r="AK294" s="283"/>
      <c r="AL294" s="283"/>
      <c r="AM294" s="283"/>
      <c r="AN294" s="283"/>
    </row>
    <row r="295" spans="1:40" x14ac:dyDescent="0.3">
      <c r="A295" s="288"/>
      <c r="C295" s="867"/>
      <c r="D295" s="186">
        <f>SUM(D269:D294)</f>
        <v>1587.9353515455343</v>
      </c>
      <c r="E295" s="186">
        <f t="shared" ref="E295:I295" si="234">SUM(E269:E294)</f>
        <v>1458.1903353706086</v>
      </c>
      <c r="F295" s="186">
        <f t="shared" si="234"/>
        <v>1454.9066675414404</v>
      </c>
      <c r="G295" s="186">
        <f t="shared" si="234"/>
        <v>1338.5788120336538</v>
      </c>
      <c r="H295" s="186">
        <f t="shared" si="234"/>
        <v>1351.4851312145772</v>
      </c>
      <c r="I295" s="186">
        <f t="shared" si="234"/>
        <v>1364.5158906401105</v>
      </c>
      <c r="J295" s="288"/>
      <c r="K295" s="288"/>
      <c r="L295" s="290">
        <f>SUM(L269:L294)</f>
        <v>5576.2382194258016</v>
      </c>
      <c r="M295" s="290">
        <f t="shared" ref="M295:Q295" si="235">SUM(M269:M294)</f>
        <v>5120.621989665271</v>
      </c>
      <c r="N295" s="290">
        <f t="shared" si="235"/>
        <v>5109.0909698217456</v>
      </c>
      <c r="O295" s="290">
        <f t="shared" si="235"/>
        <v>4700.5908169439781</v>
      </c>
      <c r="P295" s="290">
        <f t="shared" si="235"/>
        <v>4745.9130085676634</v>
      </c>
      <c r="Q295" s="290">
        <f t="shared" si="235"/>
        <v>4791.6721880368286</v>
      </c>
      <c r="R295" s="133"/>
      <c r="S295" s="133"/>
      <c r="T295" s="133"/>
      <c r="U295" s="133"/>
      <c r="V295" s="133"/>
      <c r="W295" s="133"/>
      <c r="X295" s="133"/>
      <c r="Y295" s="133"/>
      <c r="Z295" s="133"/>
      <c r="AJ295" s="283"/>
      <c r="AK295" s="283"/>
      <c r="AL295" s="283"/>
      <c r="AM295" s="283"/>
      <c r="AN295" s="283"/>
    </row>
    <row r="296" spans="1:40" x14ac:dyDescent="0.3">
      <c r="A296" s="288"/>
      <c r="B296" s="296"/>
      <c r="C296" s="208"/>
      <c r="D296" s="282" t="s">
        <v>851</v>
      </c>
      <c r="E296" s="186">
        <f>E295-$D$295</f>
        <v>-129.74501617492569</v>
      </c>
      <c r="F296" s="186">
        <f>F295-$D$295</f>
        <v>-133.02868400409398</v>
      </c>
      <c r="G296" s="186">
        <f>G295-$D$295</f>
        <v>-249.35653951188056</v>
      </c>
      <c r="H296" s="186">
        <f>H295-$D$295</f>
        <v>-236.45022033095711</v>
      </c>
      <c r="I296" s="186">
        <f>I295-$D$295</f>
        <v>-223.41946090542388</v>
      </c>
      <c r="J296" s="288"/>
      <c r="K296" s="288"/>
      <c r="L296" s="522"/>
      <c r="M296" s="290">
        <f>M295-$L$295</f>
        <v>-455.61622976053059</v>
      </c>
      <c r="N296" s="290">
        <f t="shared" ref="N296:Q296" si="236">N295-$L$295</f>
        <v>-467.14724960405601</v>
      </c>
      <c r="O296" s="290">
        <f t="shared" si="236"/>
        <v>-875.64740248182352</v>
      </c>
      <c r="P296" s="290">
        <f t="shared" si="236"/>
        <v>-830.32521085813823</v>
      </c>
      <c r="Q296" s="290">
        <f t="shared" si="236"/>
        <v>-784.56603138897299</v>
      </c>
    </row>
    <row r="297" spans="1:40" x14ac:dyDescent="0.3">
      <c r="A297" s="288"/>
      <c r="B297" s="288"/>
      <c r="C297" s="288"/>
      <c r="D297" s="288"/>
      <c r="E297" s="288"/>
      <c r="F297" s="288"/>
      <c r="G297" s="288"/>
      <c r="H297" s="288"/>
      <c r="I297" s="288"/>
      <c r="J297" s="288"/>
      <c r="K297" s="288"/>
      <c r="L297" s="288"/>
      <c r="M297" s="288"/>
      <c r="N297" s="288"/>
      <c r="O297" s="288"/>
      <c r="P297" s="288"/>
      <c r="Q297" s="288"/>
    </row>
    <row r="298" spans="1:40" x14ac:dyDescent="0.3">
      <c r="B298"/>
    </row>
    <row r="299" spans="1:40" x14ac:dyDescent="0.3">
      <c r="B299"/>
    </row>
    <row r="300" spans="1:40" x14ac:dyDescent="0.3">
      <c r="B300"/>
    </row>
    <row r="301" spans="1:40" x14ac:dyDescent="0.3">
      <c r="B301"/>
    </row>
    <row r="302" spans="1:40" x14ac:dyDescent="0.3">
      <c r="B302"/>
    </row>
  </sheetData>
  <sheetProtection algorithmName="SHA-512" hashValue="+sPIH5wJ71Ixf82RmBNst2PuLXPTeLzKXvMjKuZ1KL9DXKr4AC/40rHu+KZ/UuQqWaxD7A/xeiA+FkOZX1XV2Q==" saltValue="N4J33QxCenctoX5hYfIJkQ==" spinCount="100000" sheet="1" objects="1" scenarios="1"/>
  <protectedRanges>
    <protectedRange sqref="B269:B294"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6"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297"/>
  <sheetViews>
    <sheetView showGridLines="0" zoomScale="80" zoomScaleNormal="80" zoomScaleSheetLayoutView="30" workbookViewId="0"/>
  </sheetViews>
  <sheetFormatPr defaultColWidth="8.77734375" defaultRowHeight="14.4" x14ac:dyDescent="0.3"/>
  <cols>
    <col min="1" max="1" width="3.5546875" customWidth="1"/>
    <col min="2" max="2" width="87.77734375" style="1" customWidth="1"/>
    <col min="3" max="3" width="26.77734375" customWidth="1"/>
    <col min="4" max="9" width="12.5546875" customWidth="1"/>
    <col min="10" max="10" width="1.77734375" customWidth="1"/>
    <col min="11" max="18" width="11.5546875" customWidth="1"/>
    <col min="19" max="19" width="11.33203125" customWidth="1"/>
    <col min="20" max="20" width="11.5546875" customWidth="1"/>
    <col min="21" max="26" width="10.77734375" customWidth="1"/>
    <col min="28" max="41" width="0" hidden="1" customWidth="1"/>
  </cols>
  <sheetData>
    <row r="1" spans="1:40" ht="30" customHeight="1" x14ac:dyDescent="0.3">
      <c r="B1" s="528" t="str">
        <f>'Inputs and eligible population'!B1</f>
        <v>Quizartinib for induction, consolidation and maintenance treatment of newly diagnosed FLT3‑ITD‑positive acute myeloid leukaemia</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3">
      <c r="B2" s="213" t="s">
        <v>852</v>
      </c>
      <c r="C2" s="127" t="s">
        <v>742</v>
      </c>
      <c r="D2" s="127" t="s">
        <v>742</v>
      </c>
      <c r="E2" s="127" t="s">
        <v>742</v>
      </c>
      <c r="F2" s="127" t="s">
        <v>742</v>
      </c>
      <c r="G2" s="127" t="s">
        <v>742</v>
      </c>
      <c r="H2" s="127" t="s">
        <v>742</v>
      </c>
      <c r="I2" s="127" t="s">
        <v>742</v>
      </c>
      <c r="J2" s="127" t="s">
        <v>742</v>
      </c>
      <c r="K2" s="127"/>
      <c r="L2" s="127" t="s">
        <v>742</v>
      </c>
      <c r="M2" s="127" t="s">
        <v>742</v>
      </c>
      <c r="N2" s="127" t="s">
        <v>742</v>
      </c>
      <c r="O2" s="127" t="s">
        <v>742</v>
      </c>
      <c r="P2" s="127" t="s">
        <v>742</v>
      </c>
      <c r="Q2" s="127"/>
      <c r="R2" s="127"/>
      <c r="S2" s="127"/>
      <c r="T2" s="127"/>
      <c r="U2" s="127"/>
      <c r="V2" s="127"/>
      <c r="W2" s="127"/>
      <c r="X2" s="127"/>
      <c r="Y2" s="127"/>
      <c r="Z2" s="127"/>
    </row>
    <row r="3" spans="1:40" ht="14.55" customHeight="1" x14ac:dyDescent="0.3">
      <c r="B3" s="130" t="s">
        <v>742</v>
      </c>
      <c r="C3" s="133" t="s">
        <v>742</v>
      </c>
      <c r="D3" s="133" t="s">
        <v>742</v>
      </c>
      <c r="E3" s="133" t="s">
        <v>742</v>
      </c>
      <c r="F3" s="133" t="s">
        <v>742</v>
      </c>
      <c r="G3" s="133" t="s">
        <v>742</v>
      </c>
      <c r="H3" s="133" t="s">
        <v>742</v>
      </c>
      <c r="I3" s="133" t="s">
        <v>742</v>
      </c>
      <c r="J3" s="133" t="s">
        <v>742</v>
      </c>
      <c r="K3" s="133"/>
      <c r="L3" s="133" t="s">
        <v>742</v>
      </c>
      <c r="M3" s="133" t="s">
        <v>742</v>
      </c>
      <c r="N3" s="133" t="s">
        <v>742</v>
      </c>
      <c r="O3" s="133" t="s">
        <v>742</v>
      </c>
      <c r="P3" s="133" t="s">
        <v>742</v>
      </c>
      <c r="Q3" s="133"/>
      <c r="R3" s="133"/>
      <c r="S3" s="127"/>
      <c r="T3" s="127"/>
      <c r="U3" s="127"/>
      <c r="V3" s="127"/>
      <c r="W3" s="127"/>
      <c r="X3" s="127"/>
      <c r="Y3" s="133"/>
      <c r="Z3" s="133"/>
    </row>
    <row r="4" spans="1:40" ht="14.55" customHeight="1" x14ac:dyDescent="0.3">
      <c r="B4" t="s">
        <v>837</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55" customHeight="1" x14ac:dyDescent="0.3">
      <c r="B5" s="5"/>
      <c r="F5" s="133"/>
      <c r="G5" s="133"/>
      <c r="H5" s="133"/>
      <c r="I5" s="133"/>
      <c r="J5" s="133"/>
      <c r="K5" s="133"/>
      <c r="L5" s="133"/>
      <c r="M5" s="133"/>
      <c r="N5" s="133"/>
      <c r="O5" s="133"/>
      <c r="P5" s="133"/>
      <c r="Q5" s="133"/>
      <c r="R5" s="133"/>
      <c r="S5" s="133"/>
      <c r="T5" s="133"/>
      <c r="U5" s="133"/>
      <c r="V5" s="133"/>
      <c r="W5" s="133"/>
      <c r="X5" s="133"/>
      <c r="Y5" s="133"/>
      <c r="Z5" s="133"/>
    </row>
    <row r="6" spans="1:40" ht="43.2" x14ac:dyDescent="0.3">
      <c r="B6" s="256" t="s">
        <v>806</v>
      </c>
      <c r="C6" s="208"/>
      <c r="D6" s="402" t="s">
        <v>831</v>
      </c>
      <c r="E6" s="254" t="s">
        <v>676</v>
      </c>
      <c r="F6" s="254" t="s">
        <v>677</v>
      </c>
      <c r="G6" s="165" t="s">
        <v>803</v>
      </c>
      <c r="H6" s="165" t="s">
        <v>804</v>
      </c>
      <c r="I6" s="254" t="s">
        <v>805</v>
      </c>
      <c r="L6" s="402" t="s">
        <v>831</v>
      </c>
      <c r="M6" s="254" t="s">
        <v>676</v>
      </c>
      <c r="N6" s="254" t="s">
        <v>677</v>
      </c>
      <c r="O6" s="165" t="s">
        <v>803</v>
      </c>
      <c r="P6" s="165" t="s">
        <v>804</v>
      </c>
      <c r="Q6" s="254" t="s">
        <v>805</v>
      </c>
      <c r="R6" s="133"/>
      <c r="S6" s="133"/>
      <c r="T6" s="133"/>
      <c r="U6" s="133"/>
      <c r="V6" s="133"/>
      <c r="W6" s="133"/>
      <c r="X6" s="133"/>
      <c r="Y6" s="133"/>
      <c r="Z6" s="133"/>
      <c r="AJ6" s="283"/>
      <c r="AK6" s="283"/>
      <c r="AL6" s="283"/>
      <c r="AM6" s="283"/>
      <c r="AN6" s="283"/>
    </row>
    <row r="7" spans="1:40" x14ac:dyDescent="0.3">
      <c r="B7" s="224" t="s">
        <v>806</v>
      </c>
      <c r="C7" s="168"/>
      <c r="D7" s="366">
        <f>'Inputs and eligible population'!F43</f>
        <v>402.09390452460838</v>
      </c>
      <c r="E7" s="366">
        <f>'Inputs and eligible population'!G43</f>
        <v>405.97081653445406</v>
      </c>
      <c r="F7" s="366">
        <f>'Inputs and eligible population'!H43</f>
        <v>409.88510898345328</v>
      </c>
      <c r="G7" s="366">
        <f>'Inputs and eligible population'!I43</f>
        <v>413.83714228660324</v>
      </c>
      <c r="H7" s="366">
        <f>'Inputs and eligible population'!J43</f>
        <v>417.82728033395318</v>
      </c>
      <c r="I7" s="366">
        <f>'Inputs and eligible population'!K43</f>
        <v>421.85589052411018</v>
      </c>
      <c r="P7" s="133"/>
      <c r="Q7" s="133"/>
      <c r="R7" s="133"/>
      <c r="S7" s="133"/>
      <c r="T7" s="133"/>
      <c r="U7" s="133"/>
      <c r="V7" s="133"/>
      <c r="W7" s="133"/>
      <c r="X7" s="133"/>
      <c r="Y7" s="133"/>
      <c r="Z7" s="133"/>
      <c r="AJ7" s="283"/>
      <c r="AK7" s="283"/>
      <c r="AL7" s="283"/>
      <c r="AM7" s="283"/>
      <c r="AN7" s="283"/>
    </row>
    <row r="8" spans="1:40" x14ac:dyDescent="0.3">
      <c r="B8"/>
      <c r="P8" s="133"/>
      <c r="Q8" s="133"/>
      <c r="R8" s="133"/>
      <c r="S8" s="133"/>
      <c r="T8" s="133"/>
      <c r="U8" s="133"/>
      <c r="V8" s="133"/>
      <c r="W8" s="133"/>
      <c r="X8" s="133"/>
      <c r="Y8" s="133"/>
      <c r="Z8" s="133"/>
      <c r="AJ8" s="283"/>
      <c r="AK8" s="283"/>
      <c r="AL8" s="283"/>
      <c r="AM8" s="283"/>
      <c r="AN8" s="283"/>
    </row>
    <row r="9" spans="1:40" x14ac:dyDescent="0.3">
      <c r="B9" s="276" t="s">
        <v>838</v>
      </c>
      <c r="C9" s="418"/>
      <c r="D9" s="418"/>
      <c r="E9" s="419"/>
      <c r="F9" s="418"/>
      <c r="G9" s="420"/>
      <c r="H9" s="421"/>
      <c r="I9" s="551"/>
      <c r="L9" s="690" t="s">
        <v>809</v>
      </c>
      <c r="M9" s="690" t="s">
        <v>809</v>
      </c>
      <c r="N9" s="690" t="s">
        <v>809</v>
      </c>
      <c r="O9" s="690" t="s">
        <v>809</v>
      </c>
      <c r="P9" s="690" t="s">
        <v>809</v>
      </c>
      <c r="Q9" s="690" t="s">
        <v>809</v>
      </c>
      <c r="R9" s="133"/>
      <c r="S9" s="133"/>
      <c r="T9" s="133"/>
      <c r="U9" s="133"/>
      <c r="V9" s="133"/>
      <c r="W9" s="133"/>
      <c r="X9" s="133"/>
      <c r="Y9" s="133"/>
      <c r="Z9" s="133"/>
      <c r="AJ9" s="283"/>
      <c r="AK9" s="283"/>
      <c r="AL9" s="283"/>
      <c r="AM9" s="283"/>
      <c r="AN9" s="283"/>
    </row>
    <row r="10" spans="1:40" x14ac:dyDescent="0.3">
      <c r="A10" s="285"/>
      <c r="B10" s="545" t="s">
        <v>1143</v>
      </c>
      <c r="C10" s="371"/>
      <c r="D10" s="404">
        <f>D42</f>
        <v>0</v>
      </c>
      <c r="E10" s="404">
        <f t="shared" ref="E10:I10" si="0">E42</f>
        <v>0</v>
      </c>
      <c r="F10" s="404">
        <f t="shared" si="0"/>
        <v>0</v>
      </c>
      <c r="G10" s="404">
        <f t="shared" si="0"/>
        <v>0</v>
      </c>
      <c r="H10" s="404">
        <f t="shared" si="0"/>
        <v>0</v>
      </c>
      <c r="I10" s="404">
        <f t="shared" si="0"/>
        <v>0</v>
      </c>
      <c r="L10" s="833">
        <f>L42</f>
        <v>0</v>
      </c>
      <c r="M10" s="833">
        <f t="shared" ref="M10:Q10" si="1">M42</f>
        <v>0</v>
      </c>
      <c r="N10" s="833">
        <f t="shared" si="1"/>
        <v>0</v>
      </c>
      <c r="O10" s="833">
        <f t="shared" si="1"/>
        <v>0</v>
      </c>
      <c r="P10" s="833">
        <f t="shared" si="1"/>
        <v>0</v>
      </c>
      <c r="Q10" s="833">
        <f t="shared" si="1"/>
        <v>0</v>
      </c>
      <c r="R10" s="133"/>
      <c r="S10" s="133"/>
      <c r="T10" s="133"/>
      <c r="U10" s="133"/>
      <c r="V10" s="133"/>
      <c r="W10" s="133"/>
      <c r="X10" s="133"/>
      <c r="Y10" s="133"/>
      <c r="Z10" s="133"/>
      <c r="AJ10" s="283"/>
      <c r="AK10" s="283"/>
      <c r="AL10" s="283"/>
      <c r="AM10" s="283"/>
      <c r="AN10" s="283"/>
    </row>
    <row r="11" spans="1:40" x14ac:dyDescent="0.3">
      <c r="A11" s="285"/>
      <c r="B11" s="545" t="s">
        <v>1071</v>
      </c>
      <c r="C11" s="371"/>
      <c r="D11" s="404">
        <f>D59</f>
        <v>1297.8030873648743</v>
      </c>
      <c r="E11" s="404">
        <f t="shared" ref="E11:I11" si="2">E59</f>
        <v>982.73719114450398</v>
      </c>
      <c r="F11" s="404">
        <f t="shared" si="2"/>
        <v>661.47503595277453</v>
      </c>
      <c r="G11" s="404">
        <f t="shared" si="2"/>
        <v>667.85285089162653</v>
      </c>
      <c r="H11" s="404">
        <f t="shared" si="2"/>
        <v>674.29215949415959</v>
      </c>
      <c r="I11" s="404">
        <f t="shared" si="2"/>
        <v>680.79355467043899</v>
      </c>
      <c r="L11" s="833">
        <f>L59</f>
        <v>182.99023531844725</v>
      </c>
      <c r="M11" s="833">
        <f t="shared" ref="M11:Q11" si="3">M59</f>
        <v>138.56594395137506</v>
      </c>
      <c r="N11" s="833">
        <f t="shared" si="3"/>
        <v>93.267980069341206</v>
      </c>
      <c r="O11" s="833">
        <f t="shared" si="3"/>
        <v>94.167251975719338</v>
      </c>
      <c r="P11" s="833">
        <f t="shared" si="3"/>
        <v>95.075194488676487</v>
      </c>
      <c r="Q11" s="833">
        <f t="shared" si="3"/>
        <v>95.991891208531882</v>
      </c>
      <c r="R11" s="133"/>
      <c r="S11" s="133"/>
      <c r="T11" s="133"/>
      <c r="U11" s="133"/>
      <c r="V11" s="133"/>
      <c r="W11" s="133"/>
      <c r="X11" s="133"/>
      <c r="Y11" s="133"/>
      <c r="Z11" s="133"/>
      <c r="AJ11" s="283"/>
      <c r="AK11" s="283"/>
      <c r="AL11" s="283"/>
      <c r="AM11" s="283"/>
      <c r="AN11" s="283"/>
    </row>
    <row r="12" spans="1:40" x14ac:dyDescent="0.3">
      <c r="A12" s="285"/>
      <c r="B12" s="545" t="s">
        <v>1104</v>
      </c>
      <c r="C12" s="371"/>
      <c r="D12" s="404">
        <f>D76</f>
        <v>1297.8030873648743</v>
      </c>
      <c r="E12" s="404">
        <f t="shared" ref="E12:I12" si="4">E76</f>
        <v>982.73719114450398</v>
      </c>
      <c r="F12" s="404">
        <f t="shared" si="4"/>
        <v>661.47503595277453</v>
      </c>
      <c r="G12" s="404">
        <f t="shared" si="4"/>
        <v>667.85285089162653</v>
      </c>
      <c r="H12" s="404">
        <f t="shared" si="4"/>
        <v>674.29215949415959</v>
      </c>
      <c r="I12" s="404">
        <f t="shared" si="4"/>
        <v>680.79355467043899</v>
      </c>
      <c r="L12" s="835">
        <f t="shared" ref="L12:Q12" si="5">L76</f>
        <v>182.99023531844725</v>
      </c>
      <c r="M12" s="835">
        <f t="shared" si="5"/>
        <v>138.56594395137506</v>
      </c>
      <c r="N12" s="835">
        <f t="shared" si="5"/>
        <v>93.267980069341206</v>
      </c>
      <c r="O12" s="835">
        <f t="shared" si="5"/>
        <v>94.167251975719338</v>
      </c>
      <c r="P12" s="835">
        <f t="shared" si="5"/>
        <v>95.075194488676487</v>
      </c>
      <c r="Q12" s="835">
        <f t="shared" si="5"/>
        <v>95.991891208531882</v>
      </c>
      <c r="R12" s="133"/>
      <c r="S12" s="133"/>
      <c r="T12" s="133"/>
      <c r="U12" s="133"/>
      <c r="V12" s="133"/>
      <c r="W12" s="133"/>
      <c r="X12" s="133"/>
      <c r="Y12" s="133"/>
      <c r="Z12" s="133"/>
      <c r="AJ12" s="283"/>
      <c r="AK12" s="283"/>
      <c r="AL12" s="283"/>
      <c r="AM12" s="283"/>
      <c r="AN12" s="283"/>
    </row>
    <row r="13" spans="1:40" x14ac:dyDescent="0.3">
      <c r="A13" s="284"/>
      <c r="B13" s="424" t="s">
        <v>1105</v>
      </c>
      <c r="C13" s="430"/>
      <c r="D13" s="400">
        <f>D93</f>
        <v>281.19066892905607</v>
      </c>
      <c r="E13" s="400">
        <f t="shared" ref="E13:I13" si="6">E93</f>
        <v>212.92639141464252</v>
      </c>
      <c r="F13" s="400">
        <f t="shared" si="6"/>
        <v>143.31959112310113</v>
      </c>
      <c r="G13" s="400">
        <f t="shared" si="6"/>
        <v>144.70145102651909</v>
      </c>
      <c r="H13" s="400">
        <f t="shared" si="6"/>
        <v>146.09663455706792</v>
      </c>
      <c r="I13" s="400">
        <f t="shared" si="6"/>
        <v>147.50527017859514</v>
      </c>
      <c r="L13" s="835">
        <f>L93</f>
        <v>36.273596291848236</v>
      </c>
      <c r="M13" s="835">
        <f t="shared" ref="M13:Q13" si="7">M93</f>
        <v>27.467504492488885</v>
      </c>
      <c r="N13" s="835">
        <f t="shared" si="7"/>
        <v>18.488227254880048</v>
      </c>
      <c r="O13" s="835">
        <f t="shared" si="7"/>
        <v>18.666487182420965</v>
      </c>
      <c r="P13" s="835">
        <f t="shared" si="7"/>
        <v>18.846465857861762</v>
      </c>
      <c r="Q13" s="835">
        <f t="shared" si="7"/>
        <v>19.028179853038772</v>
      </c>
      <c r="R13" s="133"/>
      <c r="S13" s="133"/>
      <c r="T13" s="133"/>
      <c r="U13" s="133"/>
      <c r="V13" s="133"/>
      <c r="W13" s="133"/>
      <c r="X13" s="133"/>
      <c r="Y13" s="133"/>
      <c r="Z13" s="133"/>
      <c r="AJ13" s="283"/>
      <c r="AK13" s="283"/>
      <c r="AL13" s="283"/>
      <c r="AM13" s="283"/>
      <c r="AN13" s="283"/>
    </row>
    <row r="14" spans="1:40" x14ac:dyDescent="0.3">
      <c r="A14" s="284"/>
      <c r="B14" s="424" t="s">
        <v>1107</v>
      </c>
      <c r="C14" s="430"/>
      <c r="D14" s="400">
        <f>D110</f>
        <v>0</v>
      </c>
      <c r="E14" s="400">
        <f t="shared" ref="E14:I14" si="8">E110</f>
        <v>0</v>
      </c>
      <c r="F14" s="400">
        <f t="shared" si="8"/>
        <v>0</v>
      </c>
      <c r="G14" s="400">
        <f t="shared" si="8"/>
        <v>0</v>
      </c>
      <c r="H14" s="400">
        <f t="shared" si="8"/>
        <v>0</v>
      </c>
      <c r="I14" s="400">
        <f t="shared" si="8"/>
        <v>0</v>
      </c>
      <c r="L14" s="871"/>
      <c r="M14" s="871"/>
      <c r="N14" s="871"/>
      <c r="O14" s="871"/>
      <c r="P14" s="871"/>
      <c r="Q14" s="871"/>
      <c r="R14" s="133"/>
      <c r="S14" s="133"/>
      <c r="T14" s="133"/>
      <c r="U14" s="133"/>
      <c r="V14" s="133"/>
      <c r="W14" s="133"/>
      <c r="X14" s="133"/>
      <c r="Y14" s="133"/>
      <c r="Z14" s="133"/>
      <c r="AJ14" s="283"/>
      <c r="AK14" s="283"/>
      <c r="AL14" s="283"/>
      <c r="AM14" s="283"/>
      <c r="AN14" s="283"/>
    </row>
    <row r="15" spans="1:40" x14ac:dyDescent="0.3">
      <c r="A15" s="284"/>
      <c r="B15" s="424" t="s">
        <v>1108</v>
      </c>
      <c r="C15" s="430"/>
      <c r="D15" s="400">
        <f>D127</f>
        <v>0</v>
      </c>
      <c r="E15" s="400">
        <f t="shared" ref="E15:I15" si="9">E127</f>
        <v>0</v>
      </c>
      <c r="F15" s="400">
        <f t="shared" si="9"/>
        <v>0</v>
      </c>
      <c r="G15" s="400">
        <f t="shared" si="9"/>
        <v>0</v>
      </c>
      <c r="H15" s="400">
        <f t="shared" si="9"/>
        <v>0</v>
      </c>
      <c r="I15" s="400">
        <f t="shared" si="9"/>
        <v>0</v>
      </c>
      <c r="L15" s="871"/>
      <c r="M15" s="871"/>
      <c r="N15" s="871"/>
      <c r="O15" s="871"/>
      <c r="P15" s="871"/>
      <c r="Q15" s="871"/>
      <c r="R15" s="133"/>
      <c r="S15" s="133"/>
      <c r="T15" s="133"/>
      <c r="U15" s="133"/>
      <c r="V15" s="133"/>
      <c r="W15" s="133"/>
      <c r="X15" s="133"/>
      <c r="Y15" s="133"/>
      <c r="Z15" s="133"/>
      <c r="AJ15" s="283"/>
      <c r="AK15" s="283"/>
      <c r="AL15" s="283"/>
      <c r="AM15" s="283"/>
      <c r="AN15" s="283"/>
    </row>
    <row r="16" spans="1:40" x14ac:dyDescent="0.3">
      <c r="A16" s="286"/>
      <c r="B16" s="425" t="s">
        <v>1169</v>
      </c>
      <c r="C16" s="431"/>
      <c r="D16" s="401">
        <f>D144</f>
        <v>43.260102912162473</v>
      </c>
      <c r="E16" s="401">
        <f t="shared" ref="E16:I16" si="10">E144</f>
        <v>32.757906371483465</v>
      </c>
      <c r="F16" s="401">
        <f t="shared" si="10"/>
        <v>22.049167865092485</v>
      </c>
      <c r="G16" s="401">
        <f t="shared" si="10"/>
        <v>22.261761696387552</v>
      </c>
      <c r="H16" s="401">
        <f t="shared" si="10"/>
        <v>22.476405316471986</v>
      </c>
      <c r="I16" s="401">
        <f t="shared" si="10"/>
        <v>22.693118489014633</v>
      </c>
      <c r="L16" s="835">
        <f>L144</f>
        <v>5.7968537902297719</v>
      </c>
      <c r="M16" s="835">
        <f t="shared" ref="M16:Q16" si="11">M144</f>
        <v>4.3895594537787845</v>
      </c>
      <c r="N16" s="835">
        <f t="shared" si="11"/>
        <v>2.9545884939223934</v>
      </c>
      <c r="O16" s="835">
        <f t="shared" si="11"/>
        <v>2.983076067315932</v>
      </c>
      <c r="P16" s="835">
        <f t="shared" si="11"/>
        <v>3.0118383124072463</v>
      </c>
      <c r="Q16" s="835">
        <f t="shared" si="11"/>
        <v>3.040877877527961</v>
      </c>
      <c r="R16" s="133"/>
      <c r="S16" s="133"/>
      <c r="T16" s="133"/>
      <c r="U16" s="133"/>
      <c r="V16" s="133"/>
      <c r="W16" s="133"/>
      <c r="X16" s="133"/>
      <c r="Y16" s="133"/>
      <c r="Z16" s="133"/>
      <c r="AJ16" s="283"/>
      <c r="AK16" s="283"/>
      <c r="AL16" s="283"/>
      <c r="AM16" s="283"/>
      <c r="AN16" s="283"/>
    </row>
    <row r="17" spans="1:40" x14ac:dyDescent="0.3">
      <c r="A17" s="314"/>
      <c r="B17" s="426" t="s">
        <v>1170</v>
      </c>
      <c r="C17" s="432"/>
      <c r="D17" s="405">
        <f>D161</f>
        <v>0</v>
      </c>
      <c r="E17" s="405">
        <f t="shared" ref="E17:I17" si="12">E161</f>
        <v>0</v>
      </c>
      <c r="F17" s="405">
        <f t="shared" si="12"/>
        <v>0</v>
      </c>
      <c r="G17" s="405">
        <f t="shared" si="12"/>
        <v>0</v>
      </c>
      <c r="H17" s="405">
        <f t="shared" si="12"/>
        <v>0</v>
      </c>
      <c r="I17" s="405">
        <f t="shared" si="12"/>
        <v>0</v>
      </c>
      <c r="L17" s="835">
        <f>L161</f>
        <v>0</v>
      </c>
      <c r="M17" s="835">
        <f t="shared" ref="M17:Q17" si="13">M161</f>
        <v>0</v>
      </c>
      <c r="N17" s="835">
        <f t="shared" si="13"/>
        <v>0</v>
      </c>
      <c r="O17" s="835">
        <f t="shared" si="13"/>
        <v>0</v>
      </c>
      <c r="P17" s="835">
        <f t="shared" si="13"/>
        <v>0</v>
      </c>
      <c r="Q17" s="835">
        <f t="shared" si="13"/>
        <v>0</v>
      </c>
      <c r="R17" s="133"/>
      <c r="S17" s="133"/>
      <c r="T17" s="133"/>
      <c r="U17" s="133"/>
      <c r="V17" s="133"/>
      <c r="W17" s="133"/>
      <c r="X17" s="133"/>
      <c r="Y17" s="133"/>
      <c r="Z17" s="133"/>
      <c r="AJ17" s="283"/>
      <c r="AK17" s="283"/>
      <c r="AL17" s="283"/>
      <c r="AM17" s="283"/>
      <c r="AN17" s="283"/>
    </row>
    <row r="18" spans="1:40" x14ac:dyDescent="0.3">
      <c r="A18" s="287"/>
      <c r="B18" s="427" t="s">
        <v>1110</v>
      </c>
      <c r="C18" s="433"/>
      <c r="D18" s="406">
        <f>D178</f>
        <v>0</v>
      </c>
      <c r="E18" s="406">
        <f t="shared" ref="E18:I18" si="14">E178</f>
        <v>0</v>
      </c>
      <c r="F18" s="406">
        <f t="shared" si="14"/>
        <v>0</v>
      </c>
      <c r="G18" s="406">
        <f t="shared" si="14"/>
        <v>0</v>
      </c>
      <c r="H18" s="406">
        <f t="shared" si="14"/>
        <v>0</v>
      </c>
      <c r="I18" s="406">
        <f t="shared" si="14"/>
        <v>0</v>
      </c>
      <c r="L18" s="835">
        <f>L178</f>
        <v>0</v>
      </c>
      <c r="M18" s="835">
        <f t="shared" ref="M18:Q18" si="15">M178</f>
        <v>0</v>
      </c>
      <c r="N18" s="835">
        <f t="shared" si="15"/>
        <v>0</v>
      </c>
      <c r="O18" s="835">
        <f t="shared" si="15"/>
        <v>0</v>
      </c>
      <c r="P18" s="835">
        <f t="shared" si="15"/>
        <v>0</v>
      </c>
      <c r="Q18" s="835">
        <f t="shared" si="15"/>
        <v>0</v>
      </c>
      <c r="R18" s="133"/>
      <c r="S18" s="133"/>
      <c r="T18" s="133"/>
      <c r="U18" s="133"/>
      <c r="V18" s="133"/>
      <c r="W18" s="133"/>
      <c r="X18" s="133"/>
      <c r="Y18" s="133"/>
      <c r="Z18" s="133"/>
      <c r="AJ18" s="283"/>
      <c r="AK18" s="283"/>
      <c r="AL18" s="283"/>
      <c r="AM18" s="283"/>
      <c r="AN18" s="283"/>
    </row>
    <row r="19" spans="1:40" x14ac:dyDescent="0.3">
      <c r="A19" s="287"/>
      <c r="B19" s="427" t="s">
        <v>1111</v>
      </c>
      <c r="C19" s="433"/>
      <c r="D19" s="406">
        <f>D195</f>
        <v>596.98942018784214</v>
      </c>
      <c r="E19" s="406">
        <f t="shared" ref="E19:I19" si="16">E195</f>
        <v>452.05910792647188</v>
      </c>
      <c r="F19" s="406">
        <f t="shared" si="16"/>
        <v>304.27851653827628</v>
      </c>
      <c r="G19" s="406">
        <f t="shared" si="16"/>
        <v>307.21231141014823</v>
      </c>
      <c r="H19" s="406">
        <f t="shared" si="16"/>
        <v>310.17439336731343</v>
      </c>
      <c r="I19" s="406">
        <f t="shared" si="16"/>
        <v>313.16503514840196</v>
      </c>
      <c r="L19" s="835">
        <f>L195</f>
        <v>442.69153464609246</v>
      </c>
      <c r="M19" s="835">
        <f t="shared" ref="M19:Q19" si="17">M195</f>
        <v>335.21991089179596</v>
      </c>
      <c r="N19" s="835">
        <f t="shared" si="17"/>
        <v>225.6346911537934</v>
      </c>
      <c r="O19" s="835">
        <f t="shared" si="17"/>
        <v>227.81021740308131</v>
      </c>
      <c r="P19" s="835">
        <f t="shared" si="17"/>
        <v>230.00671965759759</v>
      </c>
      <c r="Q19" s="835">
        <f t="shared" si="17"/>
        <v>232.22440016394597</v>
      </c>
      <c r="R19" s="133"/>
      <c r="S19" s="133"/>
      <c r="T19" s="133"/>
      <c r="U19" s="133"/>
      <c r="V19" s="133"/>
      <c r="W19" s="133"/>
      <c r="X19" s="133"/>
      <c r="Y19" s="133"/>
      <c r="Z19" s="133"/>
      <c r="AJ19" s="283"/>
      <c r="AK19" s="283"/>
      <c r="AL19" s="283"/>
      <c r="AM19" s="283"/>
      <c r="AN19" s="283"/>
    </row>
    <row r="20" spans="1:40" x14ac:dyDescent="0.3">
      <c r="A20" s="287"/>
      <c r="B20" s="427" t="s">
        <v>1083</v>
      </c>
      <c r="C20" s="433"/>
      <c r="D20" s="406">
        <f>D212</f>
        <v>0</v>
      </c>
      <c r="E20" s="406">
        <f t="shared" ref="E20:I20" si="18">E212</f>
        <v>0</v>
      </c>
      <c r="F20" s="406">
        <f t="shared" si="18"/>
        <v>0</v>
      </c>
      <c r="G20" s="406">
        <f t="shared" si="18"/>
        <v>0</v>
      </c>
      <c r="H20" s="406">
        <f t="shared" si="18"/>
        <v>0</v>
      </c>
      <c r="I20" s="406">
        <f t="shared" si="18"/>
        <v>0</v>
      </c>
      <c r="L20" s="848">
        <f>L212</f>
        <v>0</v>
      </c>
      <c r="M20" s="848">
        <f t="shared" ref="M20:Q20" si="19">M212</f>
        <v>0</v>
      </c>
      <c r="N20" s="848">
        <f t="shared" si="19"/>
        <v>0</v>
      </c>
      <c r="O20" s="848">
        <f t="shared" si="19"/>
        <v>0</v>
      </c>
      <c r="P20" s="848">
        <f t="shared" si="19"/>
        <v>0</v>
      </c>
      <c r="Q20" s="848">
        <f t="shared" si="19"/>
        <v>0</v>
      </c>
      <c r="R20" s="133"/>
      <c r="S20" s="133"/>
      <c r="T20" s="133"/>
      <c r="U20" s="133"/>
      <c r="V20" s="133"/>
      <c r="W20" s="133"/>
      <c r="X20" s="133"/>
      <c r="Y20" s="133"/>
      <c r="Z20" s="133"/>
      <c r="AJ20" s="283"/>
      <c r="AK20" s="283"/>
      <c r="AL20" s="283"/>
      <c r="AM20" s="283"/>
      <c r="AN20" s="283"/>
    </row>
    <row r="21" spans="1:40" x14ac:dyDescent="0.3">
      <c r="A21" s="287"/>
      <c r="B21" s="428" t="s">
        <v>1112</v>
      </c>
      <c r="C21" s="414"/>
      <c r="D21" s="406">
        <f>D229</f>
        <v>0</v>
      </c>
      <c r="E21" s="406">
        <f t="shared" ref="E21:I21" si="20">E229</f>
        <v>0</v>
      </c>
      <c r="F21" s="406">
        <f t="shared" si="20"/>
        <v>0</v>
      </c>
      <c r="G21" s="406">
        <f t="shared" si="20"/>
        <v>0</v>
      </c>
      <c r="H21" s="406">
        <f t="shared" si="20"/>
        <v>0</v>
      </c>
      <c r="I21" s="406">
        <f t="shared" si="20"/>
        <v>0</v>
      </c>
      <c r="J21" s="133"/>
      <c r="K21" s="133"/>
      <c r="L21" s="835">
        <f>L229</f>
        <v>0</v>
      </c>
      <c r="M21" s="835">
        <f t="shared" ref="M21:Q21" si="21">M229</f>
        <v>0</v>
      </c>
      <c r="N21" s="835">
        <f t="shared" si="21"/>
        <v>0</v>
      </c>
      <c r="O21" s="835">
        <f t="shared" si="21"/>
        <v>0</v>
      </c>
      <c r="P21" s="835">
        <f t="shared" si="21"/>
        <v>0</v>
      </c>
      <c r="Q21" s="835">
        <f t="shared" si="21"/>
        <v>0</v>
      </c>
      <c r="R21" s="133"/>
      <c r="S21" s="133"/>
      <c r="T21" s="133"/>
      <c r="U21" s="133"/>
      <c r="V21" s="133"/>
      <c r="W21" s="133"/>
      <c r="X21" s="133"/>
      <c r="Y21" s="133"/>
      <c r="Z21" s="133"/>
    </row>
    <row r="22" spans="1:40" x14ac:dyDescent="0.3">
      <c r="A22" s="849"/>
      <c r="B22" s="865" t="s">
        <v>1114</v>
      </c>
      <c r="C22" s="855"/>
      <c r="D22" s="864">
        <f>D246</f>
        <v>0</v>
      </c>
      <c r="E22" s="864">
        <f t="shared" ref="E22:I22" si="22">E246</f>
        <v>0</v>
      </c>
      <c r="F22" s="864">
        <f t="shared" si="22"/>
        <v>0</v>
      </c>
      <c r="G22" s="864">
        <f t="shared" si="22"/>
        <v>0</v>
      </c>
      <c r="H22" s="864">
        <f t="shared" si="22"/>
        <v>0</v>
      </c>
      <c r="I22" s="864">
        <f t="shared" si="22"/>
        <v>0</v>
      </c>
      <c r="J22" s="133"/>
      <c r="K22" s="133"/>
      <c r="L22" s="835">
        <f>L246</f>
        <v>0</v>
      </c>
      <c r="M22" s="835">
        <f t="shared" ref="M22:Q22" si="23">M246</f>
        <v>0</v>
      </c>
      <c r="N22" s="835">
        <f t="shared" si="23"/>
        <v>0</v>
      </c>
      <c r="O22" s="835">
        <f t="shared" si="23"/>
        <v>0</v>
      </c>
      <c r="P22" s="835">
        <f t="shared" si="23"/>
        <v>0</v>
      </c>
      <c r="Q22" s="835">
        <f t="shared" si="23"/>
        <v>0</v>
      </c>
      <c r="R22" s="133"/>
      <c r="S22" s="133"/>
      <c r="T22" s="133"/>
      <c r="U22" s="133"/>
      <c r="V22" s="133"/>
      <c r="W22" s="133"/>
      <c r="X22" s="133"/>
      <c r="Y22" s="133"/>
      <c r="Z22" s="133"/>
    </row>
    <row r="23" spans="1:40" x14ac:dyDescent="0.3">
      <c r="A23" s="849"/>
      <c r="B23" s="863" t="s">
        <v>1086</v>
      </c>
      <c r="C23" s="855"/>
      <c r="D23" s="864">
        <f>D263</f>
        <v>0</v>
      </c>
      <c r="E23" s="864">
        <f t="shared" ref="E23:I23" si="24">E263</f>
        <v>0</v>
      </c>
      <c r="F23" s="864">
        <f t="shared" si="24"/>
        <v>0</v>
      </c>
      <c r="G23" s="864">
        <f t="shared" si="24"/>
        <v>0</v>
      </c>
      <c r="H23" s="864">
        <f t="shared" si="24"/>
        <v>0</v>
      </c>
      <c r="I23" s="864">
        <f t="shared" si="24"/>
        <v>0</v>
      </c>
      <c r="J23" s="133"/>
      <c r="K23" s="133"/>
      <c r="L23" s="835">
        <f>L263</f>
        <v>0</v>
      </c>
      <c r="M23" s="835">
        <f t="shared" ref="M23:Q23" si="25">M263</f>
        <v>0</v>
      </c>
      <c r="N23" s="835">
        <f t="shared" si="25"/>
        <v>0</v>
      </c>
      <c r="O23" s="835">
        <f t="shared" si="25"/>
        <v>0</v>
      </c>
      <c r="P23" s="835">
        <f t="shared" si="25"/>
        <v>0</v>
      </c>
      <c r="Q23" s="835">
        <f t="shared" si="25"/>
        <v>0</v>
      </c>
      <c r="R23" s="133"/>
      <c r="S23" s="133"/>
      <c r="T23" s="133"/>
      <c r="U23" s="133"/>
      <c r="V23" s="133"/>
      <c r="W23" s="133"/>
      <c r="X23" s="133"/>
      <c r="Y23" s="133"/>
      <c r="Z23" s="133"/>
    </row>
    <row r="24" spans="1:40" x14ac:dyDescent="0.3">
      <c r="A24" s="288"/>
      <c r="B24" s="429" t="str">
        <f>B211</f>
        <v>People receiving sorafenib as maintenance treatment</v>
      </c>
      <c r="C24" s="411"/>
      <c r="D24" s="407">
        <f>D295</f>
        <v>1587.9353515455343</v>
      </c>
      <c r="E24" s="407">
        <f t="shared" ref="E24:I24" si="26">E295</f>
        <v>1458.1903353706086</v>
      </c>
      <c r="F24" s="407">
        <f t="shared" si="26"/>
        <v>1454.9066675414404</v>
      </c>
      <c r="G24" s="407">
        <f t="shared" si="26"/>
        <v>1338.5788120336538</v>
      </c>
      <c r="H24" s="407">
        <f t="shared" si="26"/>
        <v>1351.4851312145772</v>
      </c>
      <c r="I24" s="407">
        <f t="shared" si="26"/>
        <v>1364.5158906401105</v>
      </c>
      <c r="J24" s="133"/>
      <c r="K24" s="133"/>
      <c r="L24" s="835">
        <f>L295</f>
        <v>6970.2977742822513</v>
      </c>
      <c r="M24" s="835">
        <f t="shared" ref="M24:Q24" si="27">M295</f>
        <v>6400.7774870815883</v>
      </c>
      <c r="N24" s="835">
        <f t="shared" si="27"/>
        <v>6386.3637122771815</v>
      </c>
      <c r="O24" s="835">
        <f t="shared" si="27"/>
        <v>5875.7385211799728</v>
      </c>
      <c r="P24" s="835">
        <f t="shared" si="27"/>
        <v>5932.3912607095799</v>
      </c>
      <c r="Q24" s="835">
        <f t="shared" si="27"/>
        <v>5989.5902350460346</v>
      </c>
      <c r="R24" s="133"/>
      <c r="S24" s="133"/>
      <c r="T24" s="133"/>
      <c r="U24" s="133"/>
      <c r="V24" s="133"/>
      <c r="W24" s="133"/>
      <c r="X24" s="133"/>
      <c r="Y24" s="133"/>
      <c r="Z24" s="133"/>
    </row>
    <row r="25" spans="1:40" x14ac:dyDescent="0.3">
      <c r="B25" s="246"/>
      <c r="D25" s="283"/>
      <c r="F25" s="133"/>
      <c r="G25" s="133"/>
      <c r="H25" s="133"/>
      <c r="I25" s="133"/>
      <c r="J25" s="133"/>
      <c r="K25" s="133"/>
      <c r="L25" s="868">
        <f>SUM(L10:L24)</f>
        <v>7821.0402296473167</v>
      </c>
      <c r="M25" s="868">
        <f t="shared" ref="M25:Q25" si="28">SUM(M10:M24)</f>
        <v>7044.9863498224022</v>
      </c>
      <c r="N25" s="868">
        <f t="shared" si="28"/>
        <v>6819.97717931846</v>
      </c>
      <c r="O25" s="868">
        <f t="shared" si="28"/>
        <v>6313.5328057842298</v>
      </c>
      <c r="P25" s="868">
        <f t="shared" si="28"/>
        <v>6374.4066735147999</v>
      </c>
      <c r="Q25" s="868">
        <f t="shared" si="28"/>
        <v>6435.8674753576115</v>
      </c>
      <c r="R25" s="133"/>
      <c r="S25" s="133"/>
      <c r="T25" s="133"/>
      <c r="U25" s="133"/>
      <c r="V25" s="133"/>
      <c r="W25" s="133"/>
      <c r="X25" s="133"/>
      <c r="Y25" s="133"/>
      <c r="Z25" s="133"/>
    </row>
    <row r="26" spans="1:40" x14ac:dyDescent="0.3">
      <c r="B26" s="307"/>
      <c r="C26" s="307"/>
      <c r="D26" s="307"/>
      <c r="E26" s="307"/>
      <c r="F26" s="307"/>
      <c r="G26" s="307"/>
      <c r="H26" s="307"/>
      <c r="I26" s="307"/>
      <c r="J26" s="307"/>
      <c r="K26" s="307"/>
      <c r="L26" s="307"/>
      <c r="P26" s="133"/>
      <c r="Q26" s="133"/>
      <c r="R26" s="133"/>
      <c r="S26" s="133"/>
      <c r="V26" s="133"/>
      <c r="W26" s="133"/>
      <c r="X26" s="133"/>
      <c r="Y26" s="133"/>
      <c r="Z26" s="133"/>
      <c r="AJ26" s="283"/>
      <c r="AK26" s="283"/>
      <c r="AL26" s="283"/>
      <c r="AM26" s="283"/>
      <c r="AN26" s="283"/>
    </row>
    <row r="27" spans="1:40" x14ac:dyDescent="0.3">
      <c r="B27" s="358" t="s">
        <v>839</v>
      </c>
      <c r="C27" s="359"/>
      <c r="D27" s="359"/>
      <c r="E27" s="360"/>
      <c r="F27" s="359"/>
      <c r="G27" s="361"/>
      <c r="H27" s="362"/>
      <c r="I27" s="362"/>
      <c r="J27" s="362"/>
      <c r="K27" s="362"/>
      <c r="L27" s="362"/>
      <c r="M27" s="362"/>
      <c r="N27" s="362"/>
      <c r="O27" s="362"/>
      <c r="P27" s="362"/>
      <c r="Q27" s="363"/>
      <c r="R27" s="133"/>
      <c r="S27" s="133"/>
      <c r="T27" s="133"/>
      <c r="U27" s="133"/>
      <c r="V27" s="133"/>
      <c r="W27" s="133"/>
      <c r="X27" s="133"/>
      <c r="Y27" s="133"/>
      <c r="Z27" s="133"/>
      <c r="AJ27" s="283"/>
      <c r="AK27" s="283"/>
      <c r="AL27" s="283"/>
      <c r="AM27" s="283"/>
      <c r="AN27" s="283"/>
    </row>
    <row r="28" spans="1:40" x14ac:dyDescent="0.3">
      <c r="A28" s="285"/>
      <c r="B28" s="539" t="s">
        <v>710</v>
      </c>
      <c r="C28" s="534"/>
      <c r="D28" s="535"/>
      <c r="E28" s="536"/>
      <c r="F28" s="285"/>
      <c r="G28" s="285"/>
      <c r="H28" s="217"/>
      <c r="I28" s="217"/>
      <c r="J28" s="217"/>
      <c r="K28" s="217"/>
      <c r="L28" s="217"/>
      <c r="M28" s="217"/>
      <c r="N28" s="217"/>
      <c r="O28" s="217"/>
      <c r="P28" s="217"/>
      <c r="Q28" s="217"/>
      <c r="R28" s="133"/>
      <c r="S28" s="133"/>
      <c r="T28" s="133"/>
      <c r="U28" s="133"/>
      <c r="V28" s="133"/>
      <c r="W28" s="133"/>
      <c r="X28" s="133"/>
      <c r="Y28" s="133"/>
      <c r="Z28" s="133"/>
      <c r="AJ28" s="283"/>
      <c r="AK28" s="283"/>
      <c r="AL28" s="283"/>
      <c r="AM28" s="283"/>
      <c r="AN28" s="283"/>
    </row>
    <row r="29" spans="1:40" x14ac:dyDescent="0.3">
      <c r="A29" s="532"/>
      <c r="B29" s="537" t="s">
        <v>1102</v>
      </c>
      <c r="C29" s="378"/>
      <c r="D29" s="378"/>
      <c r="E29" s="378"/>
      <c r="F29" s="378"/>
      <c r="G29" s="378"/>
      <c r="H29" s="378"/>
      <c r="I29" s="216"/>
      <c r="J29" s="217"/>
      <c r="K29" s="217"/>
      <c r="L29" s="217"/>
      <c r="M29" s="217"/>
      <c r="N29" s="217"/>
      <c r="O29" s="217"/>
      <c r="P29" s="217"/>
      <c r="Q29" s="217"/>
      <c r="R29" s="133"/>
      <c r="S29" s="133"/>
      <c r="T29" s="133"/>
      <c r="U29" s="133"/>
      <c r="V29" s="133"/>
      <c r="W29" s="133"/>
      <c r="X29" s="133"/>
      <c r="Y29" s="133"/>
      <c r="Z29" s="133"/>
      <c r="AJ29" s="283"/>
      <c r="AK29" s="283"/>
      <c r="AL29" s="283"/>
      <c r="AM29" s="283"/>
      <c r="AN29" s="283"/>
    </row>
    <row r="30" spans="1:40" ht="43.2" x14ac:dyDescent="0.3">
      <c r="A30" s="532"/>
      <c r="B30" s="306" t="s">
        <v>766</v>
      </c>
      <c r="C30" s="166" t="s">
        <v>1099</v>
      </c>
      <c r="D30" s="402" t="s">
        <v>831</v>
      </c>
      <c r="E30" s="254" t="s">
        <v>676</v>
      </c>
      <c r="F30" s="254" t="s">
        <v>677</v>
      </c>
      <c r="G30" s="165" t="s">
        <v>803</v>
      </c>
      <c r="H30" s="165" t="s">
        <v>804</v>
      </c>
      <c r="I30" s="254" t="s">
        <v>805</v>
      </c>
      <c r="J30" s="538"/>
      <c r="K30" s="531" t="s">
        <v>1100</v>
      </c>
      <c r="L30" s="402" t="s">
        <v>831</v>
      </c>
      <c r="M30" s="521" t="s">
        <v>676</v>
      </c>
      <c r="N30" s="521" t="s">
        <v>677</v>
      </c>
      <c r="O30" s="403" t="s">
        <v>803</v>
      </c>
      <c r="P30" s="403" t="s">
        <v>804</v>
      </c>
      <c r="Q30" s="521" t="s">
        <v>805</v>
      </c>
      <c r="R30" s="133"/>
      <c r="S30" s="133"/>
      <c r="T30" s="133"/>
      <c r="U30" s="133"/>
      <c r="V30" s="133"/>
      <c r="W30" s="133"/>
      <c r="X30" s="133"/>
      <c r="Y30" s="133"/>
      <c r="Z30" s="133"/>
      <c r="AJ30" s="283"/>
      <c r="AK30" s="283"/>
      <c r="AL30" s="283"/>
      <c r="AM30" s="283"/>
      <c r="AN30" s="283"/>
    </row>
    <row r="31" spans="1:40" x14ac:dyDescent="0.3">
      <c r="A31" s="532"/>
      <c r="B31" s="334" t="s">
        <v>1065</v>
      </c>
      <c r="C31" s="149">
        <f>'Inputs and eligible population'!F97</f>
        <v>0</v>
      </c>
      <c r="D31" s="128">
        <f>Summary!C16*'Capacity (local prices)'!$C$31*'Inputs and eligible population'!$E$50</f>
        <v>0</v>
      </c>
      <c r="E31" s="128">
        <f>Summary!D16*'Capacity (local prices)'!$C$31*'Inputs and eligible population'!$E$50</f>
        <v>0</v>
      </c>
      <c r="F31" s="128">
        <f>Summary!E16*'Capacity (local prices)'!$C$31*'Inputs and eligible population'!$E$50</f>
        <v>0</v>
      </c>
      <c r="G31" s="128">
        <f>Summary!F16*'Capacity (local prices)'!$C$31*'Inputs and eligible population'!$E$50</f>
        <v>0</v>
      </c>
      <c r="H31" s="128">
        <f>Summary!G16*'Capacity (local prices)'!$C$31*'Inputs and eligible population'!$E$50</f>
        <v>0</v>
      </c>
      <c r="I31" s="128">
        <f>Summary!H16*'Capacity (local prices)'!$C$31*'Inputs and eligible population'!$E$50</f>
        <v>0</v>
      </c>
      <c r="J31" s="538"/>
      <c r="K31" s="544">
        <f>'Unit costs'!N$105</f>
        <v>304</v>
      </c>
      <c r="L31" s="546">
        <f>$K31/1000*D31</f>
        <v>0</v>
      </c>
      <c r="M31" s="546">
        <f t="shared" ref="M31:Q41" si="29">$K31/1000*E31</f>
        <v>0</v>
      </c>
      <c r="N31" s="546">
        <f t="shared" si="29"/>
        <v>0</v>
      </c>
      <c r="O31" s="546">
        <f t="shared" si="29"/>
        <v>0</v>
      </c>
      <c r="P31" s="546">
        <f t="shared" si="29"/>
        <v>0</v>
      </c>
      <c r="Q31" s="546">
        <f t="shared" si="29"/>
        <v>0</v>
      </c>
      <c r="R31" s="133"/>
      <c r="S31" s="133"/>
      <c r="T31" s="133"/>
      <c r="U31" s="133"/>
      <c r="V31" s="133"/>
      <c r="W31" s="133"/>
      <c r="X31" s="133"/>
      <c r="Y31" s="133"/>
      <c r="Z31" s="133"/>
      <c r="AJ31" s="283"/>
      <c r="AK31" s="283"/>
      <c r="AL31" s="283"/>
      <c r="AM31" s="283"/>
      <c r="AN31" s="283"/>
    </row>
    <row r="32" spans="1:40" x14ac:dyDescent="0.3">
      <c r="A32" s="532"/>
      <c r="B32" s="334" t="s">
        <v>1064</v>
      </c>
      <c r="C32" s="149">
        <f>'Inputs and eligible population'!G97</f>
        <v>0</v>
      </c>
      <c r="D32" s="128">
        <f>Summary!C16*'Capacity (local prices)'!$C$32*'Inputs and eligible population'!$E$51</f>
        <v>0</v>
      </c>
      <c r="E32" s="128">
        <f>Summary!D16*'Capacity (local prices)'!$C$32*'Inputs and eligible population'!$E$51</f>
        <v>0</v>
      </c>
      <c r="F32" s="128">
        <f>Summary!E16*'Capacity (local prices)'!$C$32*'Inputs and eligible population'!$E$51</f>
        <v>0</v>
      </c>
      <c r="G32" s="128">
        <f>Summary!F16*'Capacity (local prices)'!$C$32*'Inputs and eligible population'!$E$51</f>
        <v>0</v>
      </c>
      <c r="H32" s="128">
        <f>Summary!G16*'Capacity (local prices)'!$C$32*'Inputs and eligible population'!$E$51</f>
        <v>0</v>
      </c>
      <c r="I32" s="128">
        <f>Summary!H16*'Capacity (local prices)'!$C$32*'Inputs and eligible population'!$E$51</f>
        <v>0</v>
      </c>
      <c r="J32" s="538"/>
      <c r="K32" s="544">
        <f>'Unit costs'!N$105</f>
        <v>304</v>
      </c>
      <c r="L32" s="546">
        <f t="shared" ref="L32:L41" si="30">$K32/1000*D32</f>
        <v>0</v>
      </c>
      <c r="M32" s="546">
        <f t="shared" si="29"/>
        <v>0</v>
      </c>
      <c r="N32" s="546">
        <f t="shared" si="29"/>
        <v>0</v>
      </c>
      <c r="O32" s="546">
        <f t="shared" si="29"/>
        <v>0</v>
      </c>
      <c r="P32" s="546">
        <f t="shared" si="29"/>
        <v>0</v>
      </c>
      <c r="Q32" s="546">
        <f t="shared" si="29"/>
        <v>0</v>
      </c>
      <c r="R32" s="133"/>
      <c r="S32" s="133"/>
      <c r="T32" s="133"/>
      <c r="U32" s="133"/>
      <c r="V32" s="133"/>
      <c r="W32" s="133"/>
      <c r="X32" s="133"/>
      <c r="Y32" s="133"/>
      <c r="Z32" s="133"/>
      <c r="AJ32" s="283"/>
      <c r="AK32" s="283"/>
      <c r="AL32" s="283"/>
      <c r="AM32" s="283"/>
      <c r="AN32" s="283"/>
    </row>
    <row r="33" spans="1:40" x14ac:dyDescent="0.3">
      <c r="A33" s="532"/>
      <c r="B33" s="334" t="s">
        <v>1162</v>
      </c>
      <c r="C33" s="149">
        <f>'Inputs and eligible population'!$H$97</f>
        <v>0</v>
      </c>
      <c r="D33" s="128">
        <f>'Inputs and eligible population'!$E$52*'Inputs and eligible population'!$L$84*'Capacity (local prices)'!$C$33</f>
        <v>0</v>
      </c>
      <c r="E33" s="128">
        <f>'Inputs and eligible population'!$E$52*'Inputs and eligible population'!$M$84*'Capacity (local prices)'!$C33</f>
        <v>0</v>
      </c>
      <c r="F33" s="128">
        <f>'Inputs and eligible population'!$E$52*'Inputs and eligible population'!$N$84*'Capacity (local prices)'!$C33</f>
        <v>0</v>
      </c>
      <c r="G33" s="128">
        <f>'Inputs and eligible population'!$E$52*'Inputs and eligible population'!$O$84*'Capacity (local prices)'!$C33</f>
        <v>0</v>
      </c>
      <c r="H33" s="128">
        <f>'Inputs and eligible population'!$E$52*'Inputs and eligible population'!$P$84*'Capacity (local prices)'!$C33</f>
        <v>0</v>
      </c>
      <c r="I33" s="128">
        <f>'Inputs and eligible population'!$E$52*'Inputs and eligible population'!$Q$84*'Capacity (local prices)'!$C33</f>
        <v>0</v>
      </c>
      <c r="J33" s="538"/>
      <c r="K33" s="544">
        <f>'Unit costs'!N$105</f>
        <v>304</v>
      </c>
      <c r="L33" s="546">
        <f t="shared" si="30"/>
        <v>0</v>
      </c>
      <c r="M33" s="546">
        <f t="shared" si="29"/>
        <v>0</v>
      </c>
      <c r="N33" s="546">
        <f t="shared" si="29"/>
        <v>0</v>
      </c>
      <c r="O33" s="546">
        <f t="shared" si="29"/>
        <v>0</v>
      </c>
      <c r="P33" s="546">
        <f t="shared" si="29"/>
        <v>0</v>
      </c>
      <c r="Q33" s="546">
        <f t="shared" si="29"/>
        <v>0</v>
      </c>
      <c r="R33" s="133"/>
      <c r="S33" s="133"/>
      <c r="T33" s="133"/>
      <c r="U33" s="133"/>
      <c r="V33" s="133"/>
      <c r="W33" s="133"/>
      <c r="X33" s="133"/>
      <c r="Y33" s="133"/>
      <c r="Z33" s="133"/>
      <c r="AJ33" s="283"/>
      <c r="AK33" s="283"/>
      <c r="AL33" s="283"/>
      <c r="AM33" s="283"/>
      <c r="AN33" s="283"/>
    </row>
    <row r="34" spans="1:40" x14ac:dyDescent="0.3">
      <c r="A34" s="532"/>
      <c r="B34" s="334" t="s">
        <v>1163</v>
      </c>
      <c r="C34" s="149">
        <f>'Inputs and eligible population'!$H$97</f>
        <v>0</v>
      </c>
      <c r="D34" s="128">
        <f>'Inputs and eligible population'!$F$52*'Inputs and eligible population'!$L$84*'Capacity (local prices)'!$C34</f>
        <v>0</v>
      </c>
      <c r="E34" s="128">
        <f>'Inputs and eligible population'!$F$52*'Inputs and eligible population'!$L$84*'Capacity (local prices)'!$C34</f>
        <v>0</v>
      </c>
      <c r="F34" s="128">
        <f>'Inputs and eligible population'!$F$52*'Inputs and eligible population'!$M$84*'Capacity (local prices)'!$C34</f>
        <v>0</v>
      </c>
      <c r="G34" s="128">
        <f>'Inputs and eligible population'!$F$52*'Inputs and eligible population'!$N$84*'Capacity (local prices)'!$C34</f>
        <v>0</v>
      </c>
      <c r="H34" s="128">
        <f>'Inputs and eligible population'!$F$52*'Inputs and eligible population'!$O$84*'Capacity (local prices)'!$C34</f>
        <v>0</v>
      </c>
      <c r="I34" s="128">
        <f>'Inputs and eligible population'!$F$52*'Inputs and eligible population'!$P$84*'Capacity (local prices)'!$C34</f>
        <v>0</v>
      </c>
      <c r="J34" s="538"/>
      <c r="K34" s="544">
        <f>'Unit costs'!N$105</f>
        <v>304</v>
      </c>
      <c r="L34" s="546">
        <f t="shared" si="30"/>
        <v>0</v>
      </c>
      <c r="M34" s="546">
        <f t="shared" si="29"/>
        <v>0</v>
      </c>
      <c r="N34" s="546">
        <f t="shared" si="29"/>
        <v>0</v>
      </c>
      <c r="O34" s="546">
        <f t="shared" si="29"/>
        <v>0</v>
      </c>
      <c r="P34" s="546">
        <f t="shared" si="29"/>
        <v>0</v>
      </c>
      <c r="Q34" s="546">
        <f t="shared" si="29"/>
        <v>0</v>
      </c>
      <c r="R34" s="133"/>
      <c r="S34" s="133"/>
      <c r="T34" s="133"/>
      <c r="U34" s="133"/>
      <c r="V34" s="133"/>
      <c r="W34" s="133"/>
      <c r="X34" s="133"/>
      <c r="Y34" s="133"/>
      <c r="Z34" s="133"/>
      <c r="AJ34" s="283"/>
      <c r="AK34" s="283"/>
      <c r="AL34" s="283"/>
      <c r="AM34" s="283"/>
      <c r="AN34" s="283"/>
    </row>
    <row r="35" spans="1:40" x14ac:dyDescent="0.3">
      <c r="A35" s="532"/>
      <c r="B35" s="334" t="s">
        <v>1164</v>
      </c>
      <c r="C35" s="149">
        <f>'Inputs and eligible population'!$H$97</f>
        <v>0</v>
      </c>
      <c r="D35" s="128">
        <f>'Inputs and eligible population'!$G$52*'Inputs and eligible population'!$L$84*'Capacity (local prices)'!$C35</f>
        <v>0</v>
      </c>
      <c r="E35" s="128">
        <f>'Inputs and eligible population'!$G$52*'Inputs and eligible population'!$L$84*'Capacity (local prices)'!$C35</f>
        <v>0</v>
      </c>
      <c r="F35" s="128">
        <f>'Inputs and eligible population'!$G$52*'Inputs and eligible population'!$L$84*'Capacity (local prices)'!$C35</f>
        <v>0</v>
      </c>
      <c r="G35" s="128">
        <f>'Inputs and eligible population'!$G$52*'Inputs and eligible population'!$M$84*'Capacity (local prices)'!$C35</f>
        <v>0</v>
      </c>
      <c r="H35" s="128">
        <f>'Inputs and eligible population'!$G$52*'Inputs and eligible population'!$N$84*'Capacity (local prices)'!$C35</f>
        <v>0</v>
      </c>
      <c r="I35" s="128">
        <f>'Inputs and eligible population'!$G$52*'Inputs and eligible population'!$O$84*'Capacity (local prices)'!$C35</f>
        <v>0</v>
      </c>
      <c r="J35" s="538"/>
      <c r="K35" s="544">
        <f>'Unit costs'!N$105</f>
        <v>304</v>
      </c>
      <c r="L35" s="546">
        <f t="shared" si="30"/>
        <v>0</v>
      </c>
      <c r="M35" s="546">
        <f t="shared" si="29"/>
        <v>0</v>
      </c>
      <c r="N35" s="546">
        <f t="shared" si="29"/>
        <v>0</v>
      </c>
      <c r="O35" s="546">
        <f t="shared" si="29"/>
        <v>0</v>
      </c>
      <c r="P35" s="546">
        <f t="shared" si="29"/>
        <v>0</v>
      </c>
      <c r="Q35" s="546">
        <f t="shared" si="29"/>
        <v>0</v>
      </c>
      <c r="R35" s="133"/>
      <c r="S35" s="133"/>
      <c r="T35" s="133"/>
      <c r="U35" s="133"/>
      <c r="V35" s="133"/>
      <c r="W35" s="133"/>
      <c r="X35" s="133"/>
      <c r="Y35" s="133"/>
      <c r="Z35" s="133"/>
      <c r="AJ35" s="283"/>
      <c r="AK35" s="283"/>
      <c r="AL35" s="283"/>
      <c r="AM35" s="283"/>
      <c r="AN35" s="283"/>
    </row>
    <row r="36" spans="1:40" x14ac:dyDescent="0.3">
      <c r="A36" s="532"/>
      <c r="B36" s="334" t="s">
        <v>1066</v>
      </c>
      <c r="C36" s="149">
        <f>'Inputs and eligible population'!I97</f>
        <v>0</v>
      </c>
      <c r="D36" s="128">
        <f>'Financial impact (cash)'!D15*$C$36*'Inputs and eligible population'!$E$53</f>
        <v>0</v>
      </c>
      <c r="E36" s="128">
        <f>'Financial impact (cash)'!E15*$C$36*'Inputs and eligible population'!$E$53</f>
        <v>0</v>
      </c>
      <c r="F36" s="128">
        <f>'Financial impact (cash)'!F15*$C$36*'Inputs and eligible population'!$E$53</f>
        <v>0</v>
      </c>
      <c r="G36" s="128">
        <f>'Financial impact (cash)'!G15*$C$36*'Inputs and eligible population'!$E$53</f>
        <v>0</v>
      </c>
      <c r="H36" s="128">
        <f>'Financial impact (cash)'!H15*$C$36*'Inputs and eligible population'!$E$53</f>
        <v>0</v>
      </c>
      <c r="I36" s="128">
        <f>'Financial impact (cash)'!I15*$C$36*'Inputs and eligible population'!$E$53</f>
        <v>0</v>
      </c>
      <c r="J36" s="538"/>
      <c r="K36" s="544">
        <f>'Unit costs'!N$105</f>
        <v>304</v>
      </c>
      <c r="L36" s="546">
        <f t="shared" si="30"/>
        <v>0</v>
      </c>
      <c r="M36" s="546">
        <f t="shared" si="29"/>
        <v>0</v>
      </c>
      <c r="N36" s="546">
        <f t="shared" si="29"/>
        <v>0</v>
      </c>
      <c r="O36" s="546">
        <f t="shared" si="29"/>
        <v>0</v>
      </c>
      <c r="P36" s="546">
        <f t="shared" si="29"/>
        <v>0</v>
      </c>
      <c r="Q36" s="546">
        <f t="shared" si="29"/>
        <v>0</v>
      </c>
      <c r="R36" s="133"/>
      <c r="S36" s="133"/>
      <c r="T36" s="133"/>
      <c r="U36" s="133"/>
      <c r="V36" s="133"/>
      <c r="W36" s="133"/>
      <c r="X36" s="133"/>
      <c r="Y36" s="133"/>
      <c r="Z36" s="133"/>
      <c r="AJ36" s="283"/>
      <c r="AK36" s="283"/>
      <c r="AL36" s="283"/>
      <c r="AM36" s="283"/>
      <c r="AN36" s="283"/>
    </row>
    <row r="37" spans="1:40" x14ac:dyDescent="0.3">
      <c r="A37" s="532"/>
      <c r="B37" s="334" t="s">
        <v>1067</v>
      </c>
      <c r="C37" s="149">
        <f>'Inputs and eligible population'!J97</f>
        <v>0</v>
      </c>
      <c r="D37" s="128">
        <f>'Financial impact (cash)'!D15*$C$37*'Inputs and eligible population'!$E$54</f>
        <v>0</v>
      </c>
      <c r="E37" s="128">
        <f>'Financial impact (cash)'!E15*$C$37*'Inputs and eligible population'!$E$54</f>
        <v>0</v>
      </c>
      <c r="F37" s="128">
        <f>'Financial impact (cash)'!F15*$C$37*'Inputs and eligible population'!$E$54</f>
        <v>0</v>
      </c>
      <c r="G37" s="128">
        <f>'Financial impact (cash)'!G15*$C$37*'Inputs and eligible population'!$E$54</f>
        <v>0</v>
      </c>
      <c r="H37" s="128">
        <f>'Financial impact (cash)'!H15*$C$37*'Inputs and eligible population'!$E$54</f>
        <v>0</v>
      </c>
      <c r="I37" s="128">
        <f>'Financial impact (cash)'!I15*$C$37*'Inputs and eligible population'!$E$54</f>
        <v>0</v>
      </c>
      <c r="J37" s="538"/>
      <c r="K37" s="544">
        <f>'Unit costs'!N$105</f>
        <v>304</v>
      </c>
      <c r="L37" s="546">
        <f t="shared" si="30"/>
        <v>0</v>
      </c>
      <c r="M37" s="546">
        <f t="shared" si="29"/>
        <v>0</v>
      </c>
      <c r="N37" s="546">
        <f t="shared" si="29"/>
        <v>0</v>
      </c>
      <c r="O37" s="546">
        <f t="shared" si="29"/>
        <v>0</v>
      </c>
      <c r="P37" s="546">
        <f t="shared" si="29"/>
        <v>0</v>
      </c>
      <c r="Q37" s="546">
        <f t="shared" si="29"/>
        <v>0</v>
      </c>
      <c r="R37" s="133"/>
      <c r="S37" s="133"/>
      <c r="T37" s="133"/>
      <c r="U37" s="133"/>
      <c r="V37" s="133"/>
      <c r="W37" s="133"/>
      <c r="X37" s="133"/>
      <c r="Y37" s="133"/>
      <c r="Z37" s="133"/>
      <c r="AJ37" s="283"/>
      <c r="AK37" s="283"/>
      <c r="AL37" s="283"/>
      <c r="AM37" s="283"/>
      <c r="AN37" s="283"/>
    </row>
    <row r="38" spans="1:40" x14ac:dyDescent="0.3">
      <c r="A38" s="532"/>
      <c r="B38" s="334" t="s">
        <v>1165</v>
      </c>
      <c r="C38" s="149">
        <f>'Inputs and eligible population'!$K$97</f>
        <v>0</v>
      </c>
      <c r="D38" s="128">
        <f>Summary!$C$17*'Capacity (local prices)'!$C38*'Inputs and eligible population'!$E$55</f>
        <v>0</v>
      </c>
      <c r="E38" s="128">
        <f>(Summary!$D$17*'Capacity (local prices)'!$C38*'Inputs and eligible population'!$E$55)</f>
        <v>0</v>
      </c>
      <c r="F38" s="128">
        <f>(Summary!$E$17*'Capacity (local prices)'!$C38*'Inputs and eligible population'!$E$55)</f>
        <v>0</v>
      </c>
      <c r="G38" s="128">
        <f>(Summary!$F$17*'Capacity (local prices)'!$C38*'Inputs and eligible population'!$E$55)</f>
        <v>0</v>
      </c>
      <c r="H38" s="128">
        <f>(Summary!$G$17*'Capacity (local prices)'!$C38*'Inputs and eligible population'!$E$55)</f>
        <v>0</v>
      </c>
      <c r="I38" s="128">
        <f>(Summary!$H$17*'Capacity (local prices)'!$C38*'Inputs and eligible population'!$E$55)</f>
        <v>0</v>
      </c>
      <c r="J38" s="538"/>
      <c r="K38" s="544">
        <f>'Unit costs'!N$105</f>
        <v>304</v>
      </c>
      <c r="L38" s="546">
        <f t="shared" si="30"/>
        <v>0</v>
      </c>
      <c r="M38" s="546">
        <f t="shared" si="29"/>
        <v>0</v>
      </c>
      <c r="N38" s="546">
        <f t="shared" si="29"/>
        <v>0</v>
      </c>
      <c r="O38" s="546">
        <f t="shared" si="29"/>
        <v>0</v>
      </c>
      <c r="P38" s="546">
        <f t="shared" si="29"/>
        <v>0</v>
      </c>
      <c r="Q38" s="546">
        <f t="shared" si="29"/>
        <v>0</v>
      </c>
      <c r="R38" s="133"/>
      <c r="S38" s="133"/>
      <c r="T38" s="133"/>
      <c r="U38" s="133"/>
      <c r="V38" s="133"/>
      <c r="W38" s="133"/>
      <c r="X38" s="133"/>
      <c r="Y38" s="133"/>
      <c r="Z38" s="133"/>
      <c r="AJ38" s="283"/>
      <c r="AK38" s="283"/>
      <c r="AL38" s="283"/>
      <c r="AM38" s="283"/>
      <c r="AN38" s="283"/>
    </row>
    <row r="39" spans="1:40" x14ac:dyDescent="0.3">
      <c r="A39" s="532"/>
      <c r="B39" s="334" t="s">
        <v>1166</v>
      </c>
      <c r="C39" s="149">
        <f>'Inputs and eligible population'!$K$97</f>
        <v>0</v>
      </c>
      <c r="D39" s="128">
        <f>Summary!$C$17*'Capacity (local prices)'!$C38*'Inputs and eligible population'!$F$55</f>
        <v>0</v>
      </c>
      <c r="E39" s="128">
        <f>Summary!$C$17*'Capacity (local prices)'!$C38*'Inputs and eligible population'!$F$55</f>
        <v>0</v>
      </c>
      <c r="F39" s="128">
        <f>(Summary!$D$17*'Capacity (local prices)'!$C38*'Inputs and eligible population'!$F$55)</f>
        <v>0</v>
      </c>
      <c r="G39" s="128">
        <f>(Summary!$E$17*'Capacity (local prices)'!$C38*'Inputs and eligible population'!$F$55)</f>
        <v>0</v>
      </c>
      <c r="H39" s="128">
        <f>(Summary!$F$17*'Capacity (local prices)'!$C38*'Inputs and eligible population'!$F$55)</f>
        <v>0</v>
      </c>
      <c r="I39" s="128">
        <f>(Summary!$G$17*'Capacity (local prices)'!$C38*'Inputs and eligible population'!$F$55)</f>
        <v>0</v>
      </c>
      <c r="J39" s="538"/>
      <c r="K39" s="544">
        <f>'Unit costs'!N$105</f>
        <v>304</v>
      </c>
      <c r="L39" s="546">
        <f t="shared" si="30"/>
        <v>0</v>
      </c>
      <c r="M39" s="546">
        <f t="shared" si="29"/>
        <v>0</v>
      </c>
      <c r="N39" s="546">
        <f t="shared" si="29"/>
        <v>0</v>
      </c>
      <c r="O39" s="546">
        <f t="shared" si="29"/>
        <v>0</v>
      </c>
      <c r="P39" s="546">
        <f t="shared" si="29"/>
        <v>0</v>
      </c>
      <c r="Q39" s="546">
        <f t="shared" si="29"/>
        <v>0</v>
      </c>
      <c r="R39" s="133"/>
      <c r="S39" s="133"/>
      <c r="T39" s="133"/>
      <c r="U39" s="133"/>
      <c r="V39" s="133"/>
      <c r="W39" s="133"/>
      <c r="X39" s="133"/>
      <c r="Y39" s="133"/>
      <c r="Z39" s="133"/>
      <c r="AJ39" s="283"/>
      <c r="AK39" s="283"/>
      <c r="AL39" s="283"/>
      <c r="AM39" s="283"/>
      <c r="AN39" s="283"/>
    </row>
    <row r="40" spans="1:40" x14ac:dyDescent="0.3">
      <c r="A40" s="532"/>
      <c r="B40" s="334" t="s">
        <v>1167</v>
      </c>
      <c r="C40" s="149">
        <f>'Inputs and eligible population'!$K$97</f>
        <v>0</v>
      </c>
      <c r="D40" s="128">
        <f>Summary!$C$17*'Capacity (local prices)'!$C38*'Inputs and eligible population'!$G$55</f>
        <v>0</v>
      </c>
      <c r="E40" s="128">
        <f>Summary!$C$17*'Capacity (local prices)'!$C38*'Inputs and eligible population'!$G$55</f>
        <v>0</v>
      </c>
      <c r="F40" s="128">
        <f>Summary!$C$17*'Capacity (local prices)'!$C38*'Inputs and eligible population'!$G$55</f>
        <v>0</v>
      </c>
      <c r="G40" s="128">
        <f>(Summary!$D$17*'Capacity (local prices)'!$C38*'Inputs and eligible population'!$G$55)</f>
        <v>0</v>
      </c>
      <c r="H40" s="128">
        <f>(Summary!$E$17*'Capacity (local prices)'!$C38*'Inputs and eligible population'!$G$55)</f>
        <v>0</v>
      </c>
      <c r="I40" s="128">
        <f>(Summary!$F$17*'Capacity (local prices)'!$C38*'Inputs and eligible population'!$G$55)</f>
        <v>0</v>
      </c>
      <c r="J40" s="538"/>
      <c r="K40" s="544">
        <f>'Unit costs'!N$105</f>
        <v>304</v>
      </c>
      <c r="L40" s="546">
        <f t="shared" si="30"/>
        <v>0</v>
      </c>
      <c r="M40" s="546">
        <f t="shared" si="29"/>
        <v>0</v>
      </c>
      <c r="N40" s="546">
        <f t="shared" si="29"/>
        <v>0</v>
      </c>
      <c r="O40" s="546">
        <f t="shared" si="29"/>
        <v>0</v>
      </c>
      <c r="P40" s="546">
        <f t="shared" si="29"/>
        <v>0</v>
      </c>
      <c r="Q40" s="546">
        <f t="shared" si="29"/>
        <v>0</v>
      </c>
      <c r="R40" s="133"/>
      <c r="S40" s="133"/>
      <c r="T40" s="133"/>
      <c r="U40" s="133"/>
      <c r="V40" s="133"/>
      <c r="W40" s="133"/>
      <c r="X40" s="133"/>
      <c r="Y40" s="133"/>
      <c r="Z40" s="133"/>
      <c r="AJ40" s="283"/>
      <c r="AK40" s="283"/>
      <c r="AL40" s="283"/>
      <c r="AM40" s="283"/>
      <c r="AN40" s="283"/>
    </row>
    <row r="41" spans="1:40" x14ac:dyDescent="0.3">
      <c r="A41" s="532"/>
      <c r="B41" s="832" t="s">
        <v>1069</v>
      </c>
      <c r="C41" s="149">
        <f>'Inputs and eligible population'!L97</f>
        <v>0</v>
      </c>
      <c r="D41" s="128">
        <f>Summary!C18*'Capacity (local prices)'!$C$41*'Inputs and eligible population'!$E$56</f>
        <v>0</v>
      </c>
      <c r="E41" s="128">
        <f>Summary!D18*'Capacity (local prices)'!$C$41*'Inputs and eligible population'!$E$56</f>
        <v>0</v>
      </c>
      <c r="F41" s="128">
        <f>Summary!E18*'Capacity (local prices)'!$C$41*'Inputs and eligible population'!$E$56</f>
        <v>0</v>
      </c>
      <c r="G41" s="128">
        <f>Summary!$F$18*'Capacity (local prices)'!$C41*'Inputs and eligible population'!$E$56</f>
        <v>0</v>
      </c>
      <c r="H41" s="128">
        <f>Summary!$G$18*'Capacity (local prices)'!$C41*'Inputs and eligible population'!$E$56</f>
        <v>0</v>
      </c>
      <c r="I41" s="128">
        <f>Summary!$H$18*'Capacity (local prices)'!$C41*'Inputs and eligible population'!$E$56</f>
        <v>0</v>
      </c>
      <c r="J41" s="538"/>
      <c r="K41" s="544">
        <f>'Unit costs'!N$105</f>
        <v>304</v>
      </c>
      <c r="L41" s="546">
        <f t="shared" si="30"/>
        <v>0</v>
      </c>
      <c r="M41" s="546">
        <f t="shared" si="29"/>
        <v>0</v>
      </c>
      <c r="N41" s="546">
        <f t="shared" si="29"/>
        <v>0</v>
      </c>
      <c r="O41" s="546">
        <f t="shared" si="29"/>
        <v>0</v>
      </c>
      <c r="P41" s="546">
        <f t="shared" si="29"/>
        <v>0</v>
      </c>
      <c r="Q41" s="546">
        <f t="shared" si="29"/>
        <v>0</v>
      </c>
      <c r="R41" s="133"/>
      <c r="S41" s="133"/>
      <c r="T41" s="133"/>
      <c r="U41" s="133"/>
      <c r="V41" s="133"/>
      <c r="W41" s="133"/>
      <c r="X41" s="133"/>
      <c r="Y41" s="133"/>
      <c r="Z41" s="133"/>
      <c r="AJ41" s="283"/>
      <c r="AK41" s="283"/>
      <c r="AL41" s="283"/>
      <c r="AM41" s="283"/>
      <c r="AN41" s="283"/>
    </row>
    <row r="42" spans="1:40" x14ac:dyDescent="0.3">
      <c r="A42" s="532"/>
      <c r="B42" s="504"/>
      <c r="C42" s="280"/>
      <c r="D42" s="186">
        <f>SUM(D31:D41)</f>
        <v>0</v>
      </c>
      <c r="E42" s="186">
        <f t="shared" ref="E42:I42" si="31">SUM(E31:E41)</f>
        <v>0</v>
      </c>
      <c r="F42" s="186">
        <f t="shared" si="31"/>
        <v>0</v>
      </c>
      <c r="G42" s="186">
        <f t="shared" si="31"/>
        <v>0</v>
      </c>
      <c r="H42" s="186">
        <f t="shared" si="31"/>
        <v>0</v>
      </c>
      <c r="I42" s="186">
        <f t="shared" si="31"/>
        <v>0</v>
      </c>
      <c r="J42" s="538"/>
      <c r="K42" s="217"/>
      <c r="L42" s="290">
        <f>SUM(L31:L41)</f>
        <v>0</v>
      </c>
      <c r="M42" s="290">
        <f t="shared" ref="M42:Q42" si="32">SUM(M31:M41)</f>
        <v>0</v>
      </c>
      <c r="N42" s="290">
        <f t="shared" si="32"/>
        <v>0</v>
      </c>
      <c r="O42" s="290">
        <f t="shared" si="32"/>
        <v>0</v>
      </c>
      <c r="P42" s="290">
        <f t="shared" si="32"/>
        <v>0</v>
      </c>
      <c r="Q42" s="290">
        <f t="shared" si="32"/>
        <v>0</v>
      </c>
      <c r="R42" s="133"/>
      <c r="S42" s="133"/>
      <c r="T42" s="133"/>
      <c r="U42" s="133"/>
      <c r="V42" s="133"/>
      <c r="W42" s="133"/>
      <c r="X42" s="133"/>
      <c r="Y42" s="133"/>
      <c r="Z42" s="133"/>
      <c r="AJ42" s="283"/>
      <c r="AK42" s="283"/>
      <c r="AL42" s="283"/>
      <c r="AM42" s="283"/>
      <c r="AN42" s="283"/>
    </row>
    <row r="43" spans="1:40" x14ac:dyDescent="0.3">
      <c r="A43" s="532"/>
      <c r="B43" s="255"/>
      <c r="C43" s="255"/>
      <c r="D43" s="282" t="s">
        <v>841</v>
      </c>
      <c r="E43" s="186">
        <f>E42-$D$42</f>
        <v>0</v>
      </c>
      <c r="F43" s="186">
        <f>F42-$D$42</f>
        <v>0</v>
      </c>
      <c r="G43" s="186">
        <f>G42-$D$42</f>
        <v>0</v>
      </c>
      <c r="H43" s="186">
        <f>H42-$D$42</f>
        <v>0</v>
      </c>
      <c r="I43" s="186">
        <f>I42-$D$42</f>
        <v>0</v>
      </c>
      <c r="J43" s="538"/>
      <c r="K43" s="217"/>
      <c r="L43" s="217"/>
      <c r="M43" s="290">
        <f>M42-$L42</f>
        <v>0</v>
      </c>
      <c r="N43" s="290">
        <f t="shared" ref="N43:Q43" si="33">N42-$L42</f>
        <v>0</v>
      </c>
      <c r="O43" s="290">
        <f t="shared" si="33"/>
        <v>0</v>
      </c>
      <c r="P43" s="290">
        <f t="shared" si="33"/>
        <v>0</v>
      </c>
      <c r="Q43" s="290">
        <f t="shared" si="33"/>
        <v>0</v>
      </c>
      <c r="R43" s="133"/>
      <c r="S43" s="133"/>
      <c r="T43" s="133"/>
      <c r="U43" s="133"/>
      <c r="V43" s="133"/>
      <c r="W43" s="133"/>
      <c r="X43" s="133"/>
      <c r="Y43" s="133"/>
      <c r="Z43" s="133"/>
      <c r="AJ43" s="283"/>
      <c r="AK43" s="283"/>
      <c r="AL43" s="283"/>
      <c r="AM43" s="283"/>
      <c r="AN43" s="283"/>
    </row>
    <row r="44" spans="1:40" x14ac:dyDescent="0.3">
      <c r="A44" s="285"/>
      <c r="B44" s="533"/>
      <c r="C44" s="534"/>
      <c r="D44" s="535"/>
      <c r="E44" s="536"/>
      <c r="F44" s="285"/>
      <c r="G44" s="285"/>
      <c r="H44" s="285"/>
      <c r="I44" s="297"/>
      <c r="J44" s="217"/>
      <c r="K44" s="217"/>
      <c r="L44" s="217"/>
      <c r="M44" s="217"/>
      <c r="N44" s="217"/>
      <c r="O44" s="217"/>
      <c r="P44" s="217"/>
      <c r="Q44" s="217"/>
      <c r="R44" s="133"/>
      <c r="S44" s="133"/>
      <c r="T44" s="133"/>
      <c r="U44" s="133"/>
      <c r="V44" s="133"/>
      <c r="W44" s="133"/>
      <c r="X44" s="133"/>
      <c r="Y44" s="133"/>
      <c r="Z44" s="133"/>
      <c r="AJ44" s="283"/>
      <c r="AK44" s="283"/>
      <c r="AL44" s="283"/>
      <c r="AM44" s="283"/>
      <c r="AN44" s="283"/>
    </row>
    <row r="45" spans="1:40" x14ac:dyDescent="0.3">
      <c r="A45" s="285"/>
      <c r="B45" s="377" t="s">
        <v>1071</v>
      </c>
      <c r="C45" s="378"/>
      <c r="D45" s="378"/>
      <c r="E45" s="378"/>
      <c r="F45" s="378"/>
      <c r="G45" s="378"/>
      <c r="H45" s="378"/>
      <c r="I45" s="216"/>
      <c r="J45" s="217"/>
      <c r="K45" s="217"/>
      <c r="L45" s="217"/>
      <c r="M45" s="217"/>
      <c r="N45" s="217"/>
      <c r="O45" s="217"/>
      <c r="P45" s="217"/>
      <c r="Q45" s="217"/>
      <c r="R45" s="133"/>
      <c r="S45" s="133"/>
      <c r="T45" s="133"/>
      <c r="U45" s="133"/>
      <c r="V45" s="133"/>
      <c r="W45" s="133"/>
      <c r="X45" s="133"/>
      <c r="Y45" s="133"/>
      <c r="Z45" s="133"/>
      <c r="AJ45" s="283"/>
      <c r="AK45" s="283"/>
      <c r="AL45" s="283"/>
      <c r="AM45" s="283"/>
      <c r="AN45" s="283"/>
    </row>
    <row r="46" spans="1:40" x14ac:dyDescent="0.3">
      <c r="A46" s="285"/>
      <c r="B46" s="537" t="s">
        <v>1103</v>
      </c>
      <c r="C46" s="378"/>
      <c r="D46" s="834"/>
      <c r="E46" s="378"/>
      <c r="F46" s="378"/>
      <c r="G46" s="378"/>
      <c r="H46" s="378"/>
      <c r="I46" s="216"/>
      <c r="J46" s="217"/>
      <c r="K46" s="217"/>
      <c r="L46" s="217"/>
      <c r="M46" s="217"/>
      <c r="N46" s="217"/>
      <c r="O46" s="217"/>
      <c r="P46" s="217"/>
      <c r="Q46" s="217"/>
      <c r="R46" s="133"/>
      <c r="S46" s="133"/>
      <c r="T46" s="133"/>
      <c r="U46" s="133"/>
      <c r="V46" s="133"/>
      <c r="W46" s="133"/>
      <c r="X46" s="133"/>
      <c r="Y46" s="133"/>
      <c r="Z46" s="133"/>
      <c r="AJ46" s="283"/>
      <c r="AK46" s="283"/>
      <c r="AL46" s="283"/>
      <c r="AM46" s="283"/>
      <c r="AN46" s="283"/>
    </row>
    <row r="47" spans="1:40" ht="43.2" x14ac:dyDescent="0.3">
      <c r="A47" s="532"/>
      <c r="B47" s="306" t="s">
        <v>766</v>
      </c>
      <c r="C47" s="166" t="s">
        <v>1099</v>
      </c>
      <c r="D47" s="402" t="s">
        <v>831</v>
      </c>
      <c r="E47" s="254" t="s">
        <v>676</v>
      </c>
      <c r="F47" s="254" t="s">
        <v>677</v>
      </c>
      <c r="G47" s="165" t="s">
        <v>803</v>
      </c>
      <c r="H47" s="165" t="s">
        <v>804</v>
      </c>
      <c r="I47" s="254" t="s">
        <v>805</v>
      </c>
      <c r="J47" s="538"/>
      <c r="K47" s="531" t="s">
        <v>1100</v>
      </c>
      <c r="L47" s="402" t="s">
        <v>831</v>
      </c>
      <c r="M47" s="521" t="s">
        <v>676</v>
      </c>
      <c r="N47" s="521" t="s">
        <v>677</v>
      </c>
      <c r="O47" s="403" t="s">
        <v>803</v>
      </c>
      <c r="P47" s="403" t="s">
        <v>804</v>
      </c>
      <c r="Q47" s="521" t="s">
        <v>805</v>
      </c>
      <c r="R47" s="133"/>
      <c r="S47" s="133"/>
      <c r="T47" s="133"/>
      <c r="U47" s="133"/>
      <c r="V47" s="133"/>
      <c r="W47" s="133"/>
      <c r="X47" s="133"/>
      <c r="Y47" s="133"/>
      <c r="Z47" s="133"/>
      <c r="AJ47" s="283"/>
      <c r="AK47" s="283"/>
      <c r="AL47" s="283"/>
      <c r="AM47" s="283"/>
      <c r="AN47" s="283"/>
    </row>
    <row r="48" spans="1:40" x14ac:dyDescent="0.3">
      <c r="A48" s="532"/>
      <c r="B48" s="334" t="s">
        <v>1065</v>
      </c>
      <c r="C48" s="149">
        <f>'Inputs and eligible population'!F99</f>
        <v>1</v>
      </c>
      <c r="D48" s="128">
        <f>Summary!$C$16*'Capacity (local prices)'!$C$48*'Inputs and eligible population'!$E$50</f>
        <v>0</v>
      </c>
      <c r="E48" s="128">
        <f>Summary!$D$16*'Capacity (local prices)'!$C$48*'Inputs and eligible population'!$E$50</f>
        <v>0</v>
      </c>
      <c r="F48" s="128">
        <f>Summary!E$16*'Capacity (local prices)'!$C$48*'Inputs and eligible population'!$E$50</f>
        <v>0</v>
      </c>
      <c r="G48" s="128">
        <f>Summary!F$16*'Capacity (local prices)'!$C$48*'Inputs and eligible population'!$E$50</f>
        <v>0</v>
      </c>
      <c r="H48" s="128">
        <f>Summary!G$16*'Capacity (local prices)'!$C$48*'Inputs and eligible population'!$E$50</f>
        <v>0</v>
      </c>
      <c r="I48" s="128">
        <f>Summary!H$16*'Capacity (local prices)'!$C$48*'Inputs and eligible population'!$E$50</f>
        <v>0</v>
      </c>
      <c r="J48" s="538"/>
      <c r="K48" s="544">
        <f>'Unit costs'!N$110</f>
        <v>141</v>
      </c>
      <c r="L48" s="546">
        <f>$K48/1000*D48</f>
        <v>0</v>
      </c>
      <c r="M48" s="546">
        <f t="shared" ref="M48:Q58" si="34">$K48/1000*E48</f>
        <v>0</v>
      </c>
      <c r="N48" s="546">
        <f t="shared" si="34"/>
        <v>0</v>
      </c>
      <c r="O48" s="546">
        <f t="shared" si="34"/>
        <v>0</v>
      </c>
      <c r="P48" s="546">
        <f t="shared" si="34"/>
        <v>0</v>
      </c>
      <c r="Q48" s="546">
        <f t="shared" si="34"/>
        <v>0</v>
      </c>
      <c r="R48" s="133"/>
      <c r="S48" s="133"/>
      <c r="T48" s="133"/>
      <c r="U48" s="133"/>
      <c r="V48" s="133"/>
      <c r="W48" s="133"/>
      <c r="X48" s="133"/>
      <c r="Y48" s="133"/>
      <c r="Z48" s="133"/>
      <c r="AJ48" s="283"/>
      <c r="AK48" s="283"/>
      <c r="AL48" s="283"/>
      <c r="AM48" s="283"/>
      <c r="AN48" s="283"/>
    </row>
    <row r="49" spans="1:40" x14ac:dyDescent="0.3">
      <c r="A49" s="532"/>
      <c r="B49" s="334" t="s">
        <v>1064</v>
      </c>
      <c r="C49" s="149">
        <f>'Inputs and eligible population'!G99</f>
        <v>1</v>
      </c>
      <c r="D49" s="128">
        <f>Summary!C$16*'Capacity (local prices)'!$C$49*'Inputs and eligible population'!$E$51</f>
        <v>0</v>
      </c>
      <c r="E49" s="128">
        <f>Summary!D$16*'Capacity (local prices)'!$C$49*'Inputs and eligible population'!$E$51</f>
        <v>0</v>
      </c>
      <c r="F49" s="128">
        <f>Summary!E$16*'Capacity (local prices)'!$C$49*'Inputs and eligible population'!$E$51</f>
        <v>0</v>
      </c>
      <c r="G49" s="128">
        <f>Summary!F$16*'Capacity (local prices)'!$C$49*'Inputs and eligible population'!$E$51</f>
        <v>0</v>
      </c>
      <c r="H49" s="128">
        <f>Summary!G$16*'Capacity (local prices)'!$C$49*'Inputs and eligible population'!$E$51</f>
        <v>0</v>
      </c>
      <c r="I49" s="128">
        <f>Summary!H$16*'Capacity (local prices)'!$C$49*'Inputs and eligible population'!$E$51</f>
        <v>0</v>
      </c>
      <c r="J49" s="538"/>
      <c r="K49" s="544">
        <f>'Unit costs'!N$110</f>
        <v>141</v>
      </c>
      <c r="L49" s="546">
        <f t="shared" ref="L49:L58" si="35">$K49/1000*D49</f>
        <v>0</v>
      </c>
      <c r="M49" s="546">
        <f t="shared" si="34"/>
        <v>0</v>
      </c>
      <c r="N49" s="546">
        <f t="shared" si="34"/>
        <v>0</v>
      </c>
      <c r="O49" s="546">
        <f t="shared" si="34"/>
        <v>0</v>
      </c>
      <c r="P49" s="546">
        <f t="shared" si="34"/>
        <v>0</v>
      </c>
      <c r="Q49" s="546">
        <f t="shared" si="34"/>
        <v>0</v>
      </c>
      <c r="R49" s="133"/>
      <c r="S49" s="133"/>
      <c r="T49" s="133"/>
      <c r="U49" s="133"/>
      <c r="V49" s="133"/>
      <c r="W49" s="133"/>
      <c r="X49" s="133"/>
      <c r="Y49" s="133"/>
      <c r="Z49" s="133"/>
      <c r="AJ49" s="283"/>
      <c r="AK49" s="283"/>
      <c r="AL49" s="283"/>
      <c r="AM49" s="283"/>
      <c r="AN49" s="283"/>
    </row>
    <row r="50" spans="1:40" x14ac:dyDescent="0.3">
      <c r="A50" s="532"/>
      <c r="B50" s="334" t="s">
        <v>1162</v>
      </c>
      <c r="C50" s="149">
        <f>'Inputs and eligible population'!$H$99</f>
        <v>1</v>
      </c>
      <c r="D50" s="128">
        <f>'Inputs and eligible population'!$E$52*'Inputs and eligible population'!$L$84*'Capacity (local prices)'!$C$33</f>
        <v>0</v>
      </c>
      <c r="E50" s="128">
        <f>'Inputs and eligible population'!$E$52*'Inputs and eligible population'!$M$84*'Capacity (local prices)'!$C50</f>
        <v>0</v>
      </c>
      <c r="F50" s="128">
        <f>'Inputs and eligible population'!$E$52*'Inputs and eligible population'!$N$84*'Capacity (local prices)'!$C50</f>
        <v>0</v>
      </c>
      <c r="G50" s="128">
        <f>'Inputs and eligible population'!$E$52*'Inputs and eligible population'!$O$84*'Capacity (local prices)'!$C50</f>
        <v>0</v>
      </c>
      <c r="H50" s="128">
        <f>'Inputs and eligible population'!$E$52*'Inputs and eligible population'!$P$84*'Capacity (local prices)'!$C50</f>
        <v>0</v>
      </c>
      <c r="I50" s="128">
        <f>'Inputs and eligible population'!$E$52*'Inputs and eligible population'!$Q$84*'Capacity (local prices)'!$C50</f>
        <v>0</v>
      </c>
      <c r="J50" s="538"/>
      <c r="K50" s="544">
        <f>'Unit costs'!N$110</f>
        <v>141</v>
      </c>
      <c r="L50" s="546">
        <f t="shared" si="35"/>
        <v>0</v>
      </c>
      <c r="M50" s="546">
        <f t="shared" si="34"/>
        <v>0</v>
      </c>
      <c r="N50" s="546">
        <f t="shared" si="34"/>
        <v>0</v>
      </c>
      <c r="O50" s="546">
        <f t="shared" si="34"/>
        <v>0</v>
      </c>
      <c r="P50" s="546">
        <f t="shared" si="34"/>
        <v>0</v>
      </c>
      <c r="Q50" s="546">
        <f t="shared" si="34"/>
        <v>0</v>
      </c>
      <c r="R50" s="133"/>
      <c r="S50" s="133"/>
      <c r="T50" s="133"/>
      <c r="U50" s="133"/>
      <c r="V50" s="133"/>
      <c r="W50" s="133"/>
      <c r="X50" s="133"/>
      <c r="Y50" s="133"/>
      <c r="Z50" s="133"/>
      <c r="AJ50" s="283"/>
      <c r="AK50" s="283"/>
      <c r="AL50" s="283"/>
      <c r="AM50" s="283"/>
      <c r="AN50" s="283"/>
    </row>
    <row r="51" spans="1:40" x14ac:dyDescent="0.3">
      <c r="A51" s="532"/>
      <c r="B51" s="334" t="s">
        <v>1163</v>
      </c>
      <c r="C51" s="149">
        <f>'Inputs and eligible population'!$H$99</f>
        <v>1</v>
      </c>
      <c r="D51" s="128">
        <f>'Inputs and eligible population'!$F$52*'Inputs and eligible population'!$L$84*'Capacity (local prices)'!$C51</f>
        <v>0</v>
      </c>
      <c r="E51" s="128">
        <f>'Inputs and eligible population'!$F$52*'Inputs and eligible population'!$L$84*'Capacity (local prices)'!$C51</f>
        <v>0</v>
      </c>
      <c r="F51" s="128">
        <f>'Inputs and eligible population'!$F$52*'Inputs and eligible population'!$M$84*'Capacity (local prices)'!$C51</f>
        <v>0</v>
      </c>
      <c r="G51" s="128">
        <f>'Inputs and eligible population'!$F$52*'Inputs and eligible population'!$N$84*'Capacity (local prices)'!$C51</f>
        <v>0</v>
      </c>
      <c r="H51" s="128">
        <f>'Inputs and eligible population'!$F$52*'Inputs and eligible population'!$O$84*'Capacity (local prices)'!$C51</f>
        <v>0</v>
      </c>
      <c r="I51" s="128">
        <f>'Inputs and eligible population'!$F$52*'Inputs and eligible population'!$P$84*'Capacity (local prices)'!$C51</f>
        <v>0</v>
      </c>
      <c r="J51" s="538"/>
      <c r="K51" s="544">
        <f>'Unit costs'!N$110</f>
        <v>141</v>
      </c>
      <c r="L51" s="546">
        <f t="shared" si="35"/>
        <v>0</v>
      </c>
      <c r="M51" s="546">
        <f t="shared" si="34"/>
        <v>0</v>
      </c>
      <c r="N51" s="546">
        <f t="shared" si="34"/>
        <v>0</v>
      </c>
      <c r="O51" s="546">
        <f t="shared" si="34"/>
        <v>0</v>
      </c>
      <c r="P51" s="546">
        <f t="shared" si="34"/>
        <v>0</v>
      </c>
      <c r="Q51" s="546">
        <f t="shared" si="34"/>
        <v>0</v>
      </c>
      <c r="R51" s="133"/>
      <c r="S51" s="133"/>
      <c r="T51" s="133"/>
      <c r="U51" s="133"/>
      <c r="V51" s="133"/>
      <c r="W51" s="133"/>
      <c r="X51" s="133"/>
      <c r="Y51" s="133"/>
      <c r="Z51" s="133"/>
      <c r="AJ51" s="283"/>
      <c r="AK51" s="283"/>
      <c r="AL51" s="283"/>
      <c r="AM51" s="283"/>
      <c r="AN51" s="283"/>
    </row>
    <row r="52" spans="1:40" x14ac:dyDescent="0.3">
      <c r="A52" s="532"/>
      <c r="B52" s="334" t="s">
        <v>1164</v>
      </c>
      <c r="C52" s="149">
        <f>'Inputs and eligible population'!$H$99</f>
        <v>1</v>
      </c>
      <c r="D52" s="128">
        <f>'Inputs and eligible population'!$G$52*'Inputs and eligible population'!$L$84*'Capacity (local prices)'!$C52</f>
        <v>0</v>
      </c>
      <c r="E52" s="128">
        <f>'Inputs and eligible population'!$G$52*'Inputs and eligible population'!$L$84*'Capacity (local prices)'!$C52</f>
        <v>0</v>
      </c>
      <c r="F52" s="128">
        <f>'Inputs and eligible population'!$G$52*'Inputs and eligible population'!$L$84*'Capacity (local prices)'!$C52</f>
        <v>0</v>
      </c>
      <c r="G52" s="128">
        <f>'Inputs and eligible population'!$G$52*'Inputs and eligible population'!$M$84*'Capacity (local prices)'!$C52</f>
        <v>0</v>
      </c>
      <c r="H52" s="128">
        <f>'Inputs and eligible population'!$G$52*'Inputs and eligible population'!$N$84*'Capacity (local prices)'!$C52</f>
        <v>0</v>
      </c>
      <c r="I52" s="128">
        <f>'Inputs and eligible population'!$G$52*'Inputs and eligible population'!$O$84*'Capacity (local prices)'!$C52</f>
        <v>0</v>
      </c>
      <c r="J52" s="538"/>
      <c r="K52" s="544">
        <f>'Unit costs'!N$110</f>
        <v>141</v>
      </c>
      <c r="L52" s="546">
        <f t="shared" si="35"/>
        <v>0</v>
      </c>
      <c r="M52" s="546">
        <f t="shared" si="34"/>
        <v>0</v>
      </c>
      <c r="N52" s="546">
        <f t="shared" si="34"/>
        <v>0</v>
      </c>
      <c r="O52" s="546">
        <f t="shared" si="34"/>
        <v>0</v>
      </c>
      <c r="P52" s="546">
        <f t="shared" si="34"/>
        <v>0</v>
      </c>
      <c r="Q52" s="546">
        <f t="shared" si="34"/>
        <v>0</v>
      </c>
      <c r="R52" s="133"/>
      <c r="S52" s="133"/>
      <c r="T52" s="133"/>
      <c r="U52" s="133"/>
      <c r="V52" s="133"/>
      <c r="W52" s="133"/>
      <c r="X52" s="133"/>
      <c r="Y52" s="133"/>
      <c r="Z52" s="133"/>
      <c r="AJ52" s="283"/>
      <c r="AK52" s="283"/>
      <c r="AL52" s="283"/>
      <c r="AM52" s="283"/>
      <c r="AN52" s="283"/>
    </row>
    <row r="53" spans="1:40" x14ac:dyDescent="0.3">
      <c r="A53" s="532"/>
      <c r="B53" s="334" t="s">
        <v>1066</v>
      </c>
      <c r="C53" s="149">
        <f>'Inputs and eligible population'!I99</f>
        <v>1</v>
      </c>
      <c r="D53" s="128">
        <f>'Financial impact (cash)'!D$15*$C53*'Inputs and eligible population'!$E$53</f>
        <v>0</v>
      </c>
      <c r="E53" s="128">
        <f>'Financial impact (cash)'!E$15*$C53*'Inputs and eligible population'!$E$53</f>
        <v>0</v>
      </c>
      <c r="F53" s="128">
        <f>'Financial impact (cash)'!F$15*$C53*'Inputs and eligible population'!$E$53</f>
        <v>0</v>
      </c>
      <c r="G53" s="128">
        <f>'Financial impact (cash)'!G$15*$C53*'Inputs and eligible population'!$E$53</f>
        <v>0</v>
      </c>
      <c r="H53" s="128">
        <f>'Financial impact (cash)'!H$15*$C53*'Inputs and eligible population'!$E$53</f>
        <v>0</v>
      </c>
      <c r="I53" s="128">
        <f>'Financial impact (cash)'!I$15*$C53*'Inputs and eligible population'!$E$53</f>
        <v>0</v>
      </c>
      <c r="J53" s="538"/>
      <c r="K53" s="544">
        <f>'Unit costs'!N$110</f>
        <v>141</v>
      </c>
      <c r="L53" s="546">
        <f t="shared" si="35"/>
        <v>0</v>
      </c>
      <c r="M53" s="546">
        <f t="shared" si="34"/>
        <v>0</v>
      </c>
      <c r="N53" s="546">
        <f t="shared" si="34"/>
        <v>0</v>
      </c>
      <c r="O53" s="546">
        <f t="shared" si="34"/>
        <v>0</v>
      </c>
      <c r="P53" s="546">
        <f t="shared" si="34"/>
        <v>0</v>
      </c>
      <c r="Q53" s="546">
        <f t="shared" si="34"/>
        <v>0</v>
      </c>
      <c r="R53" s="133"/>
      <c r="S53" s="133"/>
      <c r="T53" s="133"/>
      <c r="U53" s="133"/>
      <c r="V53" s="133"/>
      <c r="W53" s="133"/>
      <c r="X53" s="133"/>
      <c r="Y53" s="133"/>
      <c r="Z53" s="133"/>
      <c r="AJ53" s="283"/>
      <c r="AK53" s="283"/>
      <c r="AL53" s="283"/>
      <c r="AM53" s="283"/>
      <c r="AN53" s="283"/>
    </row>
    <row r="54" spans="1:40" x14ac:dyDescent="0.3">
      <c r="A54" s="532"/>
      <c r="B54" s="334" t="s">
        <v>1067</v>
      </c>
      <c r="C54" s="149">
        <f>'Inputs and eligible population'!J99</f>
        <v>1</v>
      </c>
      <c r="D54" s="128">
        <f>'Financial impact (cash)'!D$15*$C54*'Inputs and eligible population'!$E$54</f>
        <v>0</v>
      </c>
      <c r="E54" s="128">
        <f>'Financial impact (cash)'!E$15*$C54*'Inputs and eligible population'!$E$54</f>
        <v>0</v>
      </c>
      <c r="F54" s="128">
        <f>'Financial impact (cash)'!F$15*$C54*'Inputs and eligible population'!$E$54</f>
        <v>0</v>
      </c>
      <c r="G54" s="128">
        <f>'Financial impact (cash)'!G$15*$C54*'Inputs and eligible population'!$E$54</f>
        <v>0</v>
      </c>
      <c r="H54" s="128">
        <f>'Financial impact (cash)'!H$15*$C54*'Inputs and eligible population'!$E$54</f>
        <v>0</v>
      </c>
      <c r="I54" s="128">
        <f>'Financial impact (cash)'!I$15*$C54*'Inputs and eligible population'!$E$54</f>
        <v>0</v>
      </c>
      <c r="J54" s="538"/>
      <c r="K54" s="544">
        <f>'Unit costs'!N$110</f>
        <v>141</v>
      </c>
      <c r="L54" s="546">
        <f t="shared" si="35"/>
        <v>0</v>
      </c>
      <c r="M54" s="546">
        <f t="shared" si="34"/>
        <v>0</v>
      </c>
      <c r="N54" s="546">
        <f t="shared" si="34"/>
        <v>0</v>
      </c>
      <c r="O54" s="546">
        <f t="shared" si="34"/>
        <v>0</v>
      </c>
      <c r="P54" s="546">
        <f t="shared" si="34"/>
        <v>0</v>
      </c>
      <c r="Q54" s="546">
        <f t="shared" si="34"/>
        <v>0</v>
      </c>
      <c r="R54" s="133"/>
      <c r="S54" s="133"/>
      <c r="T54" s="133"/>
      <c r="U54" s="133"/>
      <c r="V54" s="133"/>
      <c r="W54" s="133"/>
      <c r="X54" s="133"/>
      <c r="Y54" s="133"/>
      <c r="Z54" s="133"/>
      <c r="AJ54" s="283"/>
      <c r="AK54" s="283"/>
      <c r="AL54" s="283"/>
      <c r="AM54" s="283"/>
      <c r="AN54" s="283"/>
    </row>
    <row r="55" spans="1:40" x14ac:dyDescent="0.3">
      <c r="A55" s="532"/>
      <c r="B55" s="334" t="s">
        <v>1165</v>
      </c>
      <c r="C55" s="149">
        <f>'Inputs and eligible population'!$K$99</f>
        <v>1</v>
      </c>
      <c r="D55" s="128">
        <f>Summary!$C$17*'Capacity (local prices)'!$C55*'Inputs and eligible population'!$E$55</f>
        <v>0</v>
      </c>
      <c r="E55" s="128">
        <f>(Summary!$D$17*'Capacity (local prices)'!$C55*'Inputs and eligible population'!$E$55)</f>
        <v>0</v>
      </c>
      <c r="F55" s="128">
        <f>(Summary!$E$17*'Capacity (local prices)'!$C55*'Inputs and eligible population'!$E$55)</f>
        <v>0</v>
      </c>
      <c r="G55" s="128">
        <f>(Summary!$F$17*'Capacity (local prices)'!$C55*'Inputs and eligible population'!$E$55)</f>
        <v>0</v>
      </c>
      <c r="H55" s="128">
        <f>(Summary!$G$17*'Capacity (local prices)'!$C55*'Inputs and eligible population'!$E$55)</f>
        <v>0</v>
      </c>
      <c r="I55" s="128">
        <f>(Summary!$H$17*'Capacity (local prices)'!$C55*'Inputs and eligible population'!$E$55)</f>
        <v>0</v>
      </c>
      <c r="J55" s="538"/>
      <c r="K55" s="544">
        <f>'Unit costs'!N$110</f>
        <v>141</v>
      </c>
      <c r="L55" s="546">
        <f t="shared" si="35"/>
        <v>0</v>
      </c>
      <c r="M55" s="546">
        <f t="shared" si="34"/>
        <v>0</v>
      </c>
      <c r="N55" s="546">
        <f t="shared" si="34"/>
        <v>0</v>
      </c>
      <c r="O55" s="546">
        <f t="shared" si="34"/>
        <v>0</v>
      </c>
      <c r="P55" s="546">
        <f t="shared" si="34"/>
        <v>0</v>
      </c>
      <c r="Q55" s="546">
        <f t="shared" si="34"/>
        <v>0</v>
      </c>
      <c r="R55" s="133"/>
      <c r="S55" s="133"/>
      <c r="T55" s="133"/>
      <c r="U55" s="133"/>
      <c r="V55" s="133"/>
      <c r="W55" s="133"/>
      <c r="X55" s="133"/>
      <c r="Y55" s="133"/>
      <c r="Z55" s="133"/>
      <c r="AJ55" s="283"/>
      <c r="AK55" s="283"/>
      <c r="AL55" s="283"/>
      <c r="AM55" s="283"/>
      <c r="AN55" s="283"/>
    </row>
    <row r="56" spans="1:40" x14ac:dyDescent="0.3">
      <c r="A56" s="532"/>
      <c r="B56" s="334" t="s">
        <v>1166</v>
      </c>
      <c r="C56" s="149">
        <f>'Inputs and eligible population'!$K$99</f>
        <v>1</v>
      </c>
      <c r="D56" s="128">
        <f>Summary!$C$17*'Capacity (local prices)'!$C55*'Inputs and eligible population'!$F$55</f>
        <v>0</v>
      </c>
      <c r="E56" s="128">
        <f>Summary!$C$17*'Capacity (local prices)'!$C55*'Inputs and eligible population'!$F$55</f>
        <v>0</v>
      </c>
      <c r="F56" s="128">
        <f>(Summary!$D$17*'Capacity (local prices)'!$C55*'Inputs and eligible population'!$F$55)</f>
        <v>0</v>
      </c>
      <c r="G56" s="128">
        <f>(Summary!$E$17*'Capacity (local prices)'!$C55*'Inputs and eligible population'!$F$55)</f>
        <v>0</v>
      </c>
      <c r="H56" s="128">
        <f>(Summary!$F$17*'Capacity (local prices)'!$C55*'Inputs and eligible population'!$F$55)</f>
        <v>0</v>
      </c>
      <c r="I56" s="128">
        <f>(Summary!$G$17*'Capacity (local prices)'!$C55*'Inputs and eligible population'!$F$55)</f>
        <v>0</v>
      </c>
      <c r="J56" s="538"/>
      <c r="K56" s="544">
        <f>'Unit costs'!N$110</f>
        <v>141</v>
      </c>
      <c r="L56" s="546">
        <f t="shared" si="35"/>
        <v>0</v>
      </c>
      <c r="M56" s="546">
        <f t="shared" si="34"/>
        <v>0</v>
      </c>
      <c r="N56" s="546">
        <f t="shared" si="34"/>
        <v>0</v>
      </c>
      <c r="O56" s="546">
        <f t="shared" si="34"/>
        <v>0</v>
      </c>
      <c r="P56" s="546">
        <f t="shared" si="34"/>
        <v>0</v>
      </c>
      <c r="Q56" s="546">
        <f t="shared" si="34"/>
        <v>0</v>
      </c>
      <c r="R56" s="133"/>
      <c r="S56" s="133"/>
      <c r="T56" s="133"/>
      <c r="U56" s="133"/>
      <c r="V56" s="133"/>
      <c r="W56" s="133"/>
      <c r="X56" s="133"/>
      <c r="Y56" s="133"/>
      <c r="Z56" s="133"/>
      <c r="AJ56" s="283"/>
      <c r="AK56" s="283"/>
      <c r="AL56" s="283"/>
      <c r="AM56" s="283"/>
      <c r="AN56" s="283"/>
    </row>
    <row r="57" spans="1:40" x14ac:dyDescent="0.3">
      <c r="A57" s="532"/>
      <c r="B57" s="334" t="s">
        <v>1167</v>
      </c>
      <c r="C57" s="149">
        <f>'Inputs and eligible population'!$K$99</f>
        <v>1</v>
      </c>
      <c r="D57" s="128">
        <f>Summary!$C$17*'Capacity (local prices)'!$C55*'Inputs and eligible population'!$G$55</f>
        <v>0</v>
      </c>
      <c r="E57" s="128">
        <f>Summary!$C$17*'Capacity (local prices)'!$C55*'Inputs and eligible population'!$G$55</f>
        <v>0</v>
      </c>
      <c r="F57" s="128">
        <f>Summary!$C$17*'Capacity (local prices)'!$C55*'Inputs and eligible population'!$G$55</f>
        <v>0</v>
      </c>
      <c r="G57" s="128">
        <f>(Summary!$D$17*'Capacity (local prices)'!$C55*'Inputs and eligible population'!$G$55)</f>
        <v>0</v>
      </c>
      <c r="H57" s="128">
        <f>(Summary!$E$17*'Capacity (local prices)'!$C55*'Inputs and eligible population'!$G$55)</f>
        <v>0</v>
      </c>
      <c r="I57" s="128">
        <f>(Summary!$F$17*'Capacity (local prices)'!$C55*'Inputs and eligible population'!$G$55)</f>
        <v>0</v>
      </c>
      <c r="J57" s="538"/>
      <c r="K57" s="544">
        <f>'Unit costs'!N$110</f>
        <v>141</v>
      </c>
      <c r="L57" s="546">
        <f t="shared" si="35"/>
        <v>0</v>
      </c>
      <c r="M57" s="546">
        <f t="shared" si="34"/>
        <v>0</v>
      </c>
      <c r="N57" s="546">
        <f t="shared" si="34"/>
        <v>0</v>
      </c>
      <c r="O57" s="546">
        <f t="shared" si="34"/>
        <v>0</v>
      </c>
      <c r="P57" s="546">
        <f t="shared" si="34"/>
        <v>0</v>
      </c>
      <c r="Q57" s="546">
        <f t="shared" si="34"/>
        <v>0</v>
      </c>
      <c r="R57" s="133"/>
      <c r="S57" s="133"/>
      <c r="T57" s="133"/>
      <c r="U57" s="133"/>
      <c r="V57" s="133"/>
      <c r="W57" s="133"/>
      <c r="X57" s="133"/>
      <c r="Y57" s="133"/>
      <c r="Z57" s="133"/>
      <c r="AJ57" s="283"/>
      <c r="AK57" s="283"/>
      <c r="AL57" s="283"/>
      <c r="AM57" s="283"/>
      <c r="AN57" s="283"/>
    </row>
    <row r="58" spans="1:40" x14ac:dyDescent="0.3">
      <c r="A58" s="532"/>
      <c r="B58" s="832" t="s">
        <v>1069</v>
      </c>
      <c r="C58" s="149">
        <f>'Inputs and eligible population'!L99</f>
        <v>1</v>
      </c>
      <c r="D58" s="128">
        <f>Summary!C$18*'Capacity (local prices)'!$C58*'Inputs and eligible population'!$E$56</f>
        <v>1297.8030873648743</v>
      </c>
      <c r="E58" s="128">
        <f>Summary!D$18*'Capacity (local prices)'!$C58*'Inputs and eligible population'!$E$56</f>
        <v>982.73719114450398</v>
      </c>
      <c r="F58" s="128">
        <f>Summary!E$18*'Capacity (local prices)'!$C58*'Inputs and eligible population'!$E$56</f>
        <v>661.47503595277453</v>
      </c>
      <c r="G58" s="128">
        <f>Summary!F$18*'Capacity (local prices)'!$C58*'Inputs and eligible population'!$E$56</f>
        <v>667.85285089162653</v>
      </c>
      <c r="H58" s="128">
        <f>Summary!G$18*'Capacity (local prices)'!$C58*'Inputs and eligible population'!$E$56</f>
        <v>674.29215949415959</v>
      </c>
      <c r="I58" s="128">
        <f>Summary!H$18*'Capacity (local prices)'!$C58*'Inputs and eligible population'!$E$56</f>
        <v>680.79355467043899</v>
      </c>
      <c r="J58" s="538"/>
      <c r="K58" s="544">
        <f>'Unit costs'!N$110</f>
        <v>141</v>
      </c>
      <c r="L58" s="546">
        <f t="shared" si="35"/>
        <v>182.99023531844725</v>
      </c>
      <c r="M58" s="546">
        <f t="shared" si="34"/>
        <v>138.56594395137506</v>
      </c>
      <c r="N58" s="546">
        <f t="shared" si="34"/>
        <v>93.267980069341206</v>
      </c>
      <c r="O58" s="546">
        <f t="shared" si="34"/>
        <v>94.167251975719338</v>
      </c>
      <c r="P58" s="546">
        <f t="shared" si="34"/>
        <v>95.075194488676487</v>
      </c>
      <c r="Q58" s="546">
        <f t="shared" si="34"/>
        <v>95.991891208531882</v>
      </c>
      <c r="R58" s="133"/>
      <c r="S58" s="133"/>
      <c r="T58" s="133"/>
      <c r="U58" s="133"/>
      <c r="V58" s="133"/>
      <c r="W58" s="133"/>
      <c r="X58" s="133"/>
      <c r="Y58" s="133"/>
      <c r="Z58" s="133"/>
      <c r="AJ58" s="283"/>
      <c r="AK58" s="283"/>
      <c r="AL58" s="283"/>
      <c r="AM58" s="283"/>
      <c r="AN58" s="283"/>
    </row>
    <row r="59" spans="1:40" x14ac:dyDescent="0.3">
      <c r="A59" s="532"/>
      <c r="B59" s="504"/>
      <c r="C59" s="280"/>
      <c r="D59" s="186">
        <f>SUM(D48:D58)</f>
        <v>1297.8030873648743</v>
      </c>
      <c r="E59" s="186">
        <f t="shared" ref="E59:I59" si="36">SUM(E48:E58)</f>
        <v>982.73719114450398</v>
      </c>
      <c r="F59" s="186">
        <f t="shared" si="36"/>
        <v>661.47503595277453</v>
      </c>
      <c r="G59" s="186">
        <f t="shared" si="36"/>
        <v>667.85285089162653</v>
      </c>
      <c r="H59" s="186">
        <f t="shared" si="36"/>
        <v>674.29215949415959</v>
      </c>
      <c r="I59" s="186">
        <f t="shared" si="36"/>
        <v>680.79355467043899</v>
      </c>
      <c r="J59" s="538"/>
      <c r="K59" s="217"/>
      <c r="L59" s="290">
        <f>SUM(L48:L58)</f>
        <v>182.99023531844725</v>
      </c>
      <c r="M59" s="290">
        <f t="shared" ref="M59:Q59" si="37">SUM(M48:M58)</f>
        <v>138.56594395137506</v>
      </c>
      <c r="N59" s="290">
        <f t="shared" si="37"/>
        <v>93.267980069341206</v>
      </c>
      <c r="O59" s="290">
        <f t="shared" si="37"/>
        <v>94.167251975719338</v>
      </c>
      <c r="P59" s="290">
        <f t="shared" si="37"/>
        <v>95.075194488676487</v>
      </c>
      <c r="Q59" s="290">
        <f t="shared" si="37"/>
        <v>95.991891208531882</v>
      </c>
      <c r="R59" s="133"/>
      <c r="S59" s="133"/>
      <c r="T59" s="133"/>
      <c r="U59" s="133"/>
      <c r="V59" s="133"/>
      <c r="W59" s="133"/>
      <c r="X59" s="133"/>
      <c r="Y59" s="133"/>
      <c r="Z59" s="133"/>
      <c r="AJ59" s="283"/>
      <c r="AK59" s="283"/>
      <c r="AL59" s="283"/>
      <c r="AM59" s="283"/>
      <c r="AN59" s="283"/>
    </row>
    <row r="60" spans="1:40" x14ac:dyDescent="0.3">
      <c r="A60" s="532"/>
      <c r="B60" s="255"/>
      <c r="C60" s="255"/>
      <c r="D60" s="282" t="s">
        <v>841</v>
      </c>
      <c r="E60" s="186">
        <f>E59-$D$59</f>
        <v>-315.06589622037029</v>
      </c>
      <c r="F60" s="186">
        <f t="shared" ref="F60:I60" si="38">F59-$D$59</f>
        <v>-636.32805141209974</v>
      </c>
      <c r="G60" s="186">
        <f t="shared" si="38"/>
        <v>-629.95023647324774</v>
      </c>
      <c r="H60" s="186">
        <f t="shared" si="38"/>
        <v>-623.51092787071468</v>
      </c>
      <c r="I60" s="186">
        <f t="shared" si="38"/>
        <v>-617.00953269443528</v>
      </c>
      <c r="J60" s="538"/>
      <c r="K60" s="217"/>
      <c r="L60" s="217"/>
      <c r="M60" s="290">
        <f>M59-$L59</f>
        <v>-44.424291367072186</v>
      </c>
      <c r="N60" s="290">
        <f t="shared" ref="N60:Q60" si="39">N59-$L59</f>
        <v>-89.722255249106041</v>
      </c>
      <c r="O60" s="290">
        <f t="shared" si="39"/>
        <v>-88.822983342727909</v>
      </c>
      <c r="P60" s="290">
        <f t="shared" si="39"/>
        <v>-87.91504082977076</v>
      </c>
      <c r="Q60" s="290">
        <f t="shared" si="39"/>
        <v>-86.998344109915365</v>
      </c>
      <c r="R60" s="133"/>
      <c r="S60" s="133"/>
      <c r="T60" s="133"/>
      <c r="U60" s="133"/>
      <c r="V60" s="133"/>
      <c r="W60" s="133"/>
      <c r="X60" s="133"/>
      <c r="Y60" s="133"/>
      <c r="Z60" s="133"/>
      <c r="AJ60" s="283"/>
      <c r="AK60" s="283"/>
      <c r="AL60" s="283"/>
      <c r="AM60" s="283"/>
      <c r="AN60" s="283"/>
    </row>
    <row r="61" spans="1:40" x14ac:dyDescent="0.3">
      <c r="A61" s="285"/>
      <c r="B61" s="533"/>
      <c r="C61" s="534"/>
      <c r="D61" s="535"/>
      <c r="E61" s="536"/>
      <c r="F61" s="285"/>
      <c r="G61" s="285"/>
      <c r="H61" s="285"/>
      <c r="I61" s="297"/>
      <c r="J61" s="217"/>
      <c r="K61" s="217"/>
      <c r="L61" s="217"/>
      <c r="M61" s="217"/>
      <c r="N61" s="217"/>
      <c r="O61" s="217"/>
      <c r="P61" s="217"/>
      <c r="Q61" s="217"/>
      <c r="R61" s="133"/>
      <c r="S61" s="133"/>
      <c r="T61" s="133"/>
      <c r="U61" s="133"/>
      <c r="V61" s="133"/>
      <c r="W61" s="133"/>
      <c r="X61" s="133"/>
      <c r="Y61" s="133"/>
      <c r="Z61" s="133"/>
      <c r="AJ61" s="283"/>
      <c r="AK61" s="283"/>
      <c r="AL61" s="283"/>
      <c r="AM61" s="283"/>
      <c r="AN61" s="283"/>
    </row>
    <row r="62" spans="1:40" x14ac:dyDescent="0.3">
      <c r="A62" s="285"/>
      <c r="B62" s="377" t="s">
        <v>1104</v>
      </c>
      <c r="C62" s="378"/>
      <c r="D62" s="378"/>
      <c r="E62" s="378"/>
      <c r="F62" s="378"/>
      <c r="G62" s="378"/>
      <c r="H62" s="378"/>
      <c r="I62" s="216"/>
      <c r="J62" s="217"/>
      <c r="K62" s="217"/>
      <c r="L62" s="217"/>
      <c r="M62" s="217"/>
      <c r="N62" s="217"/>
      <c r="O62" s="217"/>
      <c r="P62" s="217"/>
      <c r="Q62" s="217"/>
      <c r="R62" s="133"/>
      <c r="S62" s="133"/>
      <c r="T62" s="133"/>
      <c r="U62" s="133"/>
      <c r="V62" s="133"/>
      <c r="W62" s="133"/>
      <c r="X62" s="133"/>
      <c r="Y62" s="133"/>
      <c r="Z62" s="133"/>
      <c r="AJ62" s="283"/>
      <c r="AK62" s="283"/>
      <c r="AL62" s="283"/>
      <c r="AM62" s="283"/>
      <c r="AN62" s="283"/>
    </row>
    <row r="63" spans="1:40" x14ac:dyDescent="0.3">
      <c r="A63" s="285"/>
      <c r="B63" s="537" t="s">
        <v>1103</v>
      </c>
      <c r="C63" s="378"/>
      <c r="D63" s="834"/>
      <c r="E63" s="378"/>
      <c r="F63" s="378"/>
      <c r="G63" s="378"/>
      <c r="H63" s="378"/>
      <c r="I63" s="216"/>
      <c r="J63" s="217"/>
      <c r="K63" s="217"/>
      <c r="L63" s="217"/>
      <c r="M63" s="217"/>
      <c r="N63" s="217"/>
      <c r="O63" s="217"/>
      <c r="P63" s="217"/>
      <c r="Q63" s="217"/>
      <c r="R63" s="133"/>
      <c r="S63" s="133"/>
      <c r="T63" s="133"/>
      <c r="U63" s="133"/>
      <c r="V63" s="133"/>
      <c r="W63" s="133"/>
      <c r="X63" s="133"/>
      <c r="Y63" s="133"/>
      <c r="Z63" s="133"/>
      <c r="AJ63" s="283"/>
      <c r="AK63" s="283"/>
      <c r="AL63" s="283"/>
      <c r="AM63" s="283"/>
      <c r="AN63" s="283"/>
    </row>
    <row r="64" spans="1:40" ht="43.2" x14ac:dyDescent="0.3">
      <c r="A64" s="532"/>
      <c r="B64" s="306" t="s">
        <v>766</v>
      </c>
      <c r="C64" s="166" t="s">
        <v>1099</v>
      </c>
      <c r="D64" s="402" t="s">
        <v>831</v>
      </c>
      <c r="E64" s="254" t="s">
        <v>676</v>
      </c>
      <c r="F64" s="254" t="s">
        <v>677</v>
      </c>
      <c r="G64" s="165" t="s">
        <v>803</v>
      </c>
      <c r="H64" s="165" t="s">
        <v>804</v>
      </c>
      <c r="I64" s="254" t="s">
        <v>805</v>
      </c>
      <c r="J64" s="538"/>
      <c r="K64" s="531" t="s">
        <v>1100</v>
      </c>
      <c r="L64" s="402" t="s">
        <v>831</v>
      </c>
      <c r="M64" s="521" t="s">
        <v>676</v>
      </c>
      <c r="N64" s="521" t="s">
        <v>677</v>
      </c>
      <c r="O64" s="403" t="s">
        <v>803</v>
      </c>
      <c r="P64" s="403" t="s">
        <v>804</v>
      </c>
      <c r="Q64" s="521" t="s">
        <v>805</v>
      </c>
      <c r="R64" s="133"/>
      <c r="S64" s="133"/>
      <c r="T64" s="133"/>
      <c r="U64" s="133"/>
      <c r="V64" s="133"/>
      <c r="W64" s="133"/>
      <c r="X64" s="133"/>
      <c r="Y64" s="133"/>
      <c r="Z64" s="133"/>
      <c r="AJ64" s="283"/>
      <c r="AK64" s="283"/>
      <c r="AL64" s="283"/>
      <c r="AM64" s="283"/>
      <c r="AN64" s="283"/>
    </row>
    <row r="65" spans="1:40" x14ac:dyDescent="0.3">
      <c r="A65" s="532"/>
      <c r="B65" s="334" t="s">
        <v>1065</v>
      </c>
      <c r="C65" s="149">
        <f>'Inputs and eligible population'!F101</f>
        <v>1</v>
      </c>
      <c r="D65" s="128">
        <f>Summary!$C$16*'Capacity (local prices)'!$C65*'Inputs and eligible population'!$E$50</f>
        <v>0</v>
      </c>
      <c r="E65" s="128">
        <f>Summary!$D$16*'Capacity (local prices)'!$C65*'Inputs and eligible population'!$E$50</f>
        <v>0</v>
      </c>
      <c r="F65" s="128">
        <f>Summary!E$16*'Capacity (local prices)'!$C65*'Inputs and eligible population'!$E$50</f>
        <v>0</v>
      </c>
      <c r="G65" s="128">
        <f>Summary!F$16*'Capacity (local prices)'!$C65*'Inputs and eligible population'!$E$50</f>
        <v>0</v>
      </c>
      <c r="H65" s="128">
        <f>Summary!G$16*'Capacity (local prices)'!$C65*'Inputs and eligible population'!$E$50</f>
        <v>0</v>
      </c>
      <c r="I65" s="128">
        <f>Summary!H$16*'Capacity (local prices)'!$C$48*'Inputs and eligible population'!$E$50</f>
        <v>0</v>
      </c>
      <c r="J65" s="538"/>
      <c r="K65" s="544">
        <f>'Unit costs'!N$110</f>
        <v>141</v>
      </c>
      <c r="L65" s="546">
        <f>$K65/1000*D65</f>
        <v>0</v>
      </c>
      <c r="M65" s="546">
        <f t="shared" ref="M65:Q75" si="40">$K65/1000*E65</f>
        <v>0</v>
      </c>
      <c r="N65" s="546">
        <f t="shared" si="40"/>
        <v>0</v>
      </c>
      <c r="O65" s="546">
        <f t="shared" si="40"/>
        <v>0</v>
      </c>
      <c r="P65" s="546">
        <f t="shared" si="40"/>
        <v>0</v>
      </c>
      <c r="Q65" s="546">
        <f t="shared" si="40"/>
        <v>0</v>
      </c>
      <c r="R65" s="133"/>
      <c r="S65" s="133"/>
      <c r="T65" s="133"/>
      <c r="U65" s="133"/>
      <c r="V65" s="133"/>
      <c r="W65" s="133"/>
      <c r="X65" s="133"/>
      <c r="Y65" s="133"/>
      <c r="Z65" s="133"/>
      <c r="AJ65" s="283"/>
      <c r="AK65" s="283"/>
      <c r="AL65" s="283"/>
      <c r="AM65" s="283"/>
      <c r="AN65" s="283"/>
    </row>
    <row r="66" spans="1:40" x14ac:dyDescent="0.3">
      <c r="A66" s="532"/>
      <c r="B66" s="334" t="s">
        <v>1064</v>
      </c>
      <c r="C66" s="149">
        <f>'Inputs and eligible population'!G101</f>
        <v>1</v>
      </c>
      <c r="D66" s="128">
        <f>Summary!C$16*'Capacity (local prices)'!$C66*'Inputs and eligible population'!$E$51</f>
        <v>0</v>
      </c>
      <c r="E66" s="128">
        <f>Summary!D$16*'Capacity (local prices)'!$C66*'Inputs and eligible population'!$E$51</f>
        <v>0</v>
      </c>
      <c r="F66" s="128">
        <f>Summary!E$16*'Capacity (local prices)'!$C66*'Inputs and eligible population'!$E$51</f>
        <v>0</v>
      </c>
      <c r="G66" s="128">
        <f>Summary!F$16*'Capacity (local prices)'!$C66*'Inputs and eligible population'!$E$51</f>
        <v>0</v>
      </c>
      <c r="H66" s="128">
        <f>Summary!G$16*'Capacity (local prices)'!$C$49*'Inputs and eligible population'!$E$51</f>
        <v>0</v>
      </c>
      <c r="I66" s="128">
        <f>Summary!H$16*'Capacity (local prices)'!$C$49*'Inputs and eligible population'!$E$51</f>
        <v>0</v>
      </c>
      <c r="J66" s="538"/>
      <c r="K66" s="544">
        <f>'Unit costs'!N$110</f>
        <v>141</v>
      </c>
      <c r="L66" s="546">
        <f t="shared" ref="L66:L75" si="41">$K66/1000*D66</f>
        <v>0</v>
      </c>
      <c r="M66" s="546">
        <f t="shared" si="40"/>
        <v>0</v>
      </c>
      <c r="N66" s="546">
        <f t="shared" si="40"/>
        <v>0</v>
      </c>
      <c r="O66" s="546">
        <f t="shared" si="40"/>
        <v>0</v>
      </c>
      <c r="P66" s="546">
        <f t="shared" si="40"/>
        <v>0</v>
      </c>
      <c r="Q66" s="546">
        <f t="shared" si="40"/>
        <v>0</v>
      </c>
      <c r="R66" s="133"/>
      <c r="S66" s="133"/>
      <c r="T66" s="133"/>
      <c r="U66" s="133"/>
      <c r="V66" s="133"/>
      <c r="W66" s="133"/>
      <c r="X66" s="133"/>
      <c r="Y66" s="133"/>
      <c r="Z66" s="133"/>
      <c r="AJ66" s="283"/>
      <c r="AK66" s="283"/>
      <c r="AL66" s="283"/>
      <c r="AM66" s="283"/>
      <c r="AN66" s="283"/>
    </row>
    <row r="67" spans="1:40" x14ac:dyDescent="0.3">
      <c r="A67" s="532"/>
      <c r="B67" s="334" t="s">
        <v>1162</v>
      </c>
      <c r="C67" s="149">
        <f>'Inputs and eligible population'!$H$101</f>
        <v>1</v>
      </c>
      <c r="D67" s="128">
        <f>'Inputs and eligible population'!$E$52*'Inputs and eligible population'!$L$84*'Capacity (local prices)'!$C$33</f>
        <v>0</v>
      </c>
      <c r="E67" s="128">
        <f>'Inputs and eligible population'!$E$52*'Inputs and eligible population'!$M$84*'Capacity (local prices)'!$C67</f>
        <v>0</v>
      </c>
      <c r="F67" s="128">
        <f>'Inputs and eligible population'!$E$52*'Inputs and eligible population'!$N$84*'Capacity (local prices)'!$C67</f>
        <v>0</v>
      </c>
      <c r="G67" s="128">
        <f>'Inputs and eligible population'!$E$52*'Inputs and eligible population'!$O$84*'Capacity (local prices)'!$C67</f>
        <v>0</v>
      </c>
      <c r="H67" s="128">
        <f>'Inputs and eligible population'!$E$52*'Inputs and eligible population'!$P$84*'Capacity (local prices)'!$C67</f>
        <v>0</v>
      </c>
      <c r="I67" s="128">
        <f>'Inputs and eligible population'!$E$52*'Inputs and eligible population'!$Q$84*'Capacity (local prices)'!$C67</f>
        <v>0</v>
      </c>
      <c r="J67" s="538"/>
      <c r="K67" s="544">
        <f>'Unit costs'!N$110</f>
        <v>141</v>
      </c>
      <c r="L67" s="546">
        <f t="shared" si="41"/>
        <v>0</v>
      </c>
      <c r="M67" s="546">
        <f t="shared" si="40"/>
        <v>0</v>
      </c>
      <c r="N67" s="546">
        <f t="shared" si="40"/>
        <v>0</v>
      </c>
      <c r="O67" s="546">
        <f t="shared" si="40"/>
        <v>0</v>
      </c>
      <c r="P67" s="546">
        <f t="shared" si="40"/>
        <v>0</v>
      </c>
      <c r="Q67" s="546">
        <f t="shared" si="40"/>
        <v>0</v>
      </c>
      <c r="R67" s="133"/>
      <c r="S67" s="133"/>
      <c r="T67" s="133"/>
      <c r="U67" s="133"/>
      <c r="V67" s="133"/>
      <c r="W67" s="133"/>
      <c r="X67" s="133"/>
      <c r="Y67" s="133"/>
      <c r="Z67" s="133"/>
      <c r="AJ67" s="283"/>
      <c r="AK67" s="283"/>
      <c r="AL67" s="283"/>
      <c r="AM67" s="283"/>
      <c r="AN67" s="283"/>
    </row>
    <row r="68" spans="1:40" x14ac:dyDescent="0.3">
      <c r="A68" s="532"/>
      <c r="B68" s="334" t="s">
        <v>1163</v>
      </c>
      <c r="C68" s="149">
        <f>'Inputs and eligible population'!$H$101</f>
        <v>1</v>
      </c>
      <c r="D68" s="128">
        <f>'Inputs and eligible population'!$F$52*'Inputs and eligible population'!$L$84*'Capacity (local prices)'!$C68</f>
        <v>0</v>
      </c>
      <c r="E68" s="128">
        <f>'Inputs and eligible population'!$F$52*'Inputs and eligible population'!$L$84*'Capacity (local prices)'!$C68</f>
        <v>0</v>
      </c>
      <c r="F68" s="128">
        <f>'Inputs and eligible population'!$F$52*'Inputs and eligible population'!$M$84*'Capacity (local prices)'!$C68</f>
        <v>0</v>
      </c>
      <c r="G68" s="128">
        <f>'Inputs and eligible population'!$F$52*'Inputs and eligible population'!$N$84*'Capacity (local prices)'!$C68</f>
        <v>0</v>
      </c>
      <c r="H68" s="128">
        <f>'Inputs and eligible population'!$F$52*'Inputs and eligible population'!$O$84*'Capacity (local prices)'!$C68</f>
        <v>0</v>
      </c>
      <c r="I68" s="128">
        <f>'Inputs and eligible population'!$F$52*'Inputs and eligible population'!$P$84*'Capacity (local prices)'!$C68</f>
        <v>0</v>
      </c>
      <c r="J68" s="538"/>
      <c r="K68" s="544">
        <f>'Unit costs'!N$110</f>
        <v>141</v>
      </c>
      <c r="L68" s="546">
        <f t="shared" si="41"/>
        <v>0</v>
      </c>
      <c r="M68" s="546">
        <f t="shared" si="40"/>
        <v>0</v>
      </c>
      <c r="N68" s="546">
        <f t="shared" si="40"/>
        <v>0</v>
      </c>
      <c r="O68" s="546">
        <f t="shared" si="40"/>
        <v>0</v>
      </c>
      <c r="P68" s="546">
        <f t="shared" si="40"/>
        <v>0</v>
      </c>
      <c r="Q68" s="546">
        <f t="shared" si="40"/>
        <v>0</v>
      </c>
      <c r="R68" s="133"/>
      <c r="S68" s="133"/>
      <c r="T68" s="133"/>
      <c r="U68" s="133"/>
      <c r="V68" s="133"/>
      <c r="W68" s="133"/>
      <c r="X68" s="133"/>
      <c r="Y68" s="133"/>
      <c r="Z68" s="133"/>
      <c r="AJ68" s="283"/>
      <c r="AK68" s="283"/>
      <c r="AL68" s="283"/>
      <c r="AM68" s="283"/>
      <c r="AN68" s="283"/>
    </row>
    <row r="69" spans="1:40" x14ac:dyDescent="0.3">
      <c r="A69" s="532"/>
      <c r="B69" s="334" t="s">
        <v>1164</v>
      </c>
      <c r="C69" s="149">
        <f>'Inputs and eligible population'!$H$101</f>
        <v>1</v>
      </c>
      <c r="D69" s="128">
        <f>'Inputs and eligible population'!$G$52*'Inputs and eligible population'!$L$84*'Capacity (local prices)'!$C69</f>
        <v>0</v>
      </c>
      <c r="E69" s="128">
        <f>'Inputs and eligible population'!$G$52*'Inputs and eligible population'!$L$84*'Capacity (local prices)'!$C69</f>
        <v>0</v>
      </c>
      <c r="F69" s="128">
        <f>'Inputs and eligible population'!$G$52*'Inputs and eligible population'!$L$84*'Capacity (local prices)'!$C69</f>
        <v>0</v>
      </c>
      <c r="G69" s="128">
        <f>'Inputs and eligible population'!$G$52*'Inputs and eligible population'!$M$84*'Capacity (local prices)'!$C69</f>
        <v>0</v>
      </c>
      <c r="H69" s="128">
        <f>'Inputs and eligible population'!$G$52*'Inputs and eligible population'!$N$84*'Capacity (local prices)'!$C69</f>
        <v>0</v>
      </c>
      <c r="I69" s="128">
        <f>'Inputs and eligible population'!$G$52*'Inputs and eligible population'!$O$84*'Capacity (local prices)'!$C69</f>
        <v>0</v>
      </c>
      <c r="J69" s="538"/>
      <c r="K69" s="544">
        <f>'Unit costs'!N$110</f>
        <v>141</v>
      </c>
      <c r="L69" s="546">
        <f t="shared" si="41"/>
        <v>0</v>
      </c>
      <c r="M69" s="546">
        <f t="shared" si="40"/>
        <v>0</v>
      </c>
      <c r="N69" s="546">
        <f t="shared" si="40"/>
        <v>0</v>
      </c>
      <c r="O69" s="546">
        <f t="shared" si="40"/>
        <v>0</v>
      </c>
      <c r="P69" s="546">
        <f t="shared" si="40"/>
        <v>0</v>
      </c>
      <c r="Q69" s="546">
        <f t="shared" si="40"/>
        <v>0</v>
      </c>
      <c r="R69" s="133"/>
      <c r="S69" s="133"/>
      <c r="T69" s="133"/>
      <c r="U69" s="133"/>
      <c r="V69" s="133"/>
      <c r="W69" s="133"/>
      <c r="X69" s="133"/>
      <c r="Y69" s="133"/>
      <c r="Z69" s="133"/>
      <c r="AJ69" s="283"/>
      <c r="AK69" s="283"/>
      <c r="AL69" s="283"/>
      <c r="AM69" s="283"/>
      <c r="AN69" s="283"/>
    </row>
    <row r="70" spans="1:40" x14ac:dyDescent="0.3">
      <c r="A70" s="532"/>
      <c r="B70" s="334" t="s">
        <v>1066</v>
      </c>
      <c r="C70" s="149">
        <f>'Inputs and eligible population'!I101</f>
        <v>1</v>
      </c>
      <c r="D70" s="128">
        <f>'Financial impact (cash)'!D$15*$C70*'Inputs and eligible population'!$E$53</f>
        <v>0</v>
      </c>
      <c r="E70" s="128">
        <f>'Financial impact (cash)'!E$15*$C70*'Inputs and eligible population'!$E$53</f>
        <v>0</v>
      </c>
      <c r="F70" s="128">
        <f>'Financial impact (cash)'!F$15*$C70*'Inputs and eligible population'!$E$53</f>
        <v>0</v>
      </c>
      <c r="G70" s="128">
        <f>'Financial impact (cash)'!G$15*$C70*'Inputs and eligible population'!$E$53</f>
        <v>0</v>
      </c>
      <c r="H70" s="128">
        <f>'Financial impact (cash)'!H$15*$C70*'Inputs and eligible population'!$E$53</f>
        <v>0</v>
      </c>
      <c r="I70" s="128">
        <f>'Financial impact (cash)'!I$15*$C70*'Inputs and eligible population'!$E$53</f>
        <v>0</v>
      </c>
      <c r="J70" s="538"/>
      <c r="K70" s="544">
        <f>'Unit costs'!N$110</f>
        <v>141</v>
      </c>
      <c r="L70" s="546">
        <f t="shared" si="41"/>
        <v>0</v>
      </c>
      <c r="M70" s="546">
        <f t="shared" si="40"/>
        <v>0</v>
      </c>
      <c r="N70" s="546">
        <f t="shared" si="40"/>
        <v>0</v>
      </c>
      <c r="O70" s="546">
        <f t="shared" si="40"/>
        <v>0</v>
      </c>
      <c r="P70" s="546">
        <f t="shared" si="40"/>
        <v>0</v>
      </c>
      <c r="Q70" s="546">
        <f t="shared" si="40"/>
        <v>0</v>
      </c>
      <c r="R70" s="133"/>
      <c r="S70" s="133"/>
      <c r="T70" s="133"/>
      <c r="U70" s="133"/>
      <c r="V70" s="133"/>
      <c r="W70" s="133"/>
      <c r="X70" s="133"/>
      <c r="Y70" s="133"/>
      <c r="Z70" s="133"/>
      <c r="AJ70" s="283"/>
      <c r="AK70" s="283"/>
      <c r="AL70" s="283"/>
      <c r="AM70" s="283"/>
      <c r="AN70" s="283"/>
    </row>
    <row r="71" spans="1:40" x14ac:dyDescent="0.3">
      <c r="A71" s="532"/>
      <c r="B71" s="334" t="s">
        <v>1067</v>
      </c>
      <c r="C71" s="149">
        <f>'Inputs and eligible population'!J101</f>
        <v>1</v>
      </c>
      <c r="D71" s="128">
        <f>'Financial impact (cash)'!D$15*$C71*'Inputs and eligible population'!$E$54</f>
        <v>0</v>
      </c>
      <c r="E71" s="128">
        <f>'Financial impact (cash)'!E$15*$C71*'Inputs and eligible population'!$E$54</f>
        <v>0</v>
      </c>
      <c r="F71" s="128">
        <f>'Financial impact (cash)'!F$15*$C71*'Inputs and eligible population'!$E$54</f>
        <v>0</v>
      </c>
      <c r="G71" s="128">
        <f>'Financial impact (cash)'!G$15*$C71*'Inputs and eligible population'!$E$54</f>
        <v>0</v>
      </c>
      <c r="H71" s="128">
        <f>'Financial impact (cash)'!H$15*$C71*'Inputs and eligible population'!$E$54</f>
        <v>0</v>
      </c>
      <c r="I71" s="128">
        <f>'Financial impact (cash)'!I$15*$C71*'Inputs and eligible population'!$E$54</f>
        <v>0</v>
      </c>
      <c r="J71" s="538"/>
      <c r="K71" s="544">
        <f>'Unit costs'!N$110</f>
        <v>141</v>
      </c>
      <c r="L71" s="546">
        <f t="shared" si="41"/>
        <v>0</v>
      </c>
      <c r="M71" s="546">
        <f t="shared" si="40"/>
        <v>0</v>
      </c>
      <c r="N71" s="546">
        <f t="shared" si="40"/>
        <v>0</v>
      </c>
      <c r="O71" s="546">
        <f t="shared" si="40"/>
        <v>0</v>
      </c>
      <c r="P71" s="546">
        <f t="shared" si="40"/>
        <v>0</v>
      </c>
      <c r="Q71" s="546">
        <f t="shared" si="40"/>
        <v>0</v>
      </c>
      <c r="R71" s="133"/>
      <c r="S71" s="133"/>
      <c r="T71" s="133"/>
      <c r="U71" s="133"/>
      <c r="V71" s="133"/>
      <c r="W71" s="133"/>
      <c r="X71" s="133"/>
      <c r="Y71" s="133"/>
      <c r="Z71" s="133"/>
      <c r="AJ71" s="283"/>
      <c r="AK71" s="283"/>
      <c r="AL71" s="283"/>
      <c r="AM71" s="283"/>
      <c r="AN71" s="283"/>
    </row>
    <row r="72" spans="1:40" x14ac:dyDescent="0.3">
      <c r="A72" s="532"/>
      <c r="B72" s="334" t="s">
        <v>1165</v>
      </c>
      <c r="C72" s="149">
        <f>'Inputs and eligible population'!$K$101</f>
        <v>1</v>
      </c>
      <c r="D72" s="128">
        <f>Summary!$C$17*'Capacity (local prices)'!$C72*'Inputs and eligible population'!$E$55</f>
        <v>0</v>
      </c>
      <c r="E72" s="128">
        <f>(Summary!$D$17*'Capacity (local prices)'!$C72*'Inputs and eligible population'!$E$55)</f>
        <v>0</v>
      </c>
      <c r="F72" s="128">
        <f>(Summary!$E$17*'Capacity (local prices)'!$C72*'Inputs and eligible population'!$E$55)</f>
        <v>0</v>
      </c>
      <c r="G72" s="128">
        <f>(Summary!$F$17*'Capacity (local prices)'!$C72*'Inputs and eligible population'!$E$55)</f>
        <v>0</v>
      </c>
      <c r="H72" s="128">
        <f>(Summary!$G$17*'Capacity (local prices)'!$C72*'Inputs and eligible population'!$E$55)</f>
        <v>0</v>
      </c>
      <c r="I72" s="128">
        <f>(Summary!$H$17*'Capacity (local prices)'!$C72*'Inputs and eligible population'!$E$55)</f>
        <v>0</v>
      </c>
      <c r="J72" s="538"/>
      <c r="K72" s="544">
        <f>'Unit costs'!N$110</f>
        <v>141</v>
      </c>
      <c r="L72" s="546">
        <f t="shared" si="41"/>
        <v>0</v>
      </c>
      <c r="M72" s="546">
        <f t="shared" si="40"/>
        <v>0</v>
      </c>
      <c r="N72" s="546">
        <f t="shared" si="40"/>
        <v>0</v>
      </c>
      <c r="O72" s="546">
        <f t="shared" si="40"/>
        <v>0</v>
      </c>
      <c r="P72" s="546">
        <f t="shared" si="40"/>
        <v>0</v>
      </c>
      <c r="Q72" s="546">
        <f t="shared" si="40"/>
        <v>0</v>
      </c>
      <c r="R72" s="133"/>
      <c r="S72" s="133"/>
      <c r="T72" s="133"/>
      <c r="U72" s="133"/>
      <c r="V72" s="133"/>
      <c r="W72" s="133"/>
      <c r="X72" s="133"/>
      <c r="Y72" s="133"/>
      <c r="Z72" s="133"/>
      <c r="AJ72" s="283"/>
      <c r="AK72" s="283"/>
      <c r="AL72" s="283"/>
      <c r="AM72" s="283"/>
      <c r="AN72" s="283"/>
    </row>
    <row r="73" spans="1:40" x14ac:dyDescent="0.3">
      <c r="A73" s="532"/>
      <c r="B73" s="334" t="s">
        <v>1166</v>
      </c>
      <c r="C73" s="149">
        <f>'Inputs and eligible population'!$K$101</f>
        <v>1</v>
      </c>
      <c r="D73" s="128">
        <f>Summary!$C$17*'Capacity (local prices)'!$C72*'Inputs and eligible population'!$F$55</f>
        <v>0</v>
      </c>
      <c r="E73" s="128">
        <f>Summary!$C$17*'Capacity (local prices)'!$C72*'Inputs and eligible population'!$F$55</f>
        <v>0</v>
      </c>
      <c r="F73" s="128">
        <f>(Summary!$D$17*'Capacity (local prices)'!$C72*'Inputs and eligible population'!$F$55)</f>
        <v>0</v>
      </c>
      <c r="G73" s="128">
        <f>(Summary!$E$17*'Capacity (local prices)'!$C72*'Inputs and eligible population'!$F$55)</f>
        <v>0</v>
      </c>
      <c r="H73" s="128">
        <f>(Summary!$F$17*'Capacity (local prices)'!$C72*'Inputs and eligible population'!$F$55)</f>
        <v>0</v>
      </c>
      <c r="I73" s="128">
        <f>(Summary!$G$17*'Capacity (local prices)'!$C72*'Inputs and eligible population'!$F$55)</f>
        <v>0</v>
      </c>
      <c r="J73" s="538"/>
      <c r="K73" s="544">
        <f>'Unit costs'!N$110</f>
        <v>141</v>
      </c>
      <c r="L73" s="546">
        <f t="shared" si="41"/>
        <v>0</v>
      </c>
      <c r="M73" s="546">
        <f t="shared" si="40"/>
        <v>0</v>
      </c>
      <c r="N73" s="546">
        <f t="shared" si="40"/>
        <v>0</v>
      </c>
      <c r="O73" s="546">
        <f t="shared" si="40"/>
        <v>0</v>
      </c>
      <c r="P73" s="546">
        <f t="shared" si="40"/>
        <v>0</v>
      </c>
      <c r="Q73" s="546">
        <f t="shared" si="40"/>
        <v>0</v>
      </c>
      <c r="R73" s="133"/>
      <c r="S73" s="133"/>
      <c r="T73" s="133"/>
      <c r="U73" s="133"/>
      <c r="V73" s="133"/>
      <c r="W73" s="133"/>
      <c r="X73" s="133"/>
      <c r="Y73" s="133"/>
      <c r="Z73" s="133"/>
      <c r="AJ73" s="283"/>
      <c r="AK73" s="283"/>
      <c r="AL73" s="283"/>
      <c r="AM73" s="283"/>
      <c r="AN73" s="283"/>
    </row>
    <row r="74" spans="1:40" x14ac:dyDescent="0.3">
      <c r="A74" s="532"/>
      <c r="B74" s="334" t="s">
        <v>1167</v>
      </c>
      <c r="C74" s="149">
        <f>'Inputs and eligible population'!$K$101</f>
        <v>1</v>
      </c>
      <c r="D74" s="128">
        <f>Summary!$C$17*'Capacity (local prices)'!$C72*'Inputs and eligible population'!$G$55</f>
        <v>0</v>
      </c>
      <c r="E74" s="128">
        <f>Summary!$C$17*'Capacity (local prices)'!$C72*'Inputs and eligible population'!$G$55</f>
        <v>0</v>
      </c>
      <c r="F74" s="128">
        <f>Summary!$C$17*'Capacity (local prices)'!$C72*'Inputs and eligible population'!$G$55</f>
        <v>0</v>
      </c>
      <c r="G74" s="128">
        <f>(Summary!$D$17*'Capacity (local prices)'!$C72*'Inputs and eligible population'!$G$55)</f>
        <v>0</v>
      </c>
      <c r="H74" s="128">
        <f>(Summary!$E$17*'Capacity (local prices)'!$C72*'Inputs and eligible population'!$G$55)</f>
        <v>0</v>
      </c>
      <c r="I74" s="128">
        <f>(Summary!$F$17*'Capacity (local prices)'!$C72*'Inputs and eligible population'!$G$55)</f>
        <v>0</v>
      </c>
      <c r="J74" s="538"/>
      <c r="K74" s="544">
        <f>'Unit costs'!N$110</f>
        <v>141</v>
      </c>
      <c r="L74" s="546">
        <f t="shared" si="41"/>
        <v>0</v>
      </c>
      <c r="M74" s="546">
        <f t="shared" si="40"/>
        <v>0</v>
      </c>
      <c r="N74" s="546">
        <f t="shared" si="40"/>
        <v>0</v>
      </c>
      <c r="O74" s="546">
        <f t="shared" si="40"/>
        <v>0</v>
      </c>
      <c r="P74" s="546">
        <f t="shared" si="40"/>
        <v>0</v>
      </c>
      <c r="Q74" s="546">
        <f t="shared" si="40"/>
        <v>0</v>
      </c>
      <c r="R74" s="133"/>
      <c r="S74" s="133"/>
      <c r="T74" s="133"/>
      <c r="U74" s="133"/>
      <c r="V74" s="133"/>
      <c r="W74" s="133"/>
      <c r="X74" s="133"/>
      <c r="Y74" s="133"/>
      <c r="Z74" s="133"/>
      <c r="AJ74" s="283"/>
      <c r="AK74" s="283"/>
      <c r="AL74" s="283"/>
      <c r="AM74" s="283"/>
      <c r="AN74" s="283"/>
    </row>
    <row r="75" spans="1:40" x14ac:dyDescent="0.3">
      <c r="A75" s="532"/>
      <c r="B75" s="832" t="s">
        <v>1069</v>
      </c>
      <c r="C75" s="149">
        <f>'Inputs and eligible population'!L101</f>
        <v>1</v>
      </c>
      <c r="D75" s="128">
        <f>Summary!C$18*'Capacity (local prices)'!$C75*'Inputs and eligible population'!$E$56</f>
        <v>1297.8030873648743</v>
      </c>
      <c r="E75" s="128">
        <f>Summary!D$18*'Capacity (local prices)'!$C75*'Inputs and eligible population'!$E$56</f>
        <v>982.73719114450398</v>
      </c>
      <c r="F75" s="128">
        <f>Summary!E$18*'Capacity (local prices)'!$C75*'Inputs and eligible population'!$E$56</f>
        <v>661.47503595277453</v>
      </c>
      <c r="G75" s="128">
        <f>Summary!F$18*'Capacity (local prices)'!$C75*'Inputs and eligible population'!$E$56</f>
        <v>667.85285089162653</v>
      </c>
      <c r="H75" s="128">
        <f>Summary!G$18*'Capacity (local prices)'!$C75*'Inputs and eligible population'!$E$56</f>
        <v>674.29215949415959</v>
      </c>
      <c r="I75" s="128">
        <f>Summary!H$18*'Capacity (local prices)'!$C75*'Inputs and eligible population'!$E$56</f>
        <v>680.79355467043899</v>
      </c>
      <c r="J75" s="538"/>
      <c r="K75" s="544">
        <f>'Unit costs'!N$110</f>
        <v>141</v>
      </c>
      <c r="L75" s="546">
        <f t="shared" si="41"/>
        <v>182.99023531844725</v>
      </c>
      <c r="M75" s="546">
        <f t="shared" si="40"/>
        <v>138.56594395137506</v>
      </c>
      <c r="N75" s="546">
        <f t="shared" si="40"/>
        <v>93.267980069341206</v>
      </c>
      <c r="O75" s="546">
        <f t="shared" si="40"/>
        <v>94.167251975719338</v>
      </c>
      <c r="P75" s="546">
        <f t="shared" si="40"/>
        <v>95.075194488676487</v>
      </c>
      <c r="Q75" s="546">
        <f t="shared" si="40"/>
        <v>95.991891208531882</v>
      </c>
      <c r="R75" s="133"/>
      <c r="S75" s="133"/>
      <c r="T75" s="133"/>
      <c r="U75" s="133"/>
      <c r="V75" s="133"/>
      <c r="W75" s="133"/>
      <c r="X75" s="133"/>
      <c r="Y75" s="133"/>
      <c r="Z75" s="133"/>
      <c r="AJ75" s="283"/>
      <c r="AK75" s="283"/>
      <c r="AL75" s="283"/>
      <c r="AM75" s="283"/>
      <c r="AN75" s="283"/>
    </row>
    <row r="76" spans="1:40" x14ac:dyDescent="0.3">
      <c r="A76" s="532"/>
      <c r="B76" s="504"/>
      <c r="C76" s="280"/>
      <c r="D76" s="186">
        <f>SUM(D65:D75)</f>
        <v>1297.8030873648743</v>
      </c>
      <c r="E76" s="186">
        <f t="shared" ref="E76:I76" si="42">SUM(E65:E75)</f>
        <v>982.73719114450398</v>
      </c>
      <c r="F76" s="186">
        <f t="shared" si="42"/>
        <v>661.47503595277453</v>
      </c>
      <c r="G76" s="186">
        <f t="shared" si="42"/>
        <v>667.85285089162653</v>
      </c>
      <c r="H76" s="186">
        <f t="shared" si="42"/>
        <v>674.29215949415959</v>
      </c>
      <c r="I76" s="186">
        <f t="shared" si="42"/>
        <v>680.79355467043899</v>
      </c>
      <c r="J76" s="538"/>
      <c r="K76" s="217"/>
      <c r="L76" s="290">
        <f>SUM(L65:L75)</f>
        <v>182.99023531844725</v>
      </c>
      <c r="M76" s="290">
        <f t="shared" ref="M76:Q76" si="43">SUM(M65:M75)</f>
        <v>138.56594395137506</v>
      </c>
      <c r="N76" s="290">
        <f t="shared" si="43"/>
        <v>93.267980069341206</v>
      </c>
      <c r="O76" s="290">
        <f t="shared" si="43"/>
        <v>94.167251975719338</v>
      </c>
      <c r="P76" s="290">
        <f t="shared" si="43"/>
        <v>95.075194488676487</v>
      </c>
      <c r="Q76" s="290">
        <f t="shared" si="43"/>
        <v>95.991891208531882</v>
      </c>
      <c r="R76" s="133"/>
      <c r="S76" s="133"/>
      <c r="T76" s="133"/>
      <c r="U76" s="133"/>
      <c r="V76" s="133"/>
      <c r="W76" s="133"/>
      <c r="X76" s="133"/>
      <c r="Y76" s="133"/>
      <c r="Z76" s="133"/>
      <c r="AJ76" s="283"/>
      <c r="AK76" s="283"/>
      <c r="AL76" s="283"/>
      <c r="AM76" s="283"/>
      <c r="AN76" s="283"/>
    </row>
    <row r="77" spans="1:40" x14ac:dyDescent="0.3">
      <c r="A77" s="532"/>
      <c r="B77" s="255"/>
      <c r="C77" s="255"/>
      <c r="D77" s="282" t="s">
        <v>841</v>
      </c>
      <c r="E77" s="186">
        <f>E76-$D$76</f>
        <v>-315.06589622037029</v>
      </c>
      <c r="F77" s="186">
        <f t="shared" ref="F77:I77" si="44">F76-$D$76</f>
        <v>-636.32805141209974</v>
      </c>
      <c r="G77" s="186">
        <f t="shared" si="44"/>
        <v>-629.95023647324774</v>
      </c>
      <c r="H77" s="186">
        <f t="shared" si="44"/>
        <v>-623.51092787071468</v>
      </c>
      <c r="I77" s="186">
        <f t="shared" si="44"/>
        <v>-617.00953269443528</v>
      </c>
      <c r="J77" s="538"/>
      <c r="K77" s="217"/>
      <c r="L77" s="217"/>
      <c r="M77" s="290">
        <f>M76-$L76</f>
        <v>-44.424291367072186</v>
      </c>
      <c r="N77" s="290">
        <f t="shared" ref="N77:Q77" si="45">N76-$L76</f>
        <v>-89.722255249106041</v>
      </c>
      <c r="O77" s="290">
        <f t="shared" si="45"/>
        <v>-88.822983342727909</v>
      </c>
      <c r="P77" s="290">
        <f t="shared" si="45"/>
        <v>-87.91504082977076</v>
      </c>
      <c r="Q77" s="290">
        <f t="shared" si="45"/>
        <v>-86.998344109915365</v>
      </c>
      <c r="R77" s="133"/>
      <c r="S77" s="133"/>
      <c r="T77" s="133"/>
      <c r="U77" s="133"/>
      <c r="V77" s="133"/>
      <c r="W77" s="133"/>
      <c r="X77" s="133"/>
      <c r="Y77" s="133"/>
      <c r="Z77" s="133"/>
      <c r="AJ77" s="283"/>
      <c r="AK77" s="283"/>
      <c r="AL77" s="283"/>
      <c r="AM77" s="283"/>
      <c r="AN77" s="283"/>
    </row>
    <row r="78" spans="1:40" ht="30.6" customHeight="1" x14ac:dyDescent="0.3">
      <c r="A78" s="285"/>
      <c r="B78" s="533"/>
      <c r="C78" s="534"/>
      <c r="D78" s="535"/>
      <c r="E78" s="536"/>
      <c r="F78" s="285"/>
      <c r="G78" s="285"/>
      <c r="H78" s="285"/>
      <c r="I78" s="297"/>
      <c r="J78" s="217"/>
      <c r="K78" s="217"/>
      <c r="L78" s="217"/>
      <c r="M78" s="217"/>
      <c r="N78" s="217"/>
      <c r="O78" s="217"/>
      <c r="P78" s="217"/>
      <c r="Q78" s="217"/>
      <c r="R78" s="133"/>
      <c r="S78" s="133"/>
      <c r="T78" s="133"/>
      <c r="U78" s="133"/>
      <c r="V78" s="133"/>
      <c r="W78" s="133"/>
      <c r="X78" s="133"/>
      <c r="Y78" s="133"/>
      <c r="Z78" s="133"/>
      <c r="AJ78" s="283"/>
      <c r="AK78" s="283"/>
      <c r="AL78" s="283"/>
      <c r="AM78" s="283"/>
      <c r="AN78" s="283"/>
    </row>
    <row r="79" spans="1:40" x14ac:dyDescent="0.3">
      <c r="A79" s="284"/>
      <c r="B79" s="308" t="s">
        <v>842</v>
      </c>
      <c r="C79" s="292"/>
      <c r="D79" s="292"/>
      <c r="E79" s="293"/>
      <c r="F79" s="294"/>
      <c r="G79" s="295"/>
      <c r="H79" s="295"/>
      <c r="I79" s="295"/>
      <c r="J79" s="412"/>
      <c r="K79" s="284"/>
      <c r="L79" s="284"/>
      <c r="M79" s="284"/>
      <c r="N79" s="284"/>
      <c r="O79" s="284"/>
      <c r="P79" s="284"/>
      <c r="Q79" s="215"/>
      <c r="V79" s="133"/>
    </row>
    <row r="80" spans="1:40" x14ac:dyDescent="0.3">
      <c r="A80" s="284"/>
      <c r="B80" s="373" t="s">
        <v>1115</v>
      </c>
      <c r="C80" s="374"/>
      <c r="D80" s="374"/>
      <c r="E80" s="374"/>
      <c r="F80" s="374"/>
      <c r="G80" s="374"/>
      <c r="H80" s="374"/>
      <c r="I80" s="214"/>
      <c r="J80" s="409"/>
      <c r="K80" s="215"/>
      <c r="L80" s="408"/>
      <c r="M80" s="408"/>
      <c r="N80" s="408"/>
      <c r="O80" s="408"/>
      <c r="P80" s="408"/>
      <c r="Q80" s="408"/>
      <c r="V80" s="133"/>
    </row>
    <row r="81" spans="1:40" ht="74.55" customHeight="1" x14ac:dyDescent="0.3">
      <c r="A81" s="284"/>
      <c r="B81" s="279" t="s">
        <v>766</v>
      </c>
      <c r="C81" s="166" t="s">
        <v>843</v>
      </c>
      <c r="D81" s="402" t="s">
        <v>831</v>
      </c>
      <c r="E81" s="254" t="s">
        <v>676</v>
      </c>
      <c r="F81" s="254" t="s">
        <v>677</v>
      </c>
      <c r="G81" s="165" t="s">
        <v>803</v>
      </c>
      <c r="H81" s="165" t="s">
        <v>804</v>
      </c>
      <c r="I81" s="254" t="s">
        <v>805</v>
      </c>
      <c r="J81" s="284"/>
      <c r="K81" s="531" t="s">
        <v>840</v>
      </c>
      <c r="L81" s="402" t="s">
        <v>831</v>
      </c>
      <c r="M81" s="521" t="s">
        <v>676</v>
      </c>
      <c r="N81" s="521" t="s">
        <v>677</v>
      </c>
      <c r="O81" s="403" t="s">
        <v>803</v>
      </c>
      <c r="P81" s="403" t="s">
        <v>804</v>
      </c>
      <c r="Q81" s="521" t="s">
        <v>805</v>
      </c>
      <c r="V81" s="133"/>
    </row>
    <row r="82" spans="1:40" x14ac:dyDescent="0.3">
      <c r="A82" s="836"/>
      <c r="B82" s="334" t="s">
        <v>1065</v>
      </c>
      <c r="C82" s="149">
        <f>'Inputs and eligible population'!F103</f>
        <v>132</v>
      </c>
      <c r="D82" s="128">
        <f>(Summary!$C$16*'Capacity (local prices)'!$C82*'Inputs and eligible population'!$E$50)/60</f>
        <v>0</v>
      </c>
      <c r="E82" s="128">
        <f>(Summary!$D$16*'Capacity (local prices)'!$C82*'Inputs and eligible population'!$E$50)/60</f>
        <v>0</v>
      </c>
      <c r="F82" s="128">
        <f>(Summary!E$16*'Capacity (local prices)'!$C82*'Inputs and eligible population'!$E$50)/60</f>
        <v>0</v>
      </c>
      <c r="G82" s="128">
        <f>(Summary!F$16*'Capacity (local prices)'!$C82*'Inputs and eligible population'!$E$50)/60</f>
        <v>0</v>
      </c>
      <c r="H82" s="128">
        <f>(Summary!G$16*'Capacity (local prices)'!$C82*'Inputs and eligible population'!$E$50)/60</f>
        <v>0</v>
      </c>
      <c r="I82" s="128">
        <f>(Summary!H$16*'Capacity (local prices)'!$C82*'Inputs and eligible population'!$E$50)/60</f>
        <v>0</v>
      </c>
      <c r="J82" s="409"/>
      <c r="K82" s="544">
        <f>'Unit costs'!N$114</f>
        <v>129</v>
      </c>
      <c r="L82" s="546">
        <f>$K82/1000*D82</f>
        <v>0</v>
      </c>
      <c r="M82" s="546">
        <f t="shared" ref="M82:Q92" si="46">$K82/1000*E82</f>
        <v>0</v>
      </c>
      <c r="N82" s="546">
        <f t="shared" si="46"/>
        <v>0</v>
      </c>
      <c r="O82" s="546">
        <f t="shared" si="46"/>
        <v>0</v>
      </c>
      <c r="P82" s="546">
        <f t="shared" si="46"/>
        <v>0</v>
      </c>
      <c r="Q82" s="546">
        <f t="shared" si="46"/>
        <v>0</v>
      </c>
      <c r="R82" s="133"/>
      <c r="S82" s="133"/>
      <c r="T82" s="133"/>
      <c r="U82" s="133"/>
      <c r="V82" s="133"/>
      <c r="W82" s="133"/>
      <c r="X82" s="133"/>
      <c r="Y82" s="133"/>
      <c r="Z82" s="133"/>
      <c r="AJ82" s="283"/>
      <c r="AK82" s="283"/>
      <c r="AL82" s="283"/>
      <c r="AM82" s="283"/>
      <c r="AN82" s="283"/>
    </row>
    <row r="83" spans="1:40" x14ac:dyDescent="0.3">
      <c r="A83" s="836"/>
      <c r="B83" s="334" t="s">
        <v>1064</v>
      </c>
      <c r="C83" s="149">
        <f>'Inputs and eligible population'!G103</f>
        <v>13</v>
      </c>
      <c r="D83" s="128">
        <f>(Summary!C$16*'Capacity (local prices)'!$C83*'Inputs and eligible population'!$E$51)/60</f>
        <v>0</v>
      </c>
      <c r="E83" s="128">
        <f>(Summary!D$16*'Capacity (local prices)'!$C83*'Inputs and eligible population'!$E$51)/60</f>
        <v>0</v>
      </c>
      <c r="F83" s="128">
        <f>(Summary!E$16*'Capacity (local prices)'!$C83*'Inputs and eligible population'!$E$51)/60</f>
        <v>0</v>
      </c>
      <c r="G83" s="128">
        <f>(Summary!F$16*'Capacity (local prices)'!$C83*'Inputs and eligible population'!$E$51)/60</f>
        <v>0</v>
      </c>
      <c r="H83" s="128">
        <f>(Summary!G$16*'Capacity (local prices)'!$C83*'Inputs and eligible population'!$E$51)/60</f>
        <v>0</v>
      </c>
      <c r="I83" s="128">
        <f>(Summary!H$16*'Capacity (local prices)'!$C83*'Inputs and eligible population'!$E$51)/60</f>
        <v>0</v>
      </c>
      <c r="J83" s="409"/>
      <c r="K83" s="544">
        <f>'Unit costs'!N$114</f>
        <v>129</v>
      </c>
      <c r="L83" s="546">
        <f t="shared" ref="L83:L92" si="47">$K83/1000*D83</f>
        <v>0</v>
      </c>
      <c r="M83" s="546">
        <f t="shared" si="46"/>
        <v>0</v>
      </c>
      <c r="N83" s="546">
        <f t="shared" si="46"/>
        <v>0</v>
      </c>
      <c r="O83" s="546">
        <f t="shared" si="46"/>
        <v>0</v>
      </c>
      <c r="P83" s="546">
        <f t="shared" si="46"/>
        <v>0</v>
      </c>
      <c r="Q83" s="546">
        <f t="shared" si="46"/>
        <v>0</v>
      </c>
      <c r="R83" s="133"/>
      <c r="S83" s="133"/>
      <c r="T83" s="133"/>
      <c r="U83" s="133"/>
      <c r="V83" s="133"/>
      <c r="W83" s="133"/>
      <c r="X83" s="133"/>
      <c r="Y83" s="133"/>
      <c r="Z83" s="133"/>
      <c r="AJ83" s="283"/>
      <c r="AK83" s="283"/>
      <c r="AL83" s="283"/>
      <c r="AM83" s="283"/>
      <c r="AN83" s="283"/>
    </row>
    <row r="84" spans="1:40" x14ac:dyDescent="0.3">
      <c r="A84" s="836"/>
      <c r="B84" s="334" t="s">
        <v>1162</v>
      </c>
      <c r="C84" s="149">
        <f>'Inputs and eligible population'!H103</f>
        <v>13</v>
      </c>
      <c r="D84" s="128">
        <f>'Inputs and eligible population'!$E$52*'Inputs and eligible population'!$L$84*'Capacity (local prices)'!$C$33</f>
        <v>0</v>
      </c>
      <c r="E84" s="128">
        <f>'Inputs and eligible population'!$E$52*'Inputs and eligible population'!$M$84*'Capacity (local prices)'!$C84</f>
        <v>0</v>
      </c>
      <c r="F84" s="128">
        <f>'Inputs and eligible population'!$E$52*'Inputs and eligible population'!$N$84*'Capacity (local prices)'!$C84</f>
        <v>0</v>
      </c>
      <c r="G84" s="128">
        <f>'Inputs and eligible population'!$E$52*'Inputs and eligible population'!$O$84*'Capacity (local prices)'!$C84</f>
        <v>0</v>
      </c>
      <c r="H84" s="128">
        <f>'Inputs and eligible population'!$E$52*'Inputs and eligible population'!$P$84*'Capacity (local prices)'!$C84</f>
        <v>0</v>
      </c>
      <c r="I84" s="128">
        <f>'Inputs and eligible population'!$E$52*'Inputs and eligible population'!$Q$84*'Capacity (local prices)'!$C84</f>
        <v>0</v>
      </c>
      <c r="J84" s="409"/>
      <c r="K84" s="544">
        <f>'Unit costs'!N$114</f>
        <v>129</v>
      </c>
      <c r="L84" s="546">
        <f t="shared" si="47"/>
        <v>0</v>
      </c>
      <c r="M84" s="546">
        <f t="shared" si="46"/>
        <v>0</v>
      </c>
      <c r="N84" s="546">
        <f t="shared" si="46"/>
        <v>0</v>
      </c>
      <c r="O84" s="546">
        <f t="shared" si="46"/>
        <v>0</v>
      </c>
      <c r="P84" s="546">
        <f t="shared" si="46"/>
        <v>0</v>
      </c>
      <c r="Q84" s="546">
        <f t="shared" si="46"/>
        <v>0</v>
      </c>
      <c r="R84" s="133"/>
      <c r="S84" s="133"/>
      <c r="T84" s="133"/>
      <c r="U84" s="133"/>
      <c r="V84" s="133"/>
      <c r="W84" s="133"/>
      <c r="X84" s="133"/>
      <c r="Y84" s="133"/>
      <c r="Z84" s="133"/>
      <c r="AJ84" s="283"/>
      <c r="AK84" s="283"/>
      <c r="AL84" s="283"/>
      <c r="AM84" s="283"/>
      <c r="AN84" s="283"/>
    </row>
    <row r="85" spans="1:40" x14ac:dyDescent="0.3">
      <c r="A85" s="836"/>
      <c r="B85" s="334" t="s">
        <v>1163</v>
      </c>
      <c r="C85" s="149">
        <f>'Inputs and eligible population'!H103</f>
        <v>13</v>
      </c>
      <c r="D85" s="128">
        <f>'Inputs and eligible population'!$F$52*'Inputs and eligible population'!$L$84*'Capacity (local prices)'!$C85</f>
        <v>0</v>
      </c>
      <c r="E85" s="128">
        <f>'Inputs and eligible population'!$F$52*'Inputs and eligible population'!$L$84*'Capacity (local prices)'!$C85</f>
        <v>0</v>
      </c>
      <c r="F85" s="128">
        <f>'Inputs and eligible population'!$F$52*'Inputs and eligible population'!$M$84*'Capacity (local prices)'!$C85</f>
        <v>0</v>
      </c>
      <c r="G85" s="128">
        <f>'Inputs and eligible population'!$F$52*'Inputs and eligible population'!$N$84*'Capacity (local prices)'!$C85</f>
        <v>0</v>
      </c>
      <c r="H85" s="128">
        <f>'Inputs and eligible population'!$F$52*'Inputs and eligible population'!$O$84*'Capacity (local prices)'!$C85</f>
        <v>0</v>
      </c>
      <c r="I85" s="128">
        <f>'Inputs and eligible population'!$F$52*'Inputs and eligible population'!$P$84*'Capacity (local prices)'!$C85</f>
        <v>0</v>
      </c>
      <c r="J85" s="409"/>
      <c r="K85" s="544">
        <f>'Unit costs'!N$114</f>
        <v>129</v>
      </c>
      <c r="L85" s="546">
        <f t="shared" si="47"/>
        <v>0</v>
      </c>
      <c r="M85" s="546">
        <f t="shared" si="46"/>
        <v>0</v>
      </c>
      <c r="N85" s="546">
        <f t="shared" si="46"/>
        <v>0</v>
      </c>
      <c r="O85" s="546">
        <f t="shared" si="46"/>
        <v>0</v>
      </c>
      <c r="P85" s="546">
        <f t="shared" si="46"/>
        <v>0</v>
      </c>
      <c r="Q85" s="546">
        <f t="shared" si="46"/>
        <v>0</v>
      </c>
      <c r="R85" s="133"/>
      <c r="S85" s="133"/>
      <c r="T85" s="133"/>
      <c r="U85" s="133"/>
      <c r="V85" s="133"/>
      <c r="W85" s="133"/>
      <c r="X85" s="133"/>
      <c r="Y85" s="133"/>
      <c r="Z85" s="133"/>
      <c r="AJ85" s="283"/>
      <c r="AK85" s="283"/>
      <c r="AL85" s="283"/>
      <c r="AM85" s="283"/>
      <c r="AN85" s="283"/>
    </row>
    <row r="86" spans="1:40" x14ac:dyDescent="0.3">
      <c r="A86" s="836"/>
      <c r="B86" s="334" t="s">
        <v>1164</v>
      </c>
      <c r="C86" s="149">
        <f>'Inputs and eligible population'!H103</f>
        <v>13</v>
      </c>
      <c r="D86" s="128">
        <f>'Inputs and eligible population'!$G$52*'Inputs and eligible population'!$L$84*'Capacity (local prices)'!$C86</f>
        <v>0</v>
      </c>
      <c r="E86" s="128">
        <f>'Inputs and eligible population'!$G$52*'Inputs and eligible population'!$L$84*'Capacity (local prices)'!$C86</f>
        <v>0</v>
      </c>
      <c r="F86" s="128">
        <f>'Inputs and eligible population'!$G$52*'Inputs and eligible population'!$L$84*'Capacity (local prices)'!$C86</f>
        <v>0</v>
      </c>
      <c r="G86" s="128">
        <f>'Inputs and eligible population'!$G$52*'Inputs and eligible population'!$M$84*'Capacity (local prices)'!$C86</f>
        <v>0</v>
      </c>
      <c r="H86" s="128">
        <f>'Inputs and eligible population'!$G$52*'Inputs and eligible population'!$N$84*'Capacity (local prices)'!$C86</f>
        <v>0</v>
      </c>
      <c r="I86" s="128">
        <f>'Inputs and eligible population'!$G$52*'Inputs and eligible population'!$O$84*'Capacity (local prices)'!$C86</f>
        <v>0</v>
      </c>
      <c r="J86" s="409"/>
      <c r="K86" s="544">
        <f>'Unit costs'!N$114</f>
        <v>129</v>
      </c>
      <c r="L86" s="546">
        <f t="shared" si="47"/>
        <v>0</v>
      </c>
      <c r="M86" s="546">
        <f t="shared" si="46"/>
        <v>0</v>
      </c>
      <c r="N86" s="546">
        <f t="shared" si="46"/>
        <v>0</v>
      </c>
      <c r="O86" s="546">
        <f t="shared" si="46"/>
        <v>0</v>
      </c>
      <c r="P86" s="546">
        <f t="shared" si="46"/>
        <v>0</v>
      </c>
      <c r="Q86" s="546">
        <f t="shared" si="46"/>
        <v>0</v>
      </c>
      <c r="R86" s="133"/>
      <c r="S86" s="133"/>
      <c r="T86" s="133"/>
      <c r="U86" s="133"/>
      <c r="V86" s="133"/>
      <c r="W86" s="133"/>
      <c r="X86" s="133"/>
      <c r="Y86" s="133"/>
      <c r="Z86" s="133"/>
      <c r="AJ86" s="283"/>
      <c r="AK86" s="283"/>
      <c r="AL86" s="283"/>
      <c r="AM86" s="283"/>
      <c r="AN86" s="283"/>
    </row>
    <row r="87" spans="1:40" x14ac:dyDescent="0.3">
      <c r="A87" s="836"/>
      <c r="B87" s="334" t="s">
        <v>1066</v>
      </c>
      <c r="C87" s="149">
        <f>'Inputs and eligible population'!I103</f>
        <v>132</v>
      </c>
      <c r="D87" s="128">
        <f>('Financial impact (cash)'!D$15*$C87*'Inputs and eligible population'!$E$53)/60</f>
        <v>0</v>
      </c>
      <c r="E87" s="128">
        <f>('Financial impact (cash)'!E$15*$C87*'Inputs and eligible population'!$E$53)/60</f>
        <v>0</v>
      </c>
      <c r="F87" s="128">
        <f>('Financial impact (cash)'!F$15*$C87*'Inputs and eligible population'!$E$53)/60</f>
        <v>0</v>
      </c>
      <c r="G87" s="128">
        <f>('Financial impact (cash)'!G$15*$C87*'Inputs and eligible population'!$E$53)/60</f>
        <v>0</v>
      </c>
      <c r="H87" s="128">
        <f>('Financial impact (cash)'!H$15*$C87*'Inputs and eligible population'!$E$53)/60</f>
        <v>0</v>
      </c>
      <c r="I87" s="128">
        <f>('Financial impact (cash)'!I$15*$C87*'Inputs and eligible population'!$E$53)/60</f>
        <v>0</v>
      </c>
      <c r="J87" s="409"/>
      <c r="K87" s="544">
        <f>'Unit costs'!N$114</f>
        <v>129</v>
      </c>
      <c r="L87" s="546">
        <f t="shared" si="47"/>
        <v>0</v>
      </c>
      <c r="M87" s="546">
        <f t="shared" si="46"/>
        <v>0</v>
      </c>
      <c r="N87" s="546">
        <f t="shared" si="46"/>
        <v>0</v>
      </c>
      <c r="O87" s="546">
        <f t="shared" si="46"/>
        <v>0</v>
      </c>
      <c r="P87" s="546">
        <f t="shared" si="46"/>
        <v>0</v>
      </c>
      <c r="Q87" s="546">
        <f t="shared" si="46"/>
        <v>0</v>
      </c>
      <c r="R87" s="133"/>
      <c r="S87" s="133"/>
      <c r="T87" s="133"/>
      <c r="U87" s="133"/>
      <c r="V87" s="133"/>
      <c r="W87" s="133"/>
      <c r="X87" s="133"/>
      <c r="Y87" s="133"/>
      <c r="Z87" s="133"/>
      <c r="AJ87" s="283"/>
      <c r="AK87" s="283"/>
      <c r="AL87" s="283"/>
      <c r="AM87" s="283"/>
      <c r="AN87" s="283"/>
    </row>
    <row r="88" spans="1:40" x14ac:dyDescent="0.3">
      <c r="A88" s="836"/>
      <c r="B88" s="334" t="s">
        <v>1067</v>
      </c>
      <c r="C88" s="149">
        <f>'Inputs and eligible population'!J103</f>
        <v>13</v>
      </c>
      <c r="D88" s="128">
        <f>('Financial impact (cash)'!D$15*$C88*'Inputs and eligible population'!$E$54)/60</f>
        <v>0</v>
      </c>
      <c r="E88" s="128">
        <f>('Financial impact (cash)'!E$15*$C88*'Inputs and eligible population'!$E$54)/60</f>
        <v>0</v>
      </c>
      <c r="F88" s="128">
        <f>('Financial impact (cash)'!F$15*$C88*'Inputs and eligible population'!$E$54)/60</f>
        <v>0</v>
      </c>
      <c r="G88" s="128">
        <f>('Financial impact (cash)'!G$15*$C88*'Inputs and eligible population'!$E$54)/60</f>
        <v>0</v>
      </c>
      <c r="H88" s="128">
        <f>('Financial impact (cash)'!H$15*$C88*'Inputs and eligible population'!$E$54)/60</f>
        <v>0</v>
      </c>
      <c r="I88" s="128">
        <f>('Financial impact (cash)'!I$15*$C88*'Inputs and eligible population'!$E$54)/60</f>
        <v>0</v>
      </c>
      <c r="J88" s="409"/>
      <c r="K88" s="544">
        <f>'Unit costs'!N$114</f>
        <v>129</v>
      </c>
      <c r="L88" s="546">
        <f t="shared" si="47"/>
        <v>0</v>
      </c>
      <c r="M88" s="546">
        <f t="shared" si="46"/>
        <v>0</v>
      </c>
      <c r="N88" s="546">
        <f t="shared" si="46"/>
        <v>0</v>
      </c>
      <c r="O88" s="546">
        <f t="shared" si="46"/>
        <v>0</v>
      </c>
      <c r="P88" s="546">
        <f t="shared" si="46"/>
        <v>0</v>
      </c>
      <c r="Q88" s="546">
        <f t="shared" si="46"/>
        <v>0</v>
      </c>
      <c r="R88" s="133"/>
      <c r="S88" s="133"/>
      <c r="T88" s="133"/>
      <c r="U88" s="133"/>
      <c r="V88" s="133"/>
      <c r="W88" s="133"/>
      <c r="X88" s="133"/>
      <c r="Y88" s="133"/>
      <c r="Z88" s="133"/>
      <c r="AJ88" s="283"/>
      <c r="AK88" s="283"/>
      <c r="AL88" s="283"/>
      <c r="AM88" s="283"/>
      <c r="AN88" s="283"/>
    </row>
    <row r="89" spans="1:40" x14ac:dyDescent="0.3">
      <c r="A89" s="836"/>
      <c r="B89" s="334" t="s">
        <v>1165</v>
      </c>
      <c r="C89" s="149">
        <f>'Inputs and eligible population'!$K$103</f>
        <v>13</v>
      </c>
      <c r="D89" s="128">
        <f>Summary!$C$17*'Capacity (local prices)'!$C89*'Inputs and eligible population'!$E$55</f>
        <v>0</v>
      </c>
      <c r="E89" s="128">
        <f>(Summary!$D$17*'Capacity (local prices)'!$C89*'Inputs and eligible population'!$E$55)</f>
        <v>0</v>
      </c>
      <c r="F89" s="128">
        <f>(Summary!$E$17*'Capacity (local prices)'!$C89*'Inputs and eligible population'!$E$55)</f>
        <v>0</v>
      </c>
      <c r="G89" s="128">
        <f>(Summary!$F$17*'Capacity (local prices)'!$C89*'Inputs and eligible population'!$E$55)</f>
        <v>0</v>
      </c>
      <c r="H89" s="128">
        <f>(Summary!$G$17*'Capacity (local prices)'!$C89*'Inputs and eligible population'!$E$55)</f>
        <v>0</v>
      </c>
      <c r="I89" s="128">
        <f>(Summary!$H$17*'Capacity (local prices)'!$C89*'Inputs and eligible population'!$E$55)</f>
        <v>0</v>
      </c>
      <c r="J89" s="409"/>
      <c r="K89" s="544">
        <f>'Unit costs'!N$114</f>
        <v>129</v>
      </c>
      <c r="L89" s="546">
        <f t="shared" si="47"/>
        <v>0</v>
      </c>
      <c r="M89" s="546">
        <f t="shared" si="46"/>
        <v>0</v>
      </c>
      <c r="N89" s="546">
        <f t="shared" si="46"/>
        <v>0</v>
      </c>
      <c r="O89" s="546">
        <f t="shared" si="46"/>
        <v>0</v>
      </c>
      <c r="P89" s="546">
        <f t="shared" si="46"/>
        <v>0</v>
      </c>
      <c r="Q89" s="546">
        <f t="shared" si="46"/>
        <v>0</v>
      </c>
      <c r="R89" s="133"/>
      <c r="S89" s="133"/>
      <c r="T89" s="133"/>
      <c r="U89" s="133"/>
      <c r="V89" s="133"/>
      <c r="W89" s="133"/>
      <c r="X89" s="133"/>
      <c r="Y89" s="133"/>
      <c r="Z89" s="133"/>
      <c r="AJ89" s="283"/>
      <c r="AK89" s="283"/>
      <c r="AL89" s="283"/>
      <c r="AM89" s="283"/>
      <c r="AN89" s="283"/>
    </row>
    <row r="90" spans="1:40" x14ac:dyDescent="0.3">
      <c r="A90" s="836"/>
      <c r="B90" s="334" t="s">
        <v>1166</v>
      </c>
      <c r="C90" s="149">
        <f>'Inputs and eligible population'!$K$103</f>
        <v>13</v>
      </c>
      <c r="D90" s="128">
        <f>Summary!$C$17*'Capacity (local prices)'!$C89*'Inputs and eligible population'!$F$55</f>
        <v>0</v>
      </c>
      <c r="E90" s="128">
        <f>Summary!$C$17*'Capacity (local prices)'!$C89*'Inputs and eligible population'!$F$55</f>
        <v>0</v>
      </c>
      <c r="F90" s="128">
        <f>(Summary!$D$17*'Capacity (local prices)'!$C89*'Inputs and eligible population'!$F$55)</f>
        <v>0</v>
      </c>
      <c r="G90" s="128">
        <f>(Summary!$E$17*'Capacity (local prices)'!$C89*'Inputs and eligible population'!$F$55)</f>
        <v>0</v>
      </c>
      <c r="H90" s="128">
        <f>(Summary!$F$17*'Capacity (local prices)'!$C89*'Inputs and eligible population'!$F$55)</f>
        <v>0</v>
      </c>
      <c r="I90" s="128">
        <f>(Summary!$G$17*'Capacity (local prices)'!$C89*'Inputs and eligible population'!$F$55)</f>
        <v>0</v>
      </c>
      <c r="J90" s="409"/>
      <c r="K90" s="544">
        <f>'Unit costs'!N$114</f>
        <v>129</v>
      </c>
      <c r="L90" s="546">
        <f t="shared" si="47"/>
        <v>0</v>
      </c>
      <c r="M90" s="546">
        <f t="shared" si="46"/>
        <v>0</v>
      </c>
      <c r="N90" s="546">
        <f t="shared" si="46"/>
        <v>0</v>
      </c>
      <c r="O90" s="546">
        <f t="shared" si="46"/>
        <v>0</v>
      </c>
      <c r="P90" s="546">
        <f t="shared" si="46"/>
        <v>0</v>
      </c>
      <c r="Q90" s="546">
        <f t="shared" si="46"/>
        <v>0</v>
      </c>
      <c r="R90" s="133"/>
      <c r="S90" s="133"/>
      <c r="T90" s="133"/>
      <c r="U90" s="133"/>
      <c r="V90" s="133"/>
      <c r="W90" s="133"/>
      <c r="X90" s="133"/>
      <c r="Y90" s="133"/>
      <c r="Z90" s="133"/>
      <c r="AJ90" s="283"/>
      <c r="AK90" s="283"/>
      <c r="AL90" s="283"/>
      <c r="AM90" s="283"/>
      <c r="AN90" s="283"/>
    </row>
    <row r="91" spans="1:40" x14ac:dyDescent="0.3">
      <c r="A91" s="836"/>
      <c r="B91" s="334" t="s">
        <v>1167</v>
      </c>
      <c r="C91" s="149">
        <f>'Inputs and eligible population'!$K$103</f>
        <v>13</v>
      </c>
      <c r="D91" s="128">
        <f>Summary!$C$17*'Capacity (local prices)'!$C89*'Inputs and eligible population'!$G$55</f>
        <v>0</v>
      </c>
      <c r="E91" s="128">
        <f>Summary!$C$17*'Capacity (local prices)'!$C89*'Inputs and eligible population'!$G$55</f>
        <v>0</v>
      </c>
      <c r="F91" s="128">
        <f>Summary!$C$17*'Capacity (local prices)'!$C89*'Inputs and eligible population'!$G$55</f>
        <v>0</v>
      </c>
      <c r="G91" s="128">
        <f>(Summary!$D$17*'Capacity (local prices)'!$C89*'Inputs and eligible population'!$G$55)</f>
        <v>0</v>
      </c>
      <c r="H91" s="128">
        <f>(Summary!$E$17*'Capacity (local prices)'!$C89*'Inputs and eligible population'!$G$55)</f>
        <v>0</v>
      </c>
      <c r="I91" s="128">
        <f>(Summary!$F$17*'Capacity (local prices)'!$C89*'Inputs and eligible population'!$G$55)</f>
        <v>0</v>
      </c>
      <c r="J91" s="409"/>
      <c r="K91" s="544">
        <f>'Unit costs'!N$114</f>
        <v>129</v>
      </c>
      <c r="L91" s="546">
        <f t="shared" si="47"/>
        <v>0</v>
      </c>
      <c r="M91" s="546">
        <f t="shared" si="46"/>
        <v>0</v>
      </c>
      <c r="N91" s="546">
        <f t="shared" si="46"/>
        <v>0</v>
      </c>
      <c r="O91" s="546">
        <f t="shared" si="46"/>
        <v>0</v>
      </c>
      <c r="P91" s="546">
        <f t="shared" si="46"/>
        <v>0</v>
      </c>
      <c r="Q91" s="546">
        <f t="shared" si="46"/>
        <v>0</v>
      </c>
      <c r="R91" s="133"/>
      <c r="S91" s="133"/>
      <c r="T91" s="133"/>
      <c r="U91" s="133"/>
      <c r="V91" s="133"/>
      <c r="W91" s="133"/>
      <c r="X91" s="133"/>
      <c r="Y91" s="133"/>
      <c r="Z91" s="133"/>
      <c r="AJ91" s="283"/>
      <c r="AK91" s="283"/>
      <c r="AL91" s="283"/>
      <c r="AM91" s="283"/>
      <c r="AN91" s="283"/>
    </row>
    <row r="92" spans="1:40" x14ac:dyDescent="0.3">
      <c r="A92" s="836"/>
      <c r="B92" s="832" t="s">
        <v>1069</v>
      </c>
      <c r="C92" s="149">
        <f>'Inputs and eligible population'!L103</f>
        <v>13</v>
      </c>
      <c r="D92" s="128">
        <f>(Summary!C$18*'Capacity (local prices)'!$C92*'Inputs and eligible population'!$E$56)/60</f>
        <v>281.19066892905607</v>
      </c>
      <c r="E92" s="128">
        <f>(Summary!D$18*'Capacity (local prices)'!$C92*'Inputs and eligible population'!$E$56)/60</f>
        <v>212.92639141464252</v>
      </c>
      <c r="F92" s="128">
        <f>(Summary!E$18*'Capacity (local prices)'!$C92*'Inputs and eligible population'!$E$56)/60</f>
        <v>143.31959112310113</v>
      </c>
      <c r="G92" s="128">
        <f>(Summary!F$18*'Capacity (local prices)'!$C92*'Inputs and eligible population'!$E$56)/60</f>
        <v>144.70145102651909</v>
      </c>
      <c r="H92" s="128">
        <f>(Summary!G$18*'Capacity (local prices)'!$C92*'Inputs and eligible population'!$E$56)/60</f>
        <v>146.09663455706792</v>
      </c>
      <c r="I92" s="128">
        <f>(Summary!H$18*'Capacity (local prices)'!$C92*'Inputs and eligible population'!$E$56)/60</f>
        <v>147.50527017859514</v>
      </c>
      <c r="J92" s="409"/>
      <c r="K92" s="544">
        <f>'Unit costs'!N$114</f>
        <v>129</v>
      </c>
      <c r="L92" s="546">
        <f t="shared" si="47"/>
        <v>36.273596291848236</v>
      </c>
      <c r="M92" s="546">
        <f t="shared" si="46"/>
        <v>27.467504492488885</v>
      </c>
      <c r="N92" s="546">
        <f t="shared" si="46"/>
        <v>18.488227254880048</v>
      </c>
      <c r="O92" s="546">
        <f t="shared" si="46"/>
        <v>18.666487182420965</v>
      </c>
      <c r="P92" s="546">
        <f t="shared" si="46"/>
        <v>18.846465857861762</v>
      </c>
      <c r="Q92" s="546">
        <f t="shared" si="46"/>
        <v>19.028179853038772</v>
      </c>
      <c r="R92" s="133"/>
      <c r="S92" s="133"/>
      <c r="T92" s="133"/>
      <c r="U92" s="133"/>
      <c r="V92" s="133"/>
      <c r="W92" s="133"/>
      <c r="X92" s="133"/>
      <c r="Y92" s="133"/>
      <c r="Z92" s="133"/>
      <c r="AJ92" s="283"/>
      <c r="AK92" s="283"/>
      <c r="AL92" s="283"/>
      <c r="AM92" s="283"/>
      <c r="AN92" s="283"/>
    </row>
    <row r="93" spans="1:40" x14ac:dyDescent="0.3">
      <c r="A93" s="836"/>
      <c r="B93" s="504"/>
      <c r="C93" s="280"/>
      <c r="D93" s="186">
        <f>SUM(D82:D92)</f>
        <v>281.19066892905607</v>
      </c>
      <c r="E93" s="186">
        <f t="shared" ref="E93:I93" si="48">SUM(E82:E92)</f>
        <v>212.92639141464252</v>
      </c>
      <c r="F93" s="186">
        <f t="shared" si="48"/>
        <v>143.31959112310113</v>
      </c>
      <c r="G93" s="186">
        <f t="shared" si="48"/>
        <v>144.70145102651909</v>
      </c>
      <c r="H93" s="186">
        <f t="shared" si="48"/>
        <v>146.09663455706792</v>
      </c>
      <c r="I93" s="186">
        <f t="shared" si="48"/>
        <v>147.50527017859514</v>
      </c>
      <c r="J93" s="409"/>
      <c r="K93" s="215"/>
      <c r="L93" s="290">
        <f>SUM(L82:L92)</f>
        <v>36.273596291848236</v>
      </c>
      <c r="M93" s="290">
        <f t="shared" ref="M93:Q93" si="49">SUM(M82:M92)</f>
        <v>27.467504492488885</v>
      </c>
      <c r="N93" s="290">
        <f t="shared" si="49"/>
        <v>18.488227254880048</v>
      </c>
      <c r="O93" s="290">
        <f t="shared" si="49"/>
        <v>18.666487182420965</v>
      </c>
      <c r="P93" s="290">
        <f t="shared" si="49"/>
        <v>18.846465857861762</v>
      </c>
      <c r="Q93" s="290">
        <f t="shared" si="49"/>
        <v>19.028179853038772</v>
      </c>
      <c r="R93" s="133"/>
      <c r="S93" s="133"/>
      <c r="T93" s="133"/>
      <c r="U93" s="133"/>
      <c r="V93" s="133"/>
      <c r="W93" s="133"/>
      <c r="X93" s="133"/>
      <c r="Y93" s="133"/>
      <c r="Z93" s="133"/>
      <c r="AJ93" s="283"/>
      <c r="AK93" s="283"/>
      <c r="AL93" s="283"/>
      <c r="AM93" s="283"/>
      <c r="AN93" s="283"/>
    </row>
    <row r="94" spans="1:40" x14ac:dyDescent="0.3">
      <c r="A94" s="836"/>
      <c r="B94" s="255"/>
      <c r="C94" s="255"/>
      <c r="D94" s="282" t="s">
        <v>844</v>
      </c>
      <c r="E94" s="186">
        <f>E93-$D$93</f>
        <v>-68.26427751441355</v>
      </c>
      <c r="F94" s="186">
        <f t="shared" ref="F94:I94" si="50">F93-$D$93</f>
        <v>-137.87107780595494</v>
      </c>
      <c r="G94" s="186">
        <f t="shared" si="50"/>
        <v>-136.48921790253698</v>
      </c>
      <c r="H94" s="186">
        <f t="shared" si="50"/>
        <v>-135.09403437198816</v>
      </c>
      <c r="I94" s="186">
        <f t="shared" si="50"/>
        <v>-133.68539875046093</v>
      </c>
      <c r="J94" s="409"/>
      <c r="K94" s="215"/>
      <c r="L94" s="215"/>
      <c r="M94" s="290">
        <f>M93-$L93</f>
        <v>-8.8060917993593506</v>
      </c>
      <c r="N94" s="290">
        <f t="shared" ref="N94:Q94" si="51">N93-$L93</f>
        <v>-17.785369036968188</v>
      </c>
      <c r="O94" s="290">
        <f t="shared" si="51"/>
        <v>-17.60710910942727</v>
      </c>
      <c r="P94" s="290">
        <f t="shared" si="51"/>
        <v>-17.427130433986473</v>
      </c>
      <c r="Q94" s="290">
        <f t="shared" si="51"/>
        <v>-17.245416438809464</v>
      </c>
      <c r="R94" s="133"/>
      <c r="S94" s="133"/>
      <c r="T94" s="133"/>
      <c r="U94" s="133"/>
      <c r="V94" s="133"/>
      <c r="W94" s="133"/>
      <c r="X94" s="133"/>
      <c r="Y94" s="133"/>
      <c r="Z94" s="133"/>
      <c r="AJ94" s="283"/>
      <c r="AK94" s="283"/>
      <c r="AL94" s="283"/>
      <c r="AM94" s="283"/>
      <c r="AN94" s="283"/>
    </row>
    <row r="95" spans="1:40" ht="30.6" customHeight="1" x14ac:dyDescent="0.3">
      <c r="A95" s="284"/>
      <c r="B95" s="837"/>
      <c r="C95" s="838"/>
      <c r="D95" s="839"/>
      <c r="E95" s="840"/>
      <c r="F95" s="284"/>
      <c r="G95" s="284"/>
      <c r="H95" s="284"/>
      <c r="I95" s="295"/>
      <c r="J95" s="215"/>
      <c r="K95" s="215"/>
      <c r="L95" s="215"/>
      <c r="M95" s="215"/>
      <c r="N95" s="215"/>
      <c r="O95" s="215"/>
      <c r="P95" s="215"/>
      <c r="Q95" s="215"/>
      <c r="R95" s="133"/>
      <c r="S95" s="133"/>
      <c r="T95" s="133"/>
      <c r="U95" s="133"/>
      <c r="V95" s="133"/>
      <c r="W95" s="133"/>
      <c r="X95" s="133"/>
      <c r="Y95" s="133"/>
      <c r="Z95" s="133"/>
      <c r="AJ95" s="283"/>
      <c r="AK95" s="283"/>
      <c r="AL95" s="283"/>
      <c r="AM95" s="283"/>
      <c r="AN95" s="283"/>
    </row>
    <row r="96" spans="1:40" x14ac:dyDescent="0.3">
      <c r="A96" s="284"/>
      <c r="B96" s="308" t="s">
        <v>842</v>
      </c>
      <c r="C96" s="292"/>
      <c r="D96" s="292"/>
      <c r="E96" s="293"/>
      <c r="F96" s="294"/>
      <c r="G96" s="295"/>
      <c r="H96" s="295"/>
      <c r="I96" s="295"/>
      <c r="J96" s="412"/>
      <c r="K96" s="284"/>
      <c r="L96" s="284"/>
      <c r="M96" s="284"/>
      <c r="N96" s="284"/>
      <c r="O96" s="284"/>
      <c r="P96" s="284"/>
      <c r="Q96" s="215"/>
      <c r="V96" s="133"/>
    </row>
    <row r="97" spans="1:40" x14ac:dyDescent="0.3">
      <c r="A97" s="284"/>
      <c r="B97" s="373" t="s">
        <v>1106</v>
      </c>
      <c r="C97" s="374"/>
      <c r="D97" s="374"/>
      <c r="E97" s="374"/>
      <c r="F97" s="374"/>
      <c r="G97" s="374"/>
      <c r="H97" s="374"/>
      <c r="I97" s="214"/>
      <c r="J97" s="409"/>
      <c r="K97" s="215"/>
      <c r="L97" s="215"/>
      <c r="M97" s="215"/>
      <c r="N97" s="215"/>
      <c r="O97" s="215"/>
      <c r="P97" s="215"/>
      <c r="Q97" s="215"/>
      <c r="V97" s="133"/>
    </row>
    <row r="98" spans="1:40" ht="74.55" customHeight="1" x14ac:dyDescent="0.3">
      <c r="A98" s="284"/>
      <c r="B98" s="279" t="s">
        <v>766</v>
      </c>
      <c r="C98" s="166" t="s">
        <v>843</v>
      </c>
      <c r="D98" s="402" t="s">
        <v>831</v>
      </c>
      <c r="E98" s="254" t="s">
        <v>676</v>
      </c>
      <c r="F98" s="254" t="s">
        <v>677</v>
      </c>
      <c r="G98" s="165" t="s">
        <v>803</v>
      </c>
      <c r="H98" s="165" t="s">
        <v>804</v>
      </c>
      <c r="I98" s="254" t="s">
        <v>805</v>
      </c>
      <c r="J98" s="284"/>
      <c r="K98" s="919"/>
      <c r="L98" s="920"/>
      <c r="M98" s="921"/>
      <c r="N98" s="921"/>
      <c r="O98" s="921"/>
      <c r="P98" s="921"/>
      <c r="Q98" s="921"/>
      <c r="V98" s="133"/>
    </row>
    <row r="99" spans="1:40" x14ac:dyDescent="0.3">
      <c r="A99" s="836"/>
      <c r="B99" s="334" t="s">
        <v>1065</v>
      </c>
      <c r="C99" s="149">
        <f>'Inputs and eligible population'!F104</f>
        <v>0</v>
      </c>
      <c r="D99" s="128">
        <f>(Summary!$C$16*'Capacity (local prices)'!$C99*'Inputs and eligible population'!$E$50)/60</f>
        <v>0</v>
      </c>
      <c r="E99" s="128">
        <f>(Summary!$D$16*'Capacity (local prices)'!$C99*'Inputs and eligible population'!$E$50)/60</f>
        <v>0</v>
      </c>
      <c r="F99" s="128">
        <f>(Summary!E$16*'Capacity (local prices)'!$C99*'Inputs and eligible population'!$E$50)/60</f>
        <v>0</v>
      </c>
      <c r="G99" s="128">
        <f>(Summary!F$16*'Capacity (local prices)'!$C99*'Inputs and eligible population'!$E$50)/60</f>
        <v>0</v>
      </c>
      <c r="H99" s="128">
        <f>(Summary!G$16*'Capacity (local prices)'!$C99*'Inputs and eligible population'!$E$50)/60</f>
        <v>0</v>
      </c>
      <c r="I99" s="128">
        <f>(Summary!H$16*'Capacity (local prices)'!$C99*'Inputs and eligible population'!$E$50)/60</f>
        <v>0</v>
      </c>
      <c r="J99" s="409"/>
      <c r="K99" s="922"/>
      <c r="L99" s="923"/>
      <c r="M99" s="923"/>
      <c r="N99" s="923"/>
      <c r="O99" s="923"/>
      <c r="P99" s="923"/>
      <c r="Q99" s="923"/>
      <c r="R99" s="133"/>
      <c r="S99" s="133"/>
      <c r="T99" s="133"/>
      <c r="U99" s="133"/>
      <c r="V99" s="133"/>
      <c r="W99" s="133"/>
      <c r="X99" s="133"/>
      <c r="Y99" s="133"/>
      <c r="Z99" s="133"/>
      <c r="AJ99" s="283"/>
      <c r="AK99" s="283"/>
      <c r="AL99" s="283"/>
      <c r="AM99" s="283"/>
      <c r="AN99" s="283"/>
    </row>
    <row r="100" spans="1:40" x14ac:dyDescent="0.3">
      <c r="A100" s="836"/>
      <c r="B100" s="334" t="s">
        <v>1064</v>
      </c>
      <c r="C100" s="149">
        <f>'Inputs and eligible population'!G104</f>
        <v>0</v>
      </c>
      <c r="D100" s="128">
        <f>(Summary!C$16*'Capacity (local prices)'!$C100*'Inputs and eligible population'!$E$51)/60</f>
        <v>0</v>
      </c>
      <c r="E100" s="128">
        <f>(Summary!D$16*'Capacity (local prices)'!$C100*'Inputs and eligible population'!$E$51)/60</f>
        <v>0</v>
      </c>
      <c r="F100" s="128">
        <f>(Summary!E$16*'Capacity (local prices)'!$C100*'Inputs and eligible population'!$E$51)/60</f>
        <v>0</v>
      </c>
      <c r="G100" s="128">
        <f>(Summary!F$16*'Capacity (local prices)'!$C100*'Inputs and eligible population'!$E$51)/60</f>
        <v>0</v>
      </c>
      <c r="H100" s="128">
        <f>(Summary!G$16*'Capacity (local prices)'!$C100*'Inputs and eligible population'!$E$51)/60</f>
        <v>0</v>
      </c>
      <c r="I100" s="128">
        <f>(Summary!H$16*'Capacity (local prices)'!$C100*'Inputs and eligible population'!$E$51)/60</f>
        <v>0</v>
      </c>
      <c r="J100" s="409"/>
      <c r="K100" s="922"/>
      <c r="L100" s="923"/>
      <c r="M100" s="923"/>
      <c r="N100" s="923"/>
      <c r="O100" s="923"/>
      <c r="P100" s="923"/>
      <c r="Q100" s="923"/>
      <c r="R100" s="133"/>
      <c r="S100" s="133"/>
      <c r="T100" s="133"/>
      <c r="U100" s="133"/>
      <c r="V100" s="133"/>
      <c r="W100" s="133"/>
      <c r="X100" s="133"/>
      <c r="Y100" s="133"/>
      <c r="Z100" s="133"/>
      <c r="AJ100" s="283"/>
      <c r="AK100" s="283"/>
      <c r="AL100" s="283"/>
      <c r="AM100" s="283"/>
      <c r="AN100" s="283"/>
    </row>
    <row r="101" spans="1:40" x14ac:dyDescent="0.3">
      <c r="A101" s="836"/>
      <c r="B101" s="334" t="s">
        <v>1162</v>
      </c>
      <c r="C101" s="149">
        <f>'Inputs and eligible population'!$H$104</f>
        <v>0</v>
      </c>
      <c r="D101" s="128">
        <f>'Inputs and eligible population'!$E$52*'Inputs and eligible population'!$L$84*'Capacity (local prices)'!$C$33</f>
        <v>0</v>
      </c>
      <c r="E101" s="128">
        <f>'Inputs and eligible population'!$E$52*'Inputs and eligible population'!$M$84*'Capacity (local prices)'!$C101</f>
        <v>0</v>
      </c>
      <c r="F101" s="128">
        <f>'Inputs and eligible population'!$E$52*'Inputs and eligible population'!$N$84*'Capacity (local prices)'!$C101</f>
        <v>0</v>
      </c>
      <c r="G101" s="128">
        <f>'Inputs and eligible population'!$E$52*'Inputs and eligible population'!$O$84*'Capacity (local prices)'!$C101</f>
        <v>0</v>
      </c>
      <c r="H101" s="128">
        <f>'Inputs and eligible population'!$E$52*'Inputs and eligible population'!$P$84*'Capacity (local prices)'!$C101</f>
        <v>0</v>
      </c>
      <c r="I101" s="128">
        <f>'Inputs and eligible population'!$E$52*'Inputs and eligible population'!$Q$84*'Capacity (local prices)'!$C101</f>
        <v>0</v>
      </c>
      <c r="J101" s="409"/>
      <c r="K101" s="922"/>
      <c r="L101" s="923"/>
      <c r="M101" s="923"/>
      <c r="N101" s="923"/>
      <c r="O101" s="923"/>
      <c r="P101" s="923"/>
      <c r="Q101" s="923"/>
      <c r="R101" s="133"/>
      <c r="S101" s="133"/>
      <c r="T101" s="133"/>
      <c r="U101" s="133"/>
      <c r="V101" s="133"/>
      <c r="W101" s="133"/>
      <c r="X101" s="133"/>
      <c r="Y101" s="133"/>
      <c r="Z101" s="133"/>
      <c r="AJ101" s="283"/>
      <c r="AK101" s="283"/>
      <c r="AL101" s="283"/>
      <c r="AM101" s="283"/>
      <c r="AN101" s="283"/>
    </row>
    <row r="102" spans="1:40" x14ac:dyDescent="0.3">
      <c r="A102" s="836"/>
      <c r="B102" s="334" t="s">
        <v>1163</v>
      </c>
      <c r="C102" s="149">
        <f>'Inputs and eligible population'!$H$104</f>
        <v>0</v>
      </c>
      <c r="D102" s="128">
        <f>'Inputs and eligible population'!$F$52*'Inputs and eligible population'!$L$84*'Capacity (local prices)'!$C102</f>
        <v>0</v>
      </c>
      <c r="E102" s="128">
        <f>'Inputs and eligible population'!$F$52*'Inputs and eligible population'!$L$84*'Capacity (local prices)'!$C102</f>
        <v>0</v>
      </c>
      <c r="F102" s="128">
        <f>'Inputs and eligible population'!$F$52*'Inputs and eligible population'!$M$84*'Capacity (local prices)'!$C102</f>
        <v>0</v>
      </c>
      <c r="G102" s="128">
        <f>'Inputs and eligible population'!$F$52*'Inputs and eligible population'!$N$84*'Capacity (local prices)'!$C102</f>
        <v>0</v>
      </c>
      <c r="H102" s="128">
        <f>'Inputs and eligible population'!$F$52*'Inputs and eligible population'!$O$84*'Capacity (local prices)'!$C102</f>
        <v>0</v>
      </c>
      <c r="I102" s="128">
        <f>'Inputs and eligible population'!$F$52*'Inputs and eligible population'!$P$84*'Capacity (local prices)'!$C102</f>
        <v>0</v>
      </c>
      <c r="J102" s="409"/>
      <c r="K102" s="922"/>
      <c r="L102" s="923"/>
      <c r="M102" s="923"/>
      <c r="N102" s="923"/>
      <c r="O102" s="923"/>
      <c r="P102" s="923"/>
      <c r="Q102" s="923"/>
      <c r="R102" s="133"/>
      <c r="S102" s="133"/>
      <c r="T102" s="133"/>
      <c r="U102" s="133"/>
      <c r="V102" s="133"/>
      <c r="W102" s="133"/>
      <c r="X102" s="133"/>
      <c r="Y102" s="133"/>
      <c r="Z102" s="133"/>
      <c r="AJ102" s="283"/>
      <c r="AK102" s="283"/>
      <c r="AL102" s="283"/>
      <c r="AM102" s="283"/>
      <c r="AN102" s="283"/>
    </row>
    <row r="103" spans="1:40" x14ac:dyDescent="0.3">
      <c r="A103" s="836"/>
      <c r="B103" s="334" t="s">
        <v>1164</v>
      </c>
      <c r="C103" s="149">
        <f>'Inputs and eligible population'!$H$104</f>
        <v>0</v>
      </c>
      <c r="D103" s="128">
        <f>'Inputs and eligible population'!$G$52*'Inputs and eligible population'!$L$84*'Capacity (local prices)'!$C103</f>
        <v>0</v>
      </c>
      <c r="E103" s="128">
        <f>'Inputs and eligible population'!$G$52*'Inputs and eligible population'!$L$84*'Capacity (local prices)'!$C103</f>
        <v>0</v>
      </c>
      <c r="F103" s="128">
        <f>'Inputs and eligible population'!$G$52*'Inputs and eligible population'!$L$84*'Capacity (local prices)'!$C103</f>
        <v>0</v>
      </c>
      <c r="G103" s="128">
        <f>'Inputs and eligible population'!$G$52*'Inputs and eligible population'!$M$84*'Capacity (local prices)'!$C103</f>
        <v>0</v>
      </c>
      <c r="H103" s="128">
        <f>'Inputs and eligible population'!$G$52*'Inputs and eligible population'!$N$84*'Capacity (local prices)'!$C103</f>
        <v>0</v>
      </c>
      <c r="I103" s="128">
        <f>'Inputs and eligible population'!$G$52*'Inputs and eligible population'!$O$84*'Capacity (local prices)'!$C103</f>
        <v>0</v>
      </c>
      <c r="J103" s="409"/>
      <c r="K103" s="922"/>
      <c r="L103" s="923"/>
      <c r="M103" s="923"/>
      <c r="N103" s="923"/>
      <c r="O103" s="923"/>
      <c r="P103" s="923"/>
      <c r="Q103" s="923"/>
      <c r="R103" s="133"/>
      <c r="S103" s="133"/>
      <c r="T103" s="133"/>
      <c r="U103" s="133"/>
      <c r="V103" s="133"/>
      <c r="W103" s="133"/>
      <c r="X103" s="133"/>
      <c r="Y103" s="133"/>
      <c r="Z103" s="133"/>
      <c r="AJ103" s="283"/>
      <c r="AK103" s="283"/>
      <c r="AL103" s="283"/>
      <c r="AM103" s="283"/>
      <c r="AN103" s="283"/>
    </row>
    <row r="104" spans="1:40" x14ac:dyDescent="0.3">
      <c r="A104" s="836"/>
      <c r="B104" s="334" t="s">
        <v>1066</v>
      </c>
      <c r="C104" s="149">
        <f>'Inputs and eligible population'!I104</f>
        <v>0</v>
      </c>
      <c r="D104" s="128">
        <f>('Financial impact (cash)'!D$15*$C104*'Inputs and eligible population'!$E$53)/60</f>
        <v>0</v>
      </c>
      <c r="E104" s="128">
        <f>('Financial impact (cash)'!E$15*$C104*'Inputs and eligible population'!$E$53)/60</f>
        <v>0</v>
      </c>
      <c r="F104" s="128">
        <f>('Financial impact (cash)'!F$15*$C104*'Inputs and eligible population'!$E$53)/60</f>
        <v>0</v>
      </c>
      <c r="G104" s="128">
        <f>('Financial impact (cash)'!G$15*$C104*'Inputs and eligible population'!$E$53)/60</f>
        <v>0</v>
      </c>
      <c r="H104" s="128">
        <f>('Financial impact (cash)'!H$15*$C104*'Inputs and eligible population'!$E$53)/60</f>
        <v>0</v>
      </c>
      <c r="I104" s="128">
        <f>('Financial impact (cash)'!I$15*$C104*'Inputs and eligible population'!$E$53)/60</f>
        <v>0</v>
      </c>
      <c r="J104" s="409"/>
      <c r="K104" s="922"/>
      <c r="L104" s="923"/>
      <c r="M104" s="923"/>
      <c r="N104" s="923"/>
      <c r="O104" s="923"/>
      <c r="P104" s="923"/>
      <c r="Q104" s="923"/>
      <c r="R104" s="133"/>
      <c r="S104" s="133"/>
      <c r="T104" s="133"/>
      <c r="U104" s="133"/>
      <c r="V104" s="133"/>
      <c r="W104" s="133"/>
      <c r="X104" s="133"/>
      <c r="Y104" s="133"/>
      <c r="Z104" s="133"/>
      <c r="AJ104" s="283"/>
      <c r="AK104" s="283"/>
      <c r="AL104" s="283"/>
      <c r="AM104" s="283"/>
      <c r="AN104" s="283"/>
    </row>
    <row r="105" spans="1:40" x14ac:dyDescent="0.3">
      <c r="A105" s="836"/>
      <c r="B105" s="334" t="s">
        <v>1067</v>
      </c>
      <c r="C105" s="149">
        <f>'Inputs and eligible population'!J104</f>
        <v>0</v>
      </c>
      <c r="D105" s="128">
        <f>('Financial impact (cash)'!D$15*$C105*'Inputs and eligible population'!$E$54)/60</f>
        <v>0</v>
      </c>
      <c r="E105" s="128">
        <f>('Financial impact (cash)'!E$15*$C105*'Inputs and eligible population'!$E$54)/60</f>
        <v>0</v>
      </c>
      <c r="F105" s="128">
        <f>('Financial impact (cash)'!F$15*$C105*'Inputs and eligible population'!$E$54)/60</f>
        <v>0</v>
      </c>
      <c r="G105" s="128">
        <f>('Financial impact (cash)'!G$15*$C105*'Inputs and eligible population'!$E$54)/60</f>
        <v>0</v>
      </c>
      <c r="H105" s="128">
        <f>('Financial impact (cash)'!H$15*$C105*'Inputs and eligible population'!$E$54)/60</f>
        <v>0</v>
      </c>
      <c r="I105" s="128">
        <f>('Financial impact (cash)'!I$15*$C105*'Inputs and eligible population'!$E$54)/60</f>
        <v>0</v>
      </c>
      <c r="J105" s="409"/>
      <c r="K105" s="922"/>
      <c r="L105" s="923"/>
      <c r="M105" s="923"/>
      <c r="N105" s="923"/>
      <c r="O105" s="923"/>
      <c r="P105" s="923"/>
      <c r="Q105" s="923"/>
      <c r="R105" s="133"/>
      <c r="S105" s="133"/>
      <c r="T105" s="133"/>
      <c r="U105" s="133"/>
      <c r="V105" s="133"/>
      <c r="W105" s="133"/>
      <c r="X105" s="133"/>
      <c r="Y105" s="133"/>
      <c r="Z105" s="133"/>
      <c r="AJ105" s="283"/>
      <c r="AK105" s="283"/>
      <c r="AL105" s="283"/>
      <c r="AM105" s="283"/>
      <c r="AN105" s="283"/>
    </row>
    <row r="106" spans="1:40" x14ac:dyDescent="0.3">
      <c r="A106" s="836"/>
      <c r="B106" s="334" t="s">
        <v>1165</v>
      </c>
      <c r="C106" s="149">
        <f>'Inputs and eligible population'!$K$104</f>
        <v>0</v>
      </c>
      <c r="D106" s="128">
        <f>Summary!$C$17*'Capacity (local prices)'!$C106*'Inputs and eligible population'!$E$55</f>
        <v>0</v>
      </c>
      <c r="E106" s="128">
        <f>(Summary!$D$17*'Capacity (local prices)'!$C106*'Inputs and eligible population'!$E$55)</f>
        <v>0</v>
      </c>
      <c r="F106" s="128">
        <f>(Summary!$E$17*'Capacity (local prices)'!$C106*'Inputs and eligible population'!$E$55)</f>
        <v>0</v>
      </c>
      <c r="G106" s="128">
        <f>(Summary!$F$17*'Capacity (local prices)'!$C106*'Inputs and eligible population'!$E$55)</f>
        <v>0</v>
      </c>
      <c r="H106" s="128">
        <f>(Summary!$G$17*'Capacity (local prices)'!$C106*'Inputs and eligible population'!$E$55)</f>
        <v>0</v>
      </c>
      <c r="I106" s="128">
        <f>(Summary!$H$17*'Capacity (local prices)'!$C106*'Inputs and eligible population'!$E$55)</f>
        <v>0</v>
      </c>
      <c r="J106" s="409"/>
      <c r="K106" s="922"/>
      <c r="L106" s="923"/>
      <c r="M106" s="923"/>
      <c r="N106" s="923"/>
      <c r="O106" s="923"/>
      <c r="P106" s="923"/>
      <c r="Q106" s="923"/>
      <c r="R106" s="133"/>
      <c r="S106" s="133"/>
      <c r="T106" s="133"/>
      <c r="U106" s="133"/>
      <c r="V106" s="133"/>
      <c r="W106" s="133"/>
      <c r="X106" s="133"/>
      <c r="Y106" s="133"/>
      <c r="Z106" s="133"/>
      <c r="AJ106" s="283"/>
      <c r="AK106" s="283"/>
      <c r="AL106" s="283"/>
      <c r="AM106" s="283"/>
      <c r="AN106" s="283"/>
    </row>
    <row r="107" spans="1:40" x14ac:dyDescent="0.3">
      <c r="A107" s="836"/>
      <c r="B107" s="334" t="s">
        <v>1166</v>
      </c>
      <c r="C107" s="149">
        <f>'Inputs and eligible population'!$K$104</f>
        <v>0</v>
      </c>
      <c r="D107" s="128">
        <f>Summary!$C$17*'Capacity (local prices)'!$C106*'Inputs and eligible population'!$F$55</f>
        <v>0</v>
      </c>
      <c r="E107" s="128">
        <f>Summary!$C$17*'Capacity (local prices)'!$C106*'Inputs and eligible population'!$F$55</f>
        <v>0</v>
      </c>
      <c r="F107" s="128">
        <f>(Summary!$D$17*'Capacity (local prices)'!$C106*'Inputs and eligible population'!$F$55)</f>
        <v>0</v>
      </c>
      <c r="G107" s="128">
        <f>(Summary!$E$17*'Capacity (local prices)'!$C106*'Inputs and eligible population'!$F$55)</f>
        <v>0</v>
      </c>
      <c r="H107" s="128">
        <f>(Summary!$F$17*'Capacity (local prices)'!$C106*'Inputs and eligible population'!$F$55)</f>
        <v>0</v>
      </c>
      <c r="I107" s="128">
        <f>(Summary!$G$17*'Capacity (local prices)'!$C106*'Inputs and eligible population'!$F$55)</f>
        <v>0</v>
      </c>
      <c r="J107" s="409"/>
      <c r="K107" s="922"/>
      <c r="L107" s="923"/>
      <c r="M107" s="923"/>
      <c r="N107" s="923"/>
      <c r="O107" s="923"/>
      <c r="P107" s="923"/>
      <c r="Q107" s="923"/>
      <c r="R107" s="133"/>
      <c r="S107" s="133"/>
      <c r="T107" s="133"/>
      <c r="U107" s="133"/>
      <c r="V107" s="133"/>
      <c r="W107" s="133"/>
      <c r="X107" s="133"/>
      <c r="Y107" s="133"/>
      <c r="Z107" s="133"/>
      <c r="AJ107" s="283"/>
      <c r="AK107" s="283"/>
      <c r="AL107" s="283"/>
      <c r="AM107" s="283"/>
      <c r="AN107" s="283"/>
    </row>
    <row r="108" spans="1:40" x14ac:dyDescent="0.3">
      <c r="A108" s="836"/>
      <c r="B108" s="334" t="s">
        <v>1167</v>
      </c>
      <c r="C108" s="149">
        <f>'Inputs and eligible population'!$K$104</f>
        <v>0</v>
      </c>
      <c r="D108" s="128">
        <f>Summary!$C$17*'Capacity (local prices)'!$C106*'Inputs and eligible population'!$G$55</f>
        <v>0</v>
      </c>
      <c r="E108" s="128">
        <f>Summary!$C$17*'Capacity (local prices)'!$C106*'Inputs and eligible population'!$G$55</f>
        <v>0</v>
      </c>
      <c r="F108" s="128">
        <f>Summary!$C$17*'Capacity (local prices)'!$C106*'Inputs and eligible population'!$G$55</f>
        <v>0</v>
      </c>
      <c r="G108" s="128">
        <f>(Summary!$D$17*'Capacity (local prices)'!$C106*'Inputs and eligible population'!$G$55)</f>
        <v>0</v>
      </c>
      <c r="H108" s="128">
        <f>(Summary!$E$17*'Capacity (local prices)'!$C106*'Inputs and eligible population'!$G$55)</f>
        <v>0</v>
      </c>
      <c r="I108" s="128">
        <f>(Summary!$F$17*'Capacity (local prices)'!$C106*'Inputs and eligible population'!$G$55)</f>
        <v>0</v>
      </c>
      <c r="J108" s="409"/>
      <c r="K108" s="922"/>
      <c r="L108" s="923"/>
      <c r="M108" s="923"/>
      <c r="N108" s="923"/>
      <c r="O108" s="923"/>
      <c r="P108" s="923"/>
      <c r="Q108" s="923"/>
      <c r="R108" s="133"/>
      <c r="S108" s="133"/>
      <c r="T108" s="133"/>
      <c r="U108" s="133"/>
      <c r="V108" s="133"/>
      <c r="W108" s="133"/>
      <c r="X108" s="133"/>
      <c r="Y108" s="133"/>
      <c r="Z108" s="133"/>
      <c r="AJ108" s="283"/>
      <c r="AK108" s="283"/>
      <c r="AL108" s="283"/>
      <c r="AM108" s="283"/>
      <c r="AN108" s="283"/>
    </row>
    <row r="109" spans="1:40" x14ac:dyDescent="0.3">
      <c r="A109" s="836"/>
      <c r="B109" s="832" t="s">
        <v>1069</v>
      </c>
      <c r="C109" s="149">
        <f>'Inputs and eligible population'!L104</f>
        <v>0</v>
      </c>
      <c r="D109" s="128">
        <f>(Summary!C$18*'Capacity (local prices)'!$C109*'Inputs and eligible population'!$E$56)/60</f>
        <v>0</v>
      </c>
      <c r="E109" s="128">
        <f>(Summary!D$18*'Capacity (local prices)'!$C109*'Inputs and eligible population'!$E$56)/60</f>
        <v>0</v>
      </c>
      <c r="F109" s="128">
        <f>(Summary!E$18*'Capacity (local prices)'!$C109*'Inputs and eligible population'!$E$56)/60</f>
        <v>0</v>
      </c>
      <c r="G109" s="128">
        <f>(Summary!F$18*'Capacity (local prices)'!$C109*'Inputs and eligible population'!$E$56)/60</f>
        <v>0</v>
      </c>
      <c r="H109" s="128">
        <f>(Summary!G$18*'Capacity (local prices)'!$C109*'Inputs and eligible population'!$E$56)/60</f>
        <v>0</v>
      </c>
      <c r="I109" s="128">
        <f>(Summary!H$18*'Capacity (local prices)'!$C109*'Inputs and eligible population'!$E$56)/60</f>
        <v>0</v>
      </c>
      <c r="J109" s="409"/>
      <c r="K109" s="922"/>
      <c r="L109" s="923"/>
      <c r="M109" s="923"/>
      <c r="N109" s="923"/>
      <c r="O109" s="923"/>
      <c r="P109" s="923"/>
      <c r="Q109" s="923"/>
      <c r="R109" s="133"/>
      <c r="S109" s="133"/>
      <c r="T109" s="133"/>
      <c r="U109" s="133"/>
      <c r="V109" s="133"/>
      <c r="W109" s="133"/>
      <c r="X109" s="133"/>
      <c r="Y109" s="133"/>
      <c r="Z109" s="133"/>
      <c r="AJ109" s="283"/>
      <c r="AK109" s="283"/>
      <c r="AL109" s="283"/>
      <c r="AM109" s="283"/>
      <c r="AN109" s="283"/>
    </row>
    <row r="110" spans="1:40" x14ac:dyDescent="0.3">
      <c r="A110" s="836"/>
      <c r="B110" s="504"/>
      <c r="C110" s="280"/>
      <c r="D110" s="186">
        <f>SUM(D99:D109)</f>
        <v>0</v>
      </c>
      <c r="E110" s="186">
        <f t="shared" ref="E110:I110" si="52">SUM(E99:E109)</f>
        <v>0</v>
      </c>
      <c r="F110" s="186">
        <f t="shared" si="52"/>
        <v>0</v>
      </c>
      <c r="G110" s="186">
        <f t="shared" si="52"/>
        <v>0</v>
      </c>
      <c r="H110" s="186">
        <f t="shared" si="52"/>
        <v>0</v>
      </c>
      <c r="I110" s="186">
        <f t="shared" si="52"/>
        <v>0</v>
      </c>
      <c r="J110" s="409"/>
      <c r="K110" s="215"/>
      <c r="L110" s="924"/>
      <c r="M110" s="925"/>
      <c r="N110" s="925"/>
      <c r="O110" s="925"/>
      <c r="P110" s="925"/>
      <c r="Q110" s="925"/>
      <c r="R110" s="133"/>
      <c r="S110" s="133"/>
      <c r="T110" s="133"/>
      <c r="U110" s="133"/>
      <c r="V110" s="133"/>
      <c r="W110" s="133"/>
      <c r="X110" s="133"/>
      <c r="Y110" s="133"/>
      <c r="Z110" s="133"/>
      <c r="AJ110" s="283"/>
      <c r="AK110" s="283"/>
      <c r="AL110" s="283"/>
      <c r="AM110" s="283"/>
      <c r="AN110" s="283"/>
    </row>
    <row r="111" spans="1:40" x14ac:dyDescent="0.3">
      <c r="A111" s="836"/>
      <c r="B111" s="255"/>
      <c r="C111" s="255"/>
      <c r="D111" s="282" t="s">
        <v>844</v>
      </c>
      <c r="E111" s="186">
        <f>E110-$D$110</f>
        <v>0</v>
      </c>
      <c r="F111" s="186">
        <f t="shared" ref="F111:I111" si="53">F110-$D$110</f>
        <v>0</v>
      </c>
      <c r="G111" s="186">
        <f t="shared" si="53"/>
        <v>0</v>
      </c>
      <c r="H111" s="186">
        <f t="shared" si="53"/>
        <v>0</v>
      </c>
      <c r="I111" s="186">
        <f t="shared" si="53"/>
        <v>0</v>
      </c>
      <c r="J111" s="409"/>
      <c r="K111" s="215"/>
      <c r="L111" s="215"/>
      <c r="M111" s="925"/>
      <c r="N111" s="925"/>
      <c r="O111" s="925"/>
      <c r="P111" s="925"/>
      <c r="Q111" s="925"/>
      <c r="R111" s="133"/>
      <c r="S111" s="133"/>
      <c r="T111" s="133"/>
      <c r="U111" s="133"/>
      <c r="V111" s="133"/>
      <c r="W111" s="133"/>
      <c r="X111" s="133"/>
      <c r="Y111" s="133"/>
      <c r="Z111" s="133"/>
      <c r="AJ111" s="283"/>
      <c r="AK111" s="283"/>
      <c r="AL111" s="283"/>
      <c r="AM111" s="283"/>
      <c r="AN111" s="283"/>
    </row>
    <row r="112" spans="1:40" ht="30.6" customHeight="1" x14ac:dyDescent="0.3">
      <c r="A112" s="284"/>
      <c r="B112" s="837"/>
      <c r="C112" s="838"/>
      <c r="D112" s="839"/>
      <c r="E112" s="840"/>
      <c r="F112" s="284"/>
      <c r="G112" s="284"/>
      <c r="H112" s="284"/>
      <c r="I112" s="295"/>
      <c r="J112" s="215"/>
      <c r="K112" s="215"/>
      <c r="L112" s="215"/>
      <c r="M112" s="215"/>
      <c r="N112" s="215"/>
      <c r="O112" s="215"/>
      <c r="P112" s="215"/>
      <c r="Q112" s="215"/>
      <c r="R112" s="133"/>
      <c r="S112" s="133"/>
      <c r="T112" s="133"/>
      <c r="U112" s="133"/>
      <c r="V112" s="133"/>
      <c r="W112" s="133"/>
      <c r="X112" s="133"/>
      <c r="Y112" s="133"/>
      <c r="Z112" s="133"/>
      <c r="AJ112" s="283"/>
      <c r="AK112" s="283"/>
      <c r="AL112" s="283"/>
      <c r="AM112" s="283"/>
      <c r="AN112" s="283"/>
    </row>
    <row r="113" spans="1:40" x14ac:dyDescent="0.3">
      <c r="A113" s="284"/>
      <c r="B113" s="308" t="s">
        <v>842</v>
      </c>
      <c r="C113" s="292"/>
      <c r="D113" s="292"/>
      <c r="E113" s="293"/>
      <c r="F113" s="294"/>
      <c r="G113" s="295"/>
      <c r="H113" s="295"/>
      <c r="I113" s="295"/>
      <c r="J113" s="412"/>
      <c r="K113" s="284"/>
      <c r="L113" s="284"/>
      <c r="M113" s="284"/>
      <c r="N113" s="284"/>
      <c r="O113" s="284"/>
      <c r="P113" s="284"/>
      <c r="Q113" s="215"/>
      <c r="V113" s="133"/>
    </row>
    <row r="114" spans="1:40" x14ac:dyDescent="0.3">
      <c r="A114" s="284"/>
      <c r="B114" s="373" t="s">
        <v>1146</v>
      </c>
      <c r="C114" s="374"/>
      <c r="D114" s="374"/>
      <c r="E114" s="374"/>
      <c r="F114" s="374"/>
      <c r="G114" s="374"/>
      <c r="H114" s="374"/>
      <c r="I114" s="214"/>
      <c r="J114" s="409"/>
      <c r="K114" s="215"/>
      <c r="L114" s="215"/>
      <c r="M114" s="215"/>
      <c r="N114" s="215"/>
      <c r="O114" s="215"/>
      <c r="P114" s="215"/>
      <c r="Q114" s="215"/>
      <c r="V114" s="133"/>
    </row>
    <row r="115" spans="1:40" ht="74.55" customHeight="1" x14ac:dyDescent="0.3">
      <c r="A115" s="284"/>
      <c r="B115" s="279" t="s">
        <v>766</v>
      </c>
      <c r="C115" s="166" t="s">
        <v>843</v>
      </c>
      <c r="D115" s="402" t="s">
        <v>831</v>
      </c>
      <c r="E115" s="254" t="s">
        <v>676</v>
      </c>
      <c r="F115" s="254" t="s">
        <v>677</v>
      </c>
      <c r="G115" s="165" t="s">
        <v>803</v>
      </c>
      <c r="H115" s="165" t="s">
        <v>804</v>
      </c>
      <c r="I115" s="254" t="s">
        <v>805</v>
      </c>
      <c r="J115" s="284"/>
      <c r="K115" s="919"/>
      <c r="L115" s="920"/>
      <c r="M115" s="921"/>
      <c r="N115" s="921"/>
      <c r="O115" s="921"/>
      <c r="P115" s="921"/>
      <c r="Q115" s="921"/>
      <c r="V115" s="133"/>
    </row>
    <row r="116" spans="1:40" x14ac:dyDescent="0.3">
      <c r="A116" s="836"/>
      <c r="B116" s="334" t="s">
        <v>1065</v>
      </c>
      <c r="C116" s="149">
        <f>'Inputs and eligible population'!F105</f>
        <v>0</v>
      </c>
      <c r="D116" s="128">
        <f>(Summary!$C$16*'Capacity (local prices)'!$C116*'Inputs and eligible population'!$E$50)/60</f>
        <v>0</v>
      </c>
      <c r="E116" s="128">
        <f>(Summary!$D$16*'Capacity (local prices)'!$C116*'Inputs and eligible population'!$E$50)/60</f>
        <v>0</v>
      </c>
      <c r="F116" s="128">
        <f>(Summary!E$16*'Capacity (local prices)'!$C116*'Inputs and eligible population'!$E$50)/60</f>
        <v>0</v>
      </c>
      <c r="G116" s="128">
        <f>(Summary!F$16*'Capacity (local prices)'!$C116*'Inputs and eligible population'!$E$50)/60</f>
        <v>0</v>
      </c>
      <c r="H116" s="128">
        <f>(Summary!G$16*'Capacity (local prices)'!$C116*'Inputs and eligible population'!$E$50)/60</f>
        <v>0</v>
      </c>
      <c r="I116" s="128">
        <f>(Summary!H$16*'Capacity (local prices)'!$C116*'Inputs and eligible population'!$E$50)/60</f>
        <v>0</v>
      </c>
      <c r="J116" s="409"/>
      <c r="K116" s="922"/>
      <c r="L116" s="923"/>
      <c r="M116" s="923"/>
      <c r="N116" s="923"/>
      <c r="O116" s="923"/>
      <c r="P116" s="923"/>
      <c r="Q116" s="923"/>
      <c r="R116" s="133"/>
      <c r="S116" s="133"/>
      <c r="T116" s="133"/>
      <c r="U116" s="133"/>
      <c r="V116" s="133"/>
      <c r="W116" s="133"/>
      <c r="X116" s="133"/>
      <c r="Y116" s="133"/>
      <c r="Z116" s="133"/>
      <c r="AJ116" s="283"/>
      <c r="AK116" s="283"/>
      <c r="AL116" s="283"/>
      <c r="AM116" s="283"/>
      <c r="AN116" s="283"/>
    </row>
    <row r="117" spans="1:40" x14ac:dyDescent="0.3">
      <c r="A117" s="836"/>
      <c r="B117" s="334" t="s">
        <v>1064</v>
      </c>
      <c r="C117" s="149">
        <f>'Inputs and eligible population'!G105</f>
        <v>0</v>
      </c>
      <c r="D117" s="128">
        <f>(Summary!C$16*'Capacity (local prices)'!$C117*'Inputs and eligible population'!$E$51)/60</f>
        <v>0</v>
      </c>
      <c r="E117" s="128">
        <f>(Summary!D$16*'Capacity (local prices)'!$C117*'Inputs and eligible population'!$E$51)/60</f>
        <v>0</v>
      </c>
      <c r="F117" s="128">
        <f>(Summary!E$16*'Capacity (local prices)'!$C117*'Inputs and eligible population'!$E$51)/60</f>
        <v>0</v>
      </c>
      <c r="G117" s="128">
        <f>(Summary!F$16*'Capacity (local prices)'!$C117*'Inputs and eligible population'!$E$51)/60</f>
        <v>0</v>
      </c>
      <c r="H117" s="128">
        <f>(Summary!G$16*'Capacity (local prices)'!$C117*'Inputs and eligible population'!$E$51)/60</f>
        <v>0</v>
      </c>
      <c r="I117" s="128">
        <f>(Summary!H$16*'Capacity (local prices)'!$C117*'Inputs and eligible population'!$E$51)/60</f>
        <v>0</v>
      </c>
      <c r="J117" s="409"/>
      <c r="K117" s="922"/>
      <c r="L117" s="923"/>
      <c r="M117" s="923"/>
      <c r="N117" s="923"/>
      <c r="O117" s="923"/>
      <c r="P117" s="923"/>
      <c r="Q117" s="923"/>
      <c r="R117" s="133"/>
      <c r="S117" s="133"/>
      <c r="T117" s="133"/>
      <c r="U117" s="133"/>
      <c r="V117" s="133"/>
      <c r="W117" s="133"/>
      <c r="X117" s="133"/>
      <c r="Y117" s="133"/>
      <c r="Z117" s="133"/>
      <c r="AJ117" s="283"/>
      <c r="AK117" s="283"/>
      <c r="AL117" s="283"/>
      <c r="AM117" s="283"/>
      <c r="AN117" s="283"/>
    </row>
    <row r="118" spans="1:40" x14ac:dyDescent="0.3">
      <c r="A118" s="836"/>
      <c r="B118" s="334" t="s">
        <v>1162</v>
      </c>
      <c r="C118" s="149">
        <f>'Inputs and eligible population'!$H$105</f>
        <v>0</v>
      </c>
      <c r="D118" s="128">
        <f>'Inputs and eligible population'!$E$52*'Inputs and eligible population'!$L$84*'Capacity (local prices)'!$C$33</f>
        <v>0</v>
      </c>
      <c r="E118" s="128">
        <f>'Inputs and eligible population'!$E$52*'Inputs and eligible population'!$M$84*'Capacity (local prices)'!$C118</f>
        <v>0</v>
      </c>
      <c r="F118" s="128">
        <f>'Inputs and eligible population'!$E$52*'Inputs and eligible population'!$N$84*'Capacity (local prices)'!$C118</f>
        <v>0</v>
      </c>
      <c r="G118" s="128">
        <f>'Inputs and eligible population'!$E$52*'Inputs and eligible population'!$O$84*'Capacity (local prices)'!$C118</f>
        <v>0</v>
      </c>
      <c r="H118" s="128">
        <f>'Inputs and eligible population'!$E$52*'Inputs and eligible population'!$P$84*'Capacity (local prices)'!$C118</f>
        <v>0</v>
      </c>
      <c r="I118" s="128">
        <f>'Inputs and eligible population'!$E$52*'Inputs and eligible population'!$Q$84*'Capacity (local prices)'!$C118</f>
        <v>0</v>
      </c>
      <c r="J118" s="409"/>
      <c r="K118" s="922"/>
      <c r="L118" s="923"/>
      <c r="M118" s="923"/>
      <c r="N118" s="923"/>
      <c r="O118" s="923"/>
      <c r="P118" s="923"/>
      <c r="Q118" s="923"/>
      <c r="R118" s="133"/>
      <c r="S118" s="133"/>
      <c r="T118" s="133"/>
      <c r="U118" s="133"/>
      <c r="V118" s="133"/>
      <c r="W118" s="133"/>
      <c r="X118" s="133"/>
      <c r="Y118" s="133"/>
      <c r="Z118" s="133"/>
      <c r="AJ118" s="283"/>
      <c r="AK118" s="283"/>
      <c r="AL118" s="283"/>
      <c r="AM118" s="283"/>
      <c r="AN118" s="283"/>
    </row>
    <row r="119" spans="1:40" x14ac:dyDescent="0.3">
      <c r="A119" s="836"/>
      <c r="B119" s="334" t="s">
        <v>1163</v>
      </c>
      <c r="C119" s="149">
        <f>'Inputs and eligible population'!$H$105</f>
        <v>0</v>
      </c>
      <c r="D119" s="128">
        <f>'Inputs and eligible population'!$F$52*'Inputs and eligible population'!$L$84*'Capacity (local prices)'!$C119</f>
        <v>0</v>
      </c>
      <c r="E119" s="128">
        <f>'Inputs and eligible population'!$F$52*'Inputs and eligible population'!$L$84*'Capacity (local prices)'!$C119</f>
        <v>0</v>
      </c>
      <c r="F119" s="128">
        <f>'Inputs and eligible population'!$F$52*'Inputs and eligible population'!$M$84*'Capacity (local prices)'!$C119</f>
        <v>0</v>
      </c>
      <c r="G119" s="128">
        <f>'Inputs and eligible population'!$F$52*'Inputs and eligible population'!$N$84*'Capacity (local prices)'!$C119</f>
        <v>0</v>
      </c>
      <c r="H119" s="128">
        <f>'Inputs and eligible population'!$F$52*'Inputs and eligible population'!$O$84*'Capacity (local prices)'!$C119</f>
        <v>0</v>
      </c>
      <c r="I119" s="128">
        <f>'Inputs and eligible population'!$F$52*'Inputs and eligible population'!$P$84*'Capacity (local prices)'!$C119</f>
        <v>0</v>
      </c>
      <c r="J119" s="409"/>
      <c r="K119" s="922"/>
      <c r="L119" s="923"/>
      <c r="M119" s="923"/>
      <c r="N119" s="923"/>
      <c r="O119" s="923"/>
      <c r="P119" s="923"/>
      <c r="Q119" s="923"/>
      <c r="R119" s="133"/>
      <c r="S119" s="133"/>
      <c r="T119" s="133"/>
      <c r="U119" s="133"/>
      <c r="V119" s="133"/>
      <c r="W119" s="133"/>
      <c r="X119" s="133"/>
      <c r="Y119" s="133"/>
      <c r="Z119" s="133"/>
      <c r="AJ119" s="283"/>
      <c r="AK119" s="283"/>
      <c r="AL119" s="283"/>
      <c r="AM119" s="283"/>
      <c r="AN119" s="283"/>
    </row>
    <row r="120" spans="1:40" x14ac:dyDescent="0.3">
      <c r="A120" s="836"/>
      <c r="B120" s="334" t="s">
        <v>1164</v>
      </c>
      <c r="C120" s="149">
        <f>'Inputs and eligible population'!$H$105</f>
        <v>0</v>
      </c>
      <c r="D120" s="128">
        <f>'Inputs and eligible population'!$G$52*'Inputs and eligible population'!$L$84*'Capacity (local prices)'!$C120</f>
        <v>0</v>
      </c>
      <c r="E120" s="128">
        <f>'Inputs and eligible population'!$G$52*'Inputs and eligible population'!$L$84*'Capacity (local prices)'!$C120</f>
        <v>0</v>
      </c>
      <c r="F120" s="128">
        <f>'Inputs and eligible population'!$G$52*'Inputs and eligible population'!$L$84*'Capacity (local prices)'!$C120</f>
        <v>0</v>
      </c>
      <c r="G120" s="128">
        <f>'Inputs and eligible population'!$G$52*'Inputs and eligible population'!$M$84*'Capacity (local prices)'!$C120</f>
        <v>0</v>
      </c>
      <c r="H120" s="128">
        <f>'Inputs and eligible population'!$G$52*'Inputs and eligible population'!$N$84*'Capacity (local prices)'!$C120</f>
        <v>0</v>
      </c>
      <c r="I120" s="128">
        <f>'Inputs and eligible population'!$G$52*'Inputs and eligible population'!$O$84*'Capacity (local prices)'!$C120</f>
        <v>0</v>
      </c>
      <c r="J120" s="409"/>
      <c r="K120" s="922"/>
      <c r="L120" s="923"/>
      <c r="M120" s="923"/>
      <c r="N120" s="923"/>
      <c r="O120" s="923"/>
      <c r="P120" s="923"/>
      <c r="Q120" s="923"/>
      <c r="R120" s="133"/>
      <c r="S120" s="133"/>
      <c r="T120" s="133"/>
      <c r="U120" s="133"/>
      <c r="V120" s="133"/>
      <c r="W120" s="133"/>
      <c r="X120" s="133"/>
      <c r="Y120" s="133"/>
      <c r="Z120" s="133"/>
      <c r="AJ120" s="283"/>
      <c r="AK120" s="283"/>
      <c r="AL120" s="283"/>
      <c r="AM120" s="283"/>
      <c r="AN120" s="283"/>
    </row>
    <row r="121" spans="1:40" x14ac:dyDescent="0.3">
      <c r="A121" s="836"/>
      <c r="B121" s="334" t="s">
        <v>1066</v>
      </c>
      <c r="C121" s="149">
        <f>'Inputs and eligible population'!I105</f>
        <v>0</v>
      </c>
      <c r="D121" s="128">
        <f>('Financial impact (cash)'!D$15*$C121*'Inputs and eligible population'!$E$53)/60</f>
        <v>0</v>
      </c>
      <c r="E121" s="128">
        <f>('Financial impact (cash)'!E$15*$C121*'Inputs and eligible population'!$E$53)/60</f>
        <v>0</v>
      </c>
      <c r="F121" s="128">
        <f>('Financial impact (cash)'!F$15*$C121*'Inputs and eligible population'!$E$53)/60</f>
        <v>0</v>
      </c>
      <c r="G121" s="128">
        <f>('Financial impact (cash)'!G$15*$C121*'Inputs and eligible population'!$E$53)/60</f>
        <v>0</v>
      </c>
      <c r="H121" s="128">
        <f>('Financial impact (cash)'!H$15*$C121*'Inputs and eligible population'!$E$53)/60</f>
        <v>0</v>
      </c>
      <c r="I121" s="128">
        <f>('Financial impact (cash)'!I$15*$C121*'Inputs and eligible population'!$E$53)/60</f>
        <v>0</v>
      </c>
      <c r="J121" s="409"/>
      <c r="K121" s="922"/>
      <c r="L121" s="923"/>
      <c r="M121" s="923"/>
      <c r="N121" s="923"/>
      <c r="O121" s="923"/>
      <c r="P121" s="923"/>
      <c r="Q121" s="923"/>
      <c r="R121" s="133"/>
      <c r="S121" s="133"/>
      <c r="T121" s="133"/>
      <c r="U121" s="133"/>
      <c r="V121" s="133"/>
      <c r="W121" s="133"/>
      <c r="X121" s="133"/>
      <c r="Y121" s="133"/>
      <c r="Z121" s="133"/>
      <c r="AJ121" s="283"/>
      <c r="AK121" s="283"/>
      <c r="AL121" s="283"/>
      <c r="AM121" s="283"/>
      <c r="AN121" s="283"/>
    </row>
    <row r="122" spans="1:40" x14ac:dyDescent="0.3">
      <c r="A122" s="836"/>
      <c r="B122" s="334" t="s">
        <v>1067</v>
      </c>
      <c r="C122" s="149">
        <f>'Inputs and eligible population'!J105</f>
        <v>0</v>
      </c>
      <c r="D122" s="128">
        <f>('Financial impact (cash)'!D$15*$C122*'Inputs and eligible population'!$E$54)/60</f>
        <v>0</v>
      </c>
      <c r="E122" s="128">
        <f>('Financial impact (cash)'!E$15*$C122*'Inputs and eligible population'!$E$54)/60</f>
        <v>0</v>
      </c>
      <c r="F122" s="128">
        <f>('Financial impact (cash)'!F$15*$C122*'Inputs and eligible population'!$E$54)/60</f>
        <v>0</v>
      </c>
      <c r="G122" s="128">
        <f>('Financial impact (cash)'!G$15*$C122*'Inputs and eligible population'!$E$54)/60</f>
        <v>0</v>
      </c>
      <c r="H122" s="128">
        <f>('Financial impact (cash)'!H$15*$C122*'Inputs and eligible population'!$E$54)/60</f>
        <v>0</v>
      </c>
      <c r="I122" s="128">
        <f>('Financial impact (cash)'!I$15*$C122*'Inputs and eligible population'!$E$54)/60</f>
        <v>0</v>
      </c>
      <c r="J122" s="409"/>
      <c r="K122" s="922"/>
      <c r="L122" s="923"/>
      <c r="M122" s="923"/>
      <c r="N122" s="923"/>
      <c r="O122" s="923"/>
      <c r="P122" s="923"/>
      <c r="Q122" s="923"/>
      <c r="R122" s="133"/>
      <c r="S122" s="133"/>
      <c r="T122" s="133"/>
      <c r="U122" s="133"/>
      <c r="V122" s="133"/>
      <c r="W122" s="133"/>
      <c r="X122" s="133"/>
      <c r="Y122" s="133"/>
      <c r="Z122" s="133"/>
      <c r="AJ122" s="283"/>
      <c r="AK122" s="283"/>
      <c r="AL122" s="283"/>
      <c r="AM122" s="283"/>
      <c r="AN122" s="283"/>
    </row>
    <row r="123" spans="1:40" x14ac:dyDescent="0.3">
      <c r="A123" s="836"/>
      <c r="B123" s="334" t="s">
        <v>1165</v>
      </c>
      <c r="C123" s="149">
        <f>'Inputs and eligible population'!$K$105</f>
        <v>0</v>
      </c>
      <c r="D123" s="128">
        <f>Summary!$C$17*'Capacity (local prices)'!$C123*'Inputs and eligible population'!$E$55</f>
        <v>0</v>
      </c>
      <c r="E123" s="128">
        <f>(Summary!$D$17*'Capacity (local prices)'!$C123*'Inputs and eligible population'!$E$55)</f>
        <v>0</v>
      </c>
      <c r="F123" s="128">
        <f>(Summary!$E$17*'Capacity (local prices)'!$C123*'Inputs and eligible population'!$E$55)</f>
        <v>0</v>
      </c>
      <c r="G123" s="128">
        <f>(Summary!$F$17*'Capacity (local prices)'!$C123*'Inputs and eligible population'!$E$55)</f>
        <v>0</v>
      </c>
      <c r="H123" s="128">
        <f>(Summary!$G$17*'Capacity (local prices)'!$C123*'Inputs and eligible population'!$E$55)</f>
        <v>0</v>
      </c>
      <c r="I123" s="128">
        <f>(Summary!$H$17*'Capacity (local prices)'!$C123*'Inputs and eligible population'!$E$55)</f>
        <v>0</v>
      </c>
      <c r="J123" s="409"/>
      <c r="K123" s="922"/>
      <c r="L123" s="923"/>
      <c r="M123" s="923"/>
      <c r="N123" s="923"/>
      <c r="O123" s="923"/>
      <c r="P123" s="923"/>
      <c r="Q123" s="923"/>
      <c r="R123" s="133"/>
      <c r="S123" s="133"/>
      <c r="T123" s="133"/>
      <c r="U123" s="133"/>
      <c r="V123" s="133"/>
      <c r="W123" s="133"/>
      <c r="X123" s="133"/>
      <c r="Y123" s="133"/>
      <c r="Z123" s="133"/>
      <c r="AJ123" s="283"/>
      <c r="AK123" s="283"/>
      <c r="AL123" s="283"/>
      <c r="AM123" s="283"/>
      <c r="AN123" s="283"/>
    </row>
    <row r="124" spans="1:40" x14ac:dyDescent="0.3">
      <c r="A124" s="836"/>
      <c r="B124" s="334" t="s">
        <v>1166</v>
      </c>
      <c r="C124" s="149">
        <f>'Inputs and eligible population'!$K$105</f>
        <v>0</v>
      </c>
      <c r="D124" s="128">
        <f>Summary!$C$17*'Capacity (local prices)'!$C123*'Inputs and eligible population'!$F$55</f>
        <v>0</v>
      </c>
      <c r="E124" s="128">
        <f>Summary!$C$17*'Capacity (local prices)'!$C123*'Inputs and eligible population'!$F$55</f>
        <v>0</v>
      </c>
      <c r="F124" s="128">
        <f>(Summary!$D$17*'Capacity (local prices)'!$C123*'Inputs and eligible population'!$F$55)</f>
        <v>0</v>
      </c>
      <c r="G124" s="128">
        <f>(Summary!$E$17*'Capacity (local prices)'!$C123*'Inputs and eligible population'!$F$55)</f>
        <v>0</v>
      </c>
      <c r="H124" s="128">
        <f>(Summary!$F$17*'Capacity (local prices)'!$C123*'Inputs and eligible population'!$F$55)</f>
        <v>0</v>
      </c>
      <c r="I124" s="128">
        <f>(Summary!$G$17*'Capacity (local prices)'!$C123*'Inputs and eligible population'!$F$55)</f>
        <v>0</v>
      </c>
      <c r="J124" s="409"/>
      <c r="K124" s="922"/>
      <c r="L124" s="923"/>
      <c r="M124" s="923"/>
      <c r="N124" s="923"/>
      <c r="O124" s="923"/>
      <c r="P124" s="923"/>
      <c r="Q124" s="923"/>
      <c r="R124" s="133"/>
      <c r="S124" s="133"/>
      <c r="T124" s="133"/>
      <c r="U124" s="133"/>
      <c r="V124" s="133"/>
      <c r="W124" s="133"/>
      <c r="X124" s="133"/>
      <c r="Y124" s="133"/>
      <c r="Z124" s="133"/>
      <c r="AJ124" s="283"/>
      <c r="AK124" s="283"/>
      <c r="AL124" s="283"/>
      <c r="AM124" s="283"/>
      <c r="AN124" s="283"/>
    </row>
    <row r="125" spans="1:40" x14ac:dyDescent="0.3">
      <c r="A125" s="836"/>
      <c r="B125" s="334" t="s">
        <v>1167</v>
      </c>
      <c r="C125" s="149">
        <f>'Inputs and eligible population'!$K$105</f>
        <v>0</v>
      </c>
      <c r="D125" s="128">
        <f>Summary!$C$17*'Capacity (local prices)'!$C123*'Inputs and eligible population'!$G$55</f>
        <v>0</v>
      </c>
      <c r="E125" s="128">
        <f>Summary!$C$17*'Capacity (local prices)'!$C123*'Inputs and eligible population'!$G$55</f>
        <v>0</v>
      </c>
      <c r="F125" s="128">
        <f>Summary!$C$17*'Capacity (local prices)'!$C123*'Inputs and eligible population'!$G$55</f>
        <v>0</v>
      </c>
      <c r="G125" s="128">
        <f>(Summary!$D$17*'Capacity (local prices)'!$C123*'Inputs and eligible population'!$G$55)</f>
        <v>0</v>
      </c>
      <c r="H125" s="128">
        <f>(Summary!$E$17*'Capacity (local prices)'!$C123*'Inputs and eligible population'!$G$55)</f>
        <v>0</v>
      </c>
      <c r="I125" s="128">
        <f>(Summary!$F$17*'Capacity (local prices)'!$C123*'Inputs and eligible population'!$G$55)</f>
        <v>0</v>
      </c>
      <c r="J125" s="409"/>
      <c r="K125" s="922"/>
      <c r="L125" s="923"/>
      <c r="M125" s="923"/>
      <c r="N125" s="923"/>
      <c r="O125" s="923"/>
      <c r="P125" s="923"/>
      <c r="Q125" s="923"/>
      <c r="R125" s="133"/>
      <c r="S125" s="133"/>
      <c r="T125" s="133"/>
      <c r="U125" s="133"/>
      <c r="V125" s="133"/>
      <c r="W125" s="133"/>
      <c r="X125" s="133"/>
      <c r="Y125" s="133"/>
      <c r="Z125" s="133"/>
      <c r="AJ125" s="283"/>
      <c r="AK125" s="283"/>
      <c r="AL125" s="283"/>
      <c r="AM125" s="283"/>
      <c r="AN125" s="283"/>
    </row>
    <row r="126" spans="1:40" x14ac:dyDescent="0.3">
      <c r="A126" s="836"/>
      <c r="B126" s="832" t="s">
        <v>1069</v>
      </c>
      <c r="C126" s="149">
        <f>'Inputs and eligible population'!L105</f>
        <v>0</v>
      </c>
      <c r="D126" s="128">
        <f>(Summary!C$18*'Capacity (local prices)'!$C126*'Inputs and eligible population'!$E$56)/60</f>
        <v>0</v>
      </c>
      <c r="E126" s="128">
        <f>(Summary!D$18*'Capacity (local prices)'!$C126*'Inputs and eligible population'!$E$56)/60</f>
        <v>0</v>
      </c>
      <c r="F126" s="128">
        <f>(Summary!E$18*'Capacity (local prices)'!$C126*'Inputs and eligible population'!$E$56)/60</f>
        <v>0</v>
      </c>
      <c r="G126" s="128">
        <f>(Summary!F$18*'Capacity (local prices)'!$C126*'Inputs and eligible population'!$E$56)/60</f>
        <v>0</v>
      </c>
      <c r="H126" s="128">
        <f>(Summary!G$18*'Capacity (local prices)'!$C126*'Inputs and eligible population'!$E$56)/60</f>
        <v>0</v>
      </c>
      <c r="I126" s="128">
        <f>(Summary!H$18*'Capacity (local prices)'!$C126*'Inputs and eligible population'!$E$56)/60</f>
        <v>0</v>
      </c>
      <c r="J126" s="409"/>
      <c r="K126" s="922"/>
      <c r="L126" s="923"/>
      <c r="M126" s="923"/>
      <c r="N126" s="923"/>
      <c r="O126" s="923"/>
      <c r="P126" s="923"/>
      <c r="Q126" s="923"/>
      <c r="R126" s="133"/>
      <c r="S126" s="133"/>
      <c r="T126" s="133"/>
      <c r="U126" s="133"/>
      <c r="V126" s="133"/>
      <c r="W126" s="133"/>
      <c r="X126" s="133"/>
      <c r="Y126" s="133"/>
      <c r="Z126" s="133"/>
      <c r="AJ126" s="283"/>
      <c r="AK126" s="283"/>
      <c r="AL126" s="283"/>
      <c r="AM126" s="283"/>
      <c r="AN126" s="283"/>
    </row>
    <row r="127" spans="1:40" x14ac:dyDescent="0.3">
      <c r="A127" s="836"/>
      <c r="B127" s="504"/>
      <c r="C127" s="280"/>
      <c r="D127" s="186">
        <f>SUM(D116:D126)</f>
        <v>0</v>
      </c>
      <c r="E127" s="186">
        <f t="shared" ref="E127:I127" si="54">SUM(E116:E126)</f>
        <v>0</v>
      </c>
      <c r="F127" s="186">
        <f t="shared" si="54"/>
        <v>0</v>
      </c>
      <c r="G127" s="186">
        <f t="shared" si="54"/>
        <v>0</v>
      </c>
      <c r="H127" s="186">
        <f t="shared" si="54"/>
        <v>0</v>
      </c>
      <c r="I127" s="186">
        <f t="shared" si="54"/>
        <v>0</v>
      </c>
      <c r="J127" s="409"/>
      <c r="K127" s="215"/>
      <c r="L127" s="924"/>
      <c r="M127" s="925"/>
      <c r="N127" s="925"/>
      <c r="O127" s="925"/>
      <c r="P127" s="925"/>
      <c r="Q127" s="925"/>
      <c r="R127" s="133"/>
      <c r="S127" s="133"/>
      <c r="T127" s="133"/>
      <c r="U127" s="133"/>
      <c r="V127" s="133"/>
      <c r="W127" s="133"/>
      <c r="X127" s="133"/>
      <c r="Y127" s="133"/>
      <c r="Z127" s="133"/>
      <c r="AJ127" s="283"/>
      <c r="AK127" s="283"/>
      <c r="AL127" s="283"/>
      <c r="AM127" s="283"/>
      <c r="AN127" s="283"/>
    </row>
    <row r="128" spans="1:40" x14ac:dyDescent="0.3">
      <c r="A128" s="836"/>
      <c r="B128" s="255"/>
      <c r="C128" s="255"/>
      <c r="D128" s="282" t="s">
        <v>844</v>
      </c>
      <c r="E128" s="186">
        <f>E127-$D$127</f>
        <v>0</v>
      </c>
      <c r="F128" s="186">
        <f t="shared" ref="F128:I128" si="55">F127-$D$127</f>
        <v>0</v>
      </c>
      <c r="G128" s="186">
        <f t="shared" si="55"/>
        <v>0</v>
      </c>
      <c r="H128" s="186">
        <f t="shared" si="55"/>
        <v>0</v>
      </c>
      <c r="I128" s="186">
        <f t="shared" si="55"/>
        <v>0</v>
      </c>
      <c r="J128" s="409"/>
      <c r="K128" s="215"/>
      <c r="L128" s="215"/>
      <c r="M128" s="925"/>
      <c r="N128" s="925"/>
      <c r="O128" s="925"/>
      <c r="P128" s="925"/>
      <c r="Q128" s="925"/>
      <c r="R128" s="133"/>
      <c r="S128" s="133"/>
      <c r="T128" s="133"/>
      <c r="U128" s="133"/>
      <c r="V128" s="133"/>
      <c r="W128" s="133"/>
      <c r="X128" s="133"/>
      <c r="Y128" s="133"/>
      <c r="Z128" s="133"/>
      <c r="AJ128" s="283"/>
      <c r="AK128" s="283"/>
      <c r="AL128" s="283"/>
      <c r="AM128" s="283"/>
      <c r="AN128" s="283"/>
    </row>
    <row r="129" spans="1:40" ht="30.6" customHeight="1" x14ac:dyDescent="0.3">
      <c r="A129" s="284"/>
      <c r="B129" s="837"/>
      <c r="C129" s="838"/>
      <c r="D129" s="839"/>
      <c r="E129" s="840"/>
      <c r="F129" s="284"/>
      <c r="G129" s="284"/>
      <c r="H129" s="284"/>
      <c r="I129" s="295"/>
      <c r="J129" s="215"/>
      <c r="K129" s="215"/>
      <c r="L129" s="215"/>
      <c r="M129" s="215"/>
      <c r="N129" s="215"/>
      <c r="O129" s="215"/>
      <c r="P129" s="215"/>
      <c r="Q129" s="215"/>
      <c r="R129" s="133"/>
      <c r="S129" s="133"/>
      <c r="T129" s="133"/>
      <c r="U129" s="133"/>
      <c r="V129" s="133"/>
      <c r="W129" s="133"/>
      <c r="X129" s="133"/>
      <c r="Y129" s="133"/>
      <c r="Z129" s="133"/>
      <c r="AJ129" s="283"/>
      <c r="AK129" s="283"/>
      <c r="AL129" s="283"/>
      <c r="AM129" s="283"/>
      <c r="AN129" s="283"/>
    </row>
    <row r="130" spans="1:40" x14ac:dyDescent="0.3">
      <c r="A130" s="696"/>
      <c r="B130" s="702" t="s">
        <v>845</v>
      </c>
      <c r="C130" s="697"/>
      <c r="D130" s="698"/>
      <c r="E130" s="697"/>
      <c r="F130" s="699"/>
      <c r="G130" s="700"/>
      <c r="H130" s="700"/>
      <c r="I130" s="701"/>
      <c r="J130" s="696"/>
      <c r="K130" s="696"/>
      <c r="L130" s="696"/>
      <c r="M130" s="696"/>
      <c r="N130" s="696"/>
      <c r="O130" s="696"/>
      <c r="P130" s="696"/>
      <c r="Q130" s="696"/>
      <c r="R130" s="133"/>
      <c r="S130" s="133"/>
      <c r="T130" s="133"/>
      <c r="U130" s="133"/>
      <c r="V130" s="133"/>
      <c r="W130" s="133"/>
      <c r="X130" s="133"/>
      <c r="Y130" s="133"/>
      <c r="Z130" s="133"/>
      <c r="AJ130" s="283"/>
      <c r="AK130" s="283"/>
      <c r="AL130" s="283"/>
      <c r="AM130" s="283"/>
      <c r="AN130" s="283"/>
    </row>
    <row r="131" spans="1:40" x14ac:dyDescent="0.3">
      <c r="A131" s="286"/>
      <c r="B131" s="375" t="s">
        <v>910</v>
      </c>
      <c r="C131" s="376"/>
      <c r="D131" s="376"/>
      <c r="E131" s="376"/>
      <c r="F131" s="376"/>
      <c r="G131" s="376"/>
      <c r="H131" s="376"/>
      <c r="I131" s="218"/>
      <c r="J131" s="286"/>
      <c r="K131" s="286"/>
      <c r="L131" s="286"/>
      <c r="M131" s="286"/>
      <c r="N131" s="286"/>
      <c r="O131" s="286"/>
      <c r="P131" s="286"/>
      <c r="Q131" s="286"/>
      <c r="V131" s="133"/>
    </row>
    <row r="132" spans="1:40" ht="43.2" x14ac:dyDescent="0.3">
      <c r="A132" s="286"/>
      <c r="B132" s="276" t="s">
        <v>766</v>
      </c>
      <c r="C132" s="166" t="s">
        <v>911</v>
      </c>
      <c r="D132" s="402" t="s">
        <v>831</v>
      </c>
      <c r="E132" s="254" t="s">
        <v>676</v>
      </c>
      <c r="F132" s="254" t="s">
        <v>677</v>
      </c>
      <c r="G132" s="165" t="s">
        <v>803</v>
      </c>
      <c r="H132" s="165" t="s">
        <v>804</v>
      </c>
      <c r="I132" s="254" t="s">
        <v>805</v>
      </c>
      <c r="J132" s="286"/>
      <c r="K132" s="531" t="s">
        <v>840</v>
      </c>
      <c r="L132" s="402" t="s">
        <v>831</v>
      </c>
      <c r="M132" s="254" t="s">
        <v>676</v>
      </c>
      <c r="N132" s="254" t="s">
        <v>677</v>
      </c>
      <c r="O132" s="165" t="s">
        <v>803</v>
      </c>
      <c r="P132" s="165" t="s">
        <v>804</v>
      </c>
      <c r="Q132" s="254" t="s">
        <v>805</v>
      </c>
      <c r="V132" s="133"/>
    </row>
    <row r="133" spans="1:40" x14ac:dyDescent="0.3">
      <c r="A133" s="841"/>
      <c r="B133" s="334" t="s">
        <v>1065</v>
      </c>
      <c r="C133" s="149">
        <f>'Inputs and eligible population'!F106</f>
        <v>75</v>
      </c>
      <c r="D133" s="128">
        <f>(Summary!$C$16*'Capacity (local prices)'!$C133*'Inputs and eligible population'!$E$50)/60</f>
        <v>0</v>
      </c>
      <c r="E133" s="128">
        <f>(Summary!$D$16*'Capacity (local prices)'!$C133*'Inputs and eligible population'!$E$50)/60</f>
        <v>0</v>
      </c>
      <c r="F133" s="128">
        <f>(Summary!E$16*'Capacity (local prices)'!$C133*'Inputs and eligible population'!$E$50)/60</f>
        <v>0</v>
      </c>
      <c r="G133" s="128">
        <f>(Summary!F$16*'Capacity (local prices)'!$C133*'Inputs and eligible population'!$E$50)/60</f>
        <v>0</v>
      </c>
      <c r="H133" s="128">
        <f>(Summary!G$16*'Capacity (local prices)'!$C133*'Inputs and eligible population'!$E$50)/60</f>
        <v>0</v>
      </c>
      <c r="I133" s="128">
        <f>(Summary!H$16*'Capacity (local prices)'!$C133*'Inputs and eligible population'!$E$50)/60</f>
        <v>0</v>
      </c>
      <c r="J133" s="842"/>
      <c r="K133" s="544">
        <f>'Unit costs'!N$96</f>
        <v>134</v>
      </c>
      <c r="L133" s="546">
        <f>$K133/1000*D133</f>
        <v>0</v>
      </c>
      <c r="M133" s="546">
        <f t="shared" ref="M133:Q143" si="56">$K133/1000*E133</f>
        <v>0</v>
      </c>
      <c r="N133" s="546">
        <f t="shared" si="56"/>
        <v>0</v>
      </c>
      <c r="O133" s="546">
        <f t="shared" si="56"/>
        <v>0</v>
      </c>
      <c r="P133" s="546">
        <f t="shared" si="56"/>
        <v>0</v>
      </c>
      <c r="Q133" s="546">
        <f t="shared" si="56"/>
        <v>0</v>
      </c>
      <c r="R133" s="133"/>
      <c r="S133" s="133"/>
      <c r="T133" s="133"/>
      <c r="U133" s="133"/>
      <c r="V133" s="133"/>
      <c r="W133" s="133"/>
      <c r="X133" s="133"/>
      <c r="Y133" s="133"/>
      <c r="Z133" s="133"/>
      <c r="AJ133" s="283"/>
      <c r="AK133" s="283"/>
      <c r="AL133" s="283"/>
      <c r="AM133" s="283"/>
      <c r="AN133" s="283"/>
    </row>
    <row r="134" spans="1:40" x14ac:dyDescent="0.3">
      <c r="A134" s="841"/>
      <c r="B134" s="334" t="s">
        <v>1064</v>
      </c>
      <c r="C134" s="149">
        <f>'Inputs and eligible population'!G106</f>
        <v>2</v>
      </c>
      <c r="D134" s="128">
        <f>(Summary!C$16*'Capacity (local prices)'!$C134*'Inputs and eligible population'!$E$51)/60</f>
        <v>0</v>
      </c>
      <c r="E134" s="128">
        <f>(Summary!D$16*'Capacity (local prices)'!$C134*'Inputs and eligible population'!$E$51)/60</f>
        <v>0</v>
      </c>
      <c r="F134" s="128">
        <f>(Summary!E$16*'Capacity (local prices)'!$C134*'Inputs and eligible population'!$E$51)/60</f>
        <v>0</v>
      </c>
      <c r="G134" s="128">
        <f>(Summary!F$16*'Capacity (local prices)'!$C134*'Inputs and eligible population'!$E$51)/60</f>
        <v>0</v>
      </c>
      <c r="H134" s="128">
        <f>(Summary!G$16*'Capacity (local prices)'!$C134*'Inputs and eligible population'!$E$51)/60</f>
        <v>0</v>
      </c>
      <c r="I134" s="128">
        <f>(Summary!H$16*'Capacity (local prices)'!$C134*'Inputs and eligible population'!$E$51)/60</f>
        <v>0</v>
      </c>
      <c r="J134" s="842"/>
      <c r="K134" s="544">
        <f>'Unit costs'!N$96</f>
        <v>134</v>
      </c>
      <c r="L134" s="546">
        <f t="shared" ref="L134:L143" si="57">$K134/1000*D134</f>
        <v>0</v>
      </c>
      <c r="M134" s="546">
        <f t="shared" si="56"/>
        <v>0</v>
      </c>
      <c r="N134" s="546">
        <f t="shared" si="56"/>
        <v>0</v>
      </c>
      <c r="O134" s="546">
        <f t="shared" si="56"/>
        <v>0</v>
      </c>
      <c r="P134" s="546">
        <f t="shared" si="56"/>
        <v>0</v>
      </c>
      <c r="Q134" s="546">
        <f t="shared" si="56"/>
        <v>0</v>
      </c>
      <c r="R134" s="133"/>
      <c r="S134" s="133"/>
      <c r="T134" s="133"/>
      <c r="U134" s="133"/>
      <c r="V134" s="133"/>
      <c r="W134" s="133"/>
      <c r="X134" s="133"/>
      <c r="Y134" s="133"/>
      <c r="Z134" s="133"/>
      <c r="AJ134" s="283"/>
      <c r="AK134" s="283"/>
      <c r="AL134" s="283"/>
      <c r="AM134" s="283"/>
      <c r="AN134" s="283"/>
    </row>
    <row r="135" spans="1:40" x14ac:dyDescent="0.3">
      <c r="A135" s="841"/>
      <c r="B135" s="334" t="s">
        <v>1162</v>
      </c>
      <c r="C135" s="149">
        <f>'Inputs and eligible population'!$H$106</f>
        <v>2</v>
      </c>
      <c r="D135" s="128">
        <f>'Inputs and eligible population'!$E$52*'Inputs and eligible population'!$L$84*'Capacity (local prices)'!$C$33</f>
        <v>0</v>
      </c>
      <c r="E135" s="128">
        <f>'Inputs and eligible population'!$E$52*'Inputs and eligible population'!$M$84*'Capacity (local prices)'!$C135</f>
        <v>0</v>
      </c>
      <c r="F135" s="128">
        <f>'Inputs and eligible population'!$E$52*'Inputs and eligible population'!$N$84*'Capacity (local prices)'!$C135</f>
        <v>0</v>
      </c>
      <c r="G135" s="128">
        <f>'Inputs and eligible population'!$E$52*'Inputs and eligible population'!$O$84*'Capacity (local prices)'!$C135</f>
        <v>0</v>
      </c>
      <c r="H135" s="128">
        <f>'Inputs and eligible population'!$E$52*'Inputs and eligible population'!$P$84*'Capacity (local prices)'!$C135</f>
        <v>0</v>
      </c>
      <c r="I135" s="128">
        <f>'Inputs and eligible population'!$E$52*'Inputs and eligible population'!$Q$84*'Capacity (local prices)'!$C135</f>
        <v>0</v>
      </c>
      <c r="J135" s="842"/>
      <c r="K135" s="544">
        <f>'Unit costs'!N$96</f>
        <v>134</v>
      </c>
      <c r="L135" s="546">
        <f t="shared" si="57"/>
        <v>0</v>
      </c>
      <c r="M135" s="546">
        <f t="shared" si="56"/>
        <v>0</v>
      </c>
      <c r="N135" s="546">
        <f t="shared" si="56"/>
        <v>0</v>
      </c>
      <c r="O135" s="546">
        <f t="shared" si="56"/>
        <v>0</v>
      </c>
      <c r="P135" s="546">
        <f t="shared" si="56"/>
        <v>0</v>
      </c>
      <c r="Q135" s="546">
        <f t="shared" si="56"/>
        <v>0</v>
      </c>
      <c r="R135" s="133"/>
      <c r="S135" s="133"/>
      <c r="T135" s="133"/>
      <c r="U135" s="133"/>
      <c r="V135" s="133"/>
      <c r="W135" s="133"/>
      <c r="X135" s="133"/>
      <c r="Y135" s="133"/>
      <c r="Z135" s="133"/>
      <c r="AJ135" s="283"/>
      <c r="AK135" s="283"/>
      <c r="AL135" s="283"/>
      <c r="AM135" s="283"/>
      <c r="AN135" s="283"/>
    </row>
    <row r="136" spans="1:40" x14ac:dyDescent="0.3">
      <c r="A136" s="841"/>
      <c r="B136" s="334" t="s">
        <v>1163</v>
      </c>
      <c r="C136" s="149">
        <f>'Inputs and eligible population'!$H$106</f>
        <v>2</v>
      </c>
      <c r="D136" s="128">
        <f>'Inputs and eligible population'!$F$52*'Inputs and eligible population'!$L$84*'Capacity (local prices)'!$C136</f>
        <v>0</v>
      </c>
      <c r="E136" s="128">
        <f>'Inputs and eligible population'!$F$52*'Inputs and eligible population'!$L$84*'Capacity (local prices)'!$C136</f>
        <v>0</v>
      </c>
      <c r="F136" s="128">
        <f>'Inputs and eligible population'!$F$52*'Inputs and eligible population'!$M$84*'Capacity (local prices)'!$C136</f>
        <v>0</v>
      </c>
      <c r="G136" s="128">
        <f>'Inputs and eligible population'!$F$52*'Inputs and eligible population'!$N$84*'Capacity (local prices)'!$C136</f>
        <v>0</v>
      </c>
      <c r="H136" s="128">
        <f>'Inputs and eligible population'!$F$52*'Inputs and eligible population'!$O$84*'Capacity (local prices)'!$C136</f>
        <v>0</v>
      </c>
      <c r="I136" s="128">
        <f>'Inputs and eligible population'!$F$52*'Inputs and eligible population'!$P$84*'Capacity (local prices)'!$C136</f>
        <v>0</v>
      </c>
      <c r="J136" s="842"/>
      <c r="K136" s="544">
        <f>'Unit costs'!N$96</f>
        <v>134</v>
      </c>
      <c r="L136" s="546">
        <f t="shared" si="57"/>
        <v>0</v>
      </c>
      <c r="M136" s="546">
        <f t="shared" si="56"/>
        <v>0</v>
      </c>
      <c r="N136" s="546">
        <f t="shared" si="56"/>
        <v>0</v>
      </c>
      <c r="O136" s="546">
        <f t="shared" si="56"/>
        <v>0</v>
      </c>
      <c r="P136" s="546">
        <f t="shared" si="56"/>
        <v>0</v>
      </c>
      <c r="Q136" s="546">
        <f t="shared" si="56"/>
        <v>0</v>
      </c>
      <c r="R136" s="133"/>
      <c r="S136" s="133"/>
      <c r="T136" s="133"/>
      <c r="U136" s="133"/>
      <c r="V136" s="133"/>
      <c r="W136" s="133"/>
      <c r="X136" s="133"/>
      <c r="Y136" s="133"/>
      <c r="Z136" s="133"/>
      <c r="AJ136" s="283"/>
      <c r="AK136" s="283"/>
      <c r="AL136" s="283"/>
      <c r="AM136" s="283"/>
      <c r="AN136" s="283"/>
    </row>
    <row r="137" spans="1:40" x14ac:dyDescent="0.3">
      <c r="A137" s="841"/>
      <c r="B137" s="334" t="s">
        <v>1164</v>
      </c>
      <c r="C137" s="149">
        <f>'Inputs and eligible population'!$H$106</f>
        <v>2</v>
      </c>
      <c r="D137" s="128">
        <f>'Inputs and eligible population'!$G$52*'Inputs and eligible population'!$L$84*'Capacity (local prices)'!$C137</f>
        <v>0</v>
      </c>
      <c r="E137" s="128">
        <f>'Inputs and eligible population'!$G$52*'Inputs and eligible population'!$L$84*'Capacity (local prices)'!$C137</f>
        <v>0</v>
      </c>
      <c r="F137" s="128">
        <f>'Inputs and eligible population'!$G$52*'Inputs and eligible population'!$L$84*'Capacity (local prices)'!$C137</f>
        <v>0</v>
      </c>
      <c r="G137" s="128">
        <f>'Inputs and eligible population'!$G$52*'Inputs and eligible population'!$M$84*'Capacity (local prices)'!$C137</f>
        <v>0</v>
      </c>
      <c r="H137" s="128">
        <f>'Inputs and eligible population'!$G$52*'Inputs and eligible population'!$N$84*'Capacity (local prices)'!$C137</f>
        <v>0</v>
      </c>
      <c r="I137" s="128">
        <f>'Inputs and eligible population'!$G$52*'Inputs and eligible population'!$O$84*'Capacity (local prices)'!$C137</f>
        <v>0</v>
      </c>
      <c r="J137" s="842"/>
      <c r="K137" s="544">
        <f>'Unit costs'!N$96</f>
        <v>134</v>
      </c>
      <c r="L137" s="546">
        <f t="shared" si="57"/>
        <v>0</v>
      </c>
      <c r="M137" s="546">
        <f t="shared" si="56"/>
        <v>0</v>
      </c>
      <c r="N137" s="546">
        <f t="shared" si="56"/>
        <v>0</v>
      </c>
      <c r="O137" s="546">
        <f t="shared" si="56"/>
        <v>0</v>
      </c>
      <c r="P137" s="546">
        <f t="shared" si="56"/>
        <v>0</v>
      </c>
      <c r="Q137" s="546">
        <f t="shared" si="56"/>
        <v>0</v>
      </c>
      <c r="R137" s="133"/>
      <c r="S137" s="133"/>
      <c r="T137" s="133"/>
      <c r="U137" s="133"/>
      <c r="V137" s="133"/>
      <c r="W137" s="133"/>
      <c r="X137" s="133"/>
      <c r="Y137" s="133"/>
      <c r="Z137" s="133"/>
      <c r="AJ137" s="283"/>
      <c r="AK137" s="283"/>
      <c r="AL137" s="283"/>
      <c r="AM137" s="283"/>
      <c r="AN137" s="283"/>
    </row>
    <row r="138" spans="1:40" x14ac:dyDescent="0.3">
      <c r="A138" s="841"/>
      <c r="B138" s="334" t="s">
        <v>1066</v>
      </c>
      <c r="C138" s="149">
        <f>'Inputs and eligible population'!I106</f>
        <v>75</v>
      </c>
      <c r="D138" s="128">
        <f>('Financial impact (cash)'!D$15*$C138*'Inputs and eligible population'!$E$53)/60</f>
        <v>0</v>
      </c>
      <c r="E138" s="128">
        <f>('Financial impact (cash)'!E$15*$C138*'Inputs and eligible population'!$E$53)/60</f>
        <v>0</v>
      </c>
      <c r="F138" s="128">
        <f>('Financial impact (cash)'!F$15*$C138*'Inputs and eligible population'!$E$53)/60</f>
        <v>0</v>
      </c>
      <c r="G138" s="128">
        <f>('Financial impact (cash)'!G$15*$C138*'Inputs and eligible population'!$E$53)/60</f>
        <v>0</v>
      </c>
      <c r="H138" s="128">
        <f>('Financial impact (cash)'!H$15*$C138*'Inputs and eligible population'!$E$53)/60</f>
        <v>0</v>
      </c>
      <c r="I138" s="128">
        <f>('Financial impact (cash)'!I$15*$C138*'Inputs and eligible population'!$E$53)/60</f>
        <v>0</v>
      </c>
      <c r="J138" s="842"/>
      <c r="K138" s="544">
        <f>'Unit costs'!N$96</f>
        <v>134</v>
      </c>
      <c r="L138" s="546">
        <f t="shared" si="57"/>
        <v>0</v>
      </c>
      <c r="M138" s="546">
        <f t="shared" si="56"/>
        <v>0</v>
      </c>
      <c r="N138" s="546">
        <f t="shared" si="56"/>
        <v>0</v>
      </c>
      <c r="O138" s="546">
        <f t="shared" si="56"/>
        <v>0</v>
      </c>
      <c r="P138" s="546">
        <f t="shared" si="56"/>
        <v>0</v>
      </c>
      <c r="Q138" s="546">
        <f t="shared" si="56"/>
        <v>0</v>
      </c>
      <c r="R138" s="133"/>
      <c r="S138" s="133"/>
      <c r="T138" s="133"/>
      <c r="U138" s="133"/>
      <c r="V138" s="133"/>
      <c r="W138" s="133"/>
      <c r="X138" s="133"/>
      <c r="Y138" s="133"/>
      <c r="Z138" s="133"/>
      <c r="AJ138" s="283"/>
      <c r="AK138" s="283"/>
      <c r="AL138" s="283"/>
      <c r="AM138" s="283"/>
      <c r="AN138" s="283"/>
    </row>
    <row r="139" spans="1:40" x14ac:dyDescent="0.3">
      <c r="A139" s="841"/>
      <c r="B139" s="334" t="s">
        <v>1067</v>
      </c>
      <c r="C139" s="149">
        <f>'Inputs and eligible population'!J106</f>
        <v>2</v>
      </c>
      <c r="D139" s="128">
        <f>('Financial impact (cash)'!D$15*$C139*'Inputs and eligible population'!$E$54)/60</f>
        <v>0</v>
      </c>
      <c r="E139" s="128">
        <f>('Financial impact (cash)'!E$15*$C139*'Inputs and eligible population'!$E$54)/60</f>
        <v>0</v>
      </c>
      <c r="F139" s="128">
        <f>('Financial impact (cash)'!F$15*$C139*'Inputs and eligible population'!$E$54)/60</f>
        <v>0</v>
      </c>
      <c r="G139" s="128">
        <f>('Financial impact (cash)'!G$15*$C139*'Inputs and eligible population'!$E$54)/60</f>
        <v>0</v>
      </c>
      <c r="H139" s="128">
        <f>('Financial impact (cash)'!H$15*$C139*'Inputs and eligible population'!$E$54)/60</f>
        <v>0</v>
      </c>
      <c r="I139" s="128">
        <f>('Financial impact (cash)'!I$15*$C139*'Inputs and eligible population'!$E$54)/60</f>
        <v>0</v>
      </c>
      <c r="J139" s="842"/>
      <c r="K139" s="544">
        <f>'Unit costs'!N$96</f>
        <v>134</v>
      </c>
      <c r="L139" s="546">
        <f t="shared" si="57"/>
        <v>0</v>
      </c>
      <c r="M139" s="546">
        <f t="shared" si="56"/>
        <v>0</v>
      </c>
      <c r="N139" s="546">
        <f t="shared" si="56"/>
        <v>0</v>
      </c>
      <c r="O139" s="546">
        <f t="shared" si="56"/>
        <v>0</v>
      </c>
      <c r="P139" s="546">
        <f t="shared" si="56"/>
        <v>0</v>
      </c>
      <c r="Q139" s="546">
        <f t="shared" si="56"/>
        <v>0</v>
      </c>
      <c r="R139" s="133"/>
      <c r="S139" s="133"/>
      <c r="T139" s="133"/>
      <c r="U139" s="133"/>
      <c r="V139" s="133"/>
      <c r="W139" s="133"/>
      <c r="X139" s="133"/>
      <c r="Y139" s="133"/>
      <c r="Z139" s="133"/>
      <c r="AJ139" s="283"/>
      <c r="AK139" s="283"/>
      <c r="AL139" s="283"/>
      <c r="AM139" s="283"/>
      <c r="AN139" s="283"/>
    </row>
    <row r="140" spans="1:40" x14ac:dyDescent="0.3">
      <c r="A140" s="841"/>
      <c r="B140" s="334" t="s">
        <v>1165</v>
      </c>
      <c r="C140" s="149">
        <f>'Inputs and eligible population'!$K$106</f>
        <v>2</v>
      </c>
      <c r="D140" s="128">
        <f>Summary!$C$17*'Capacity (local prices)'!$C140*'Inputs and eligible population'!$E$55</f>
        <v>0</v>
      </c>
      <c r="E140" s="128">
        <f>(Summary!$D$17*'Capacity (local prices)'!$C140*'Inputs and eligible population'!$E$55)</f>
        <v>0</v>
      </c>
      <c r="F140" s="128">
        <f>(Summary!$E$17*'Capacity (local prices)'!$C140*'Inputs and eligible population'!$E$55)</f>
        <v>0</v>
      </c>
      <c r="G140" s="128">
        <f>(Summary!$F$17*'Capacity (local prices)'!$C140*'Inputs and eligible population'!$E$55)</f>
        <v>0</v>
      </c>
      <c r="H140" s="128">
        <f>(Summary!$G$17*'Capacity (local prices)'!$C140*'Inputs and eligible population'!$E$55)</f>
        <v>0</v>
      </c>
      <c r="I140" s="128">
        <f>(Summary!$H$17*'Capacity (local prices)'!$C140*'Inputs and eligible population'!$E$55)</f>
        <v>0</v>
      </c>
      <c r="J140" s="842"/>
      <c r="K140" s="544">
        <f>'Unit costs'!N$96</f>
        <v>134</v>
      </c>
      <c r="L140" s="546">
        <f t="shared" si="57"/>
        <v>0</v>
      </c>
      <c r="M140" s="546">
        <f t="shared" si="56"/>
        <v>0</v>
      </c>
      <c r="N140" s="546">
        <f t="shared" si="56"/>
        <v>0</v>
      </c>
      <c r="O140" s="546">
        <f t="shared" si="56"/>
        <v>0</v>
      </c>
      <c r="P140" s="546">
        <f t="shared" si="56"/>
        <v>0</v>
      </c>
      <c r="Q140" s="546">
        <f t="shared" si="56"/>
        <v>0</v>
      </c>
      <c r="R140" s="133"/>
      <c r="S140" s="133"/>
      <c r="T140" s="133"/>
      <c r="U140" s="133"/>
      <c r="V140" s="133"/>
      <c r="W140" s="133"/>
      <c r="X140" s="133"/>
      <c r="Y140" s="133"/>
      <c r="Z140" s="133"/>
      <c r="AJ140" s="283"/>
      <c r="AK140" s="283"/>
      <c r="AL140" s="283"/>
      <c r="AM140" s="283"/>
      <c r="AN140" s="283"/>
    </row>
    <row r="141" spans="1:40" x14ac:dyDescent="0.3">
      <c r="A141" s="841"/>
      <c r="B141" s="334" t="s">
        <v>1166</v>
      </c>
      <c r="C141" s="149">
        <f>'Inputs and eligible population'!$K$106</f>
        <v>2</v>
      </c>
      <c r="D141" s="128">
        <f>Summary!$C$17*'Capacity (local prices)'!$C140*'Inputs and eligible population'!$F$55</f>
        <v>0</v>
      </c>
      <c r="E141" s="128">
        <f>Summary!$C$17*'Capacity (local prices)'!$C140*'Inputs and eligible population'!$F$55</f>
        <v>0</v>
      </c>
      <c r="F141" s="128">
        <f>(Summary!$D$17*'Capacity (local prices)'!$C140*'Inputs and eligible population'!$F$55)</f>
        <v>0</v>
      </c>
      <c r="G141" s="128">
        <f>(Summary!$E$17*'Capacity (local prices)'!$C140*'Inputs and eligible population'!$F$55)</f>
        <v>0</v>
      </c>
      <c r="H141" s="128">
        <f>(Summary!$F$17*'Capacity (local prices)'!$C140*'Inputs and eligible population'!$F$55)</f>
        <v>0</v>
      </c>
      <c r="I141" s="128">
        <f>(Summary!$G$17*'Capacity (local prices)'!$C140*'Inputs and eligible population'!$F$55)</f>
        <v>0</v>
      </c>
      <c r="J141" s="842"/>
      <c r="K141" s="544">
        <f>'Unit costs'!N$96</f>
        <v>134</v>
      </c>
      <c r="L141" s="546">
        <f t="shared" si="57"/>
        <v>0</v>
      </c>
      <c r="M141" s="546">
        <f t="shared" si="56"/>
        <v>0</v>
      </c>
      <c r="N141" s="546">
        <f t="shared" si="56"/>
        <v>0</v>
      </c>
      <c r="O141" s="546">
        <f t="shared" si="56"/>
        <v>0</v>
      </c>
      <c r="P141" s="546">
        <f t="shared" si="56"/>
        <v>0</v>
      </c>
      <c r="Q141" s="546">
        <f t="shared" si="56"/>
        <v>0</v>
      </c>
      <c r="R141" s="133"/>
      <c r="S141" s="133"/>
      <c r="T141" s="133"/>
      <c r="U141" s="133"/>
      <c r="V141" s="133"/>
      <c r="W141" s="133"/>
      <c r="X141" s="133"/>
      <c r="Y141" s="133"/>
      <c r="Z141" s="133"/>
      <c r="AJ141" s="283"/>
      <c r="AK141" s="283"/>
      <c r="AL141" s="283"/>
      <c r="AM141" s="283"/>
      <c r="AN141" s="283"/>
    </row>
    <row r="142" spans="1:40" x14ac:dyDescent="0.3">
      <c r="A142" s="841"/>
      <c r="B142" s="334" t="s">
        <v>1167</v>
      </c>
      <c r="C142" s="149">
        <f>'Inputs and eligible population'!$K$106</f>
        <v>2</v>
      </c>
      <c r="D142" s="128">
        <f>Summary!$C$17*'Capacity (local prices)'!$C140*'Inputs and eligible population'!$G$55</f>
        <v>0</v>
      </c>
      <c r="E142" s="128">
        <f>Summary!$C$17*'Capacity (local prices)'!$C140*'Inputs and eligible population'!$G$55</f>
        <v>0</v>
      </c>
      <c r="F142" s="128">
        <f>Summary!$C$17*'Capacity (local prices)'!$C140*'Inputs and eligible population'!$G$55</f>
        <v>0</v>
      </c>
      <c r="G142" s="128">
        <f>(Summary!$D$17*'Capacity (local prices)'!$C140*'Inputs and eligible population'!$G$55)</f>
        <v>0</v>
      </c>
      <c r="H142" s="128">
        <f>(Summary!$E$17*'Capacity (local prices)'!$C140*'Inputs and eligible population'!$G$55)</f>
        <v>0</v>
      </c>
      <c r="I142" s="128">
        <f>(Summary!$F$17*'Capacity (local prices)'!$C140*'Inputs and eligible population'!$G$55)</f>
        <v>0</v>
      </c>
      <c r="J142" s="842"/>
      <c r="K142" s="544">
        <f>'Unit costs'!N$96</f>
        <v>134</v>
      </c>
      <c r="L142" s="546">
        <f t="shared" si="57"/>
        <v>0</v>
      </c>
      <c r="M142" s="546">
        <f t="shared" si="56"/>
        <v>0</v>
      </c>
      <c r="N142" s="546">
        <f t="shared" si="56"/>
        <v>0</v>
      </c>
      <c r="O142" s="546">
        <f t="shared" si="56"/>
        <v>0</v>
      </c>
      <c r="P142" s="546">
        <f t="shared" si="56"/>
        <v>0</v>
      </c>
      <c r="Q142" s="546">
        <f t="shared" si="56"/>
        <v>0</v>
      </c>
      <c r="R142" s="133"/>
      <c r="S142" s="133"/>
      <c r="T142" s="133"/>
      <c r="U142" s="133"/>
      <c r="V142" s="133"/>
      <c r="W142" s="133"/>
      <c r="X142" s="133"/>
      <c r="Y142" s="133"/>
      <c r="Z142" s="133"/>
      <c r="AJ142" s="283"/>
      <c r="AK142" s="283"/>
      <c r="AL142" s="283"/>
      <c r="AM142" s="283"/>
      <c r="AN142" s="283"/>
    </row>
    <row r="143" spans="1:40" x14ac:dyDescent="0.3">
      <c r="A143" s="841"/>
      <c r="B143" s="832" t="s">
        <v>1069</v>
      </c>
      <c r="C143" s="149">
        <f>'Inputs and eligible population'!L106</f>
        <v>2</v>
      </c>
      <c r="D143" s="128">
        <f>(Summary!C$18*'Capacity (local prices)'!$C143*'Inputs and eligible population'!$E$56)/60</f>
        <v>43.260102912162473</v>
      </c>
      <c r="E143" s="128">
        <f>(Summary!D$18*'Capacity (local prices)'!$C143*'Inputs and eligible population'!$E$56)/60</f>
        <v>32.757906371483465</v>
      </c>
      <c r="F143" s="128">
        <f>(Summary!E$18*'Capacity (local prices)'!$C143*'Inputs and eligible population'!$E$56)/60</f>
        <v>22.049167865092485</v>
      </c>
      <c r="G143" s="128">
        <f>(Summary!F$18*'Capacity (local prices)'!$C143*'Inputs and eligible population'!$E$56)/60</f>
        <v>22.261761696387552</v>
      </c>
      <c r="H143" s="128">
        <f>(Summary!G$18*'Capacity (local prices)'!$C143*'Inputs and eligible population'!$E$56)/60</f>
        <v>22.476405316471986</v>
      </c>
      <c r="I143" s="128">
        <f>(Summary!H$18*'Capacity (local prices)'!$C143*'Inputs and eligible population'!$E$56)/60</f>
        <v>22.693118489014633</v>
      </c>
      <c r="J143" s="842"/>
      <c r="K143" s="544">
        <f>'Unit costs'!N$96</f>
        <v>134</v>
      </c>
      <c r="L143" s="546">
        <f t="shared" si="57"/>
        <v>5.7968537902297719</v>
      </c>
      <c r="M143" s="546">
        <f t="shared" si="56"/>
        <v>4.3895594537787845</v>
      </c>
      <c r="N143" s="546">
        <f t="shared" si="56"/>
        <v>2.9545884939223934</v>
      </c>
      <c r="O143" s="546">
        <f t="shared" si="56"/>
        <v>2.983076067315932</v>
      </c>
      <c r="P143" s="546">
        <f t="shared" si="56"/>
        <v>3.0118383124072463</v>
      </c>
      <c r="Q143" s="546">
        <f t="shared" si="56"/>
        <v>3.040877877527961</v>
      </c>
      <c r="R143" s="133"/>
      <c r="S143" s="133"/>
      <c r="T143" s="133"/>
      <c r="U143" s="133"/>
      <c r="V143" s="133"/>
      <c r="W143" s="133"/>
      <c r="X143" s="133"/>
      <c r="Y143" s="133"/>
      <c r="Z143" s="133"/>
      <c r="AJ143" s="283"/>
      <c r="AK143" s="283"/>
      <c r="AL143" s="283"/>
      <c r="AM143" s="283"/>
      <c r="AN143" s="283"/>
    </row>
    <row r="144" spans="1:40" x14ac:dyDescent="0.3">
      <c r="A144" s="841"/>
      <c r="B144" s="504"/>
      <c r="C144" s="280"/>
      <c r="D144" s="186">
        <f t="shared" ref="D144:I144" si="58">SUM(D133:D143)</f>
        <v>43.260102912162473</v>
      </c>
      <c r="E144" s="186">
        <f t="shared" si="58"/>
        <v>32.757906371483465</v>
      </c>
      <c r="F144" s="186">
        <f t="shared" si="58"/>
        <v>22.049167865092485</v>
      </c>
      <c r="G144" s="186">
        <f t="shared" si="58"/>
        <v>22.261761696387552</v>
      </c>
      <c r="H144" s="186">
        <f t="shared" si="58"/>
        <v>22.476405316471986</v>
      </c>
      <c r="I144" s="186">
        <f t="shared" si="58"/>
        <v>22.693118489014633</v>
      </c>
      <c r="J144" s="842"/>
      <c r="K144" s="219"/>
      <c r="L144" s="290">
        <f t="shared" ref="L144:Q144" si="59">SUM(L133:L143)</f>
        <v>5.7968537902297719</v>
      </c>
      <c r="M144" s="290">
        <f t="shared" si="59"/>
        <v>4.3895594537787845</v>
      </c>
      <c r="N144" s="290">
        <f t="shared" si="59"/>
        <v>2.9545884939223934</v>
      </c>
      <c r="O144" s="290">
        <f t="shared" si="59"/>
        <v>2.983076067315932</v>
      </c>
      <c r="P144" s="290">
        <f t="shared" si="59"/>
        <v>3.0118383124072463</v>
      </c>
      <c r="Q144" s="290">
        <f t="shared" si="59"/>
        <v>3.040877877527961</v>
      </c>
      <c r="R144" s="133"/>
      <c r="S144" s="133"/>
      <c r="T144" s="133"/>
      <c r="U144" s="133"/>
      <c r="V144" s="133"/>
      <c r="W144" s="133"/>
      <c r="X144" s="133"/>
      <c r="Y144" s="133"/>
      <c r="Z144" s="133"/>
      <c r="AJ144" s="283"/>
      <c r="AK144" s="283"/>
      <c r="AL144" s="283"/>
      <c r="AM144" s="283"/>
      <c r="AN144" s="283"/>
    </row>
    <row r="145" spans="1:40" x14ac:dyDescent="0.3">
      <c r="A145" s="841"/>
      <c r="B145" s="255"/>
      <c r="C145" s="255"/>
      <c r="D145" s="282" t="s">
        <v>844</v>
      </c>
      <c r="E145" s="186">
        <f>E144-$D144</f>
        <v>-10.502196540679009</v>
      </c>
      <c r="F145" s="186">
        <f t="shared" ref="F145:I145" si="60">F144-$D144</f>
        <v>-21.210935047069988</v>
      </c>
      <c r="G145" s="186">
        <f t="shared" si="60"/>
        <v>-20.998341215774921</v>
      </c>
      <c r="H145" s="186">
        <f t="shared" si="60"/>
        <v>-20.783697595690487</v>
      </c>
      <c r="I145" s="186">
        <f t="shared" si="60"/>
        <v>-20.56698442314784</v>
      </c>
      <c r="J145" s="842"/>
      <c r="K145" s="219"/>
      <c r="L145" s="219"/>
      <c r="M145" s="290">
        <f>M144-$L144</f>
        <v>-1.4072943364509873</v>
      </c>
      <c r="N145" s="290">
        <f t="shared" ref="N145:Q145" si="61">N144-$L144</f>
        <v>-2.8422652963073785</v>
      </c>
      <c r="O145" s="290">
        <f t="shared" si="61"/>
        <v>-2.8137777229138399</v>
      </c>
      <c r="P145" s="290">
        <f t="shared" si="61"/>
        <v>-2.7850154778225256</v>
      </c>
      <c r="Q145" s="290">
        <f t="shared" si="61"/>
        <v>-2.7559759127018109</v>
      </c>
      <c r="R145" s="133"/>
      <c r="S145" s="133"/>
      <c r="T145" s="133"/>
      <c r="U145" s="133"/>
      <c r="V145" s="133"/>
      <c r="W145" s="133"/>
      <c r="X145" s="133"/>
      <c r="Y145" s="133"/>
      <c r="Z145" s="133"/>
      <c r="AJ145" s="283"/>
      <c r="AK145" s="283"/>
      <c r="AL145" s="283"/>
      <c r="AM145" s="283"/>
      <c r="AN145" s="283"/>
    </row>
    <row r="146" spans="1:40" x14ac:dyDescent="0.3">
      <c r="A146" s="286"/>
      <c r="B146" s="309"/>
      <c r="C146" s="376"/>
      <c r="D146" s="219"/>
      <c r="E146" s="219"/>
      <c r="F146" s="219"/>
      <c r="G146" s="219"/>
      <c r="H146" s="219"/>
      <c r="I146" s="219"/>
      <c r="J146" s="219"/>
      <c r="K146" s="219"/>
      <c r="L146" s="219"/>
      <c r="M146" s="219"/>
      <c r="N146" s="219"/>
      <c r="O146" s="219"/>
      <c r="P146" s="219"/>
      <c r="Q146" s="219"/>
      <c r="R146" s="133"/>
      <c r="S146" s="133"/>
      <c r="T146" s="133"/>
      <c r="U146" s="133"/>
      <c r="V146" s="133"/>
      <c r="W146" s="133"/>
      <c r="X146" s="133"/>
      <c r="Y146" s="133"/>
      <c r="Z146" s="133"/>
      <c r="AJ146" s="283"/>
      <c r="AK146" s="283"/>
      <c r="AL146" s="283"/>
      <c r="AM146" s="283"/>
      <c r="AN146" s="283"/>
    </row>
    <row r="147" spans="1:40" x14ac:dyDescent="0.3">
      <c r="A147" s="314"/>
      <c r="B147" s="315" t="s">
        <v>846</v>
      </c>
      <c r="C147" s="316"/>
      <c r="D147" s="316"/>
      <c r="E147" s="317"/>
      <c r="F147" s="318"/>
      <c r="G147" s="319"/>
      <c r="H147" s="319"/>
      <c r="I147" s="372"/>
      <c r="J147" s="314"/>
      <c r="K147" s="314"/>
      <c r="L147" s="314"/>
      <c r="M147" s="314"/>
      <c r="N147" s="314"/>
      <c r="O147" s="314"/>
      <c r="P147" s="314"/>
      <c r="Q147" s="390"/>
      <c r="R147" s="133"/>
      <c r="S147" s="133"/>
      <c r="T147" s="133"/>
      <c r="U147" s="133"/>
      <c r="V147" s="133"/>
      <c r="W147" s="133"/>
      <c r="X147" s="133"/>
      <c r="Y147" s="133"/>
      <c r="Z147" s="133"/>
      <c r="AJ147" s="283"/>
      <c r="AK147" s="283"/>
      <c r="AL147" s="283"/>
      <c r="AM147" s="283"/>
      <c r="AN147" s="283"/>
    </row>
    <row r="148" spans="1:40" x14ac:dyDescent="0.3">
      <c r="A148" s="314"/>
      <c r="B148" s="379" t="s">
        <v>847</v>
      </c>
      <c r="C148" s="380"/>
      <c r="D148" s="380"/>
      <c r="E148" s="380"/>
      <c r="F148" s="380"/>
      <c r="G148" s="380"/>
      <c r="H148" s="380"/>
      <c r="I148" s="320"/>
      <c r="J148" s="390"/>
      <c r="K148" s="390"/>
      <c r="L148" s="413"/>
      <c r="M148" s="413"/>
      <c r="N148" s="413"/>
      <c r="O148" s="413"/>
      <c r="P148" s="413"/>
      <c r="Q148" s="413"/>
      <c r="R148" s="133"/>
      <c r="S148" s="133"/>
      <c r="T148" s="133"/>
      <c r="U148" s="133"/>
      <c r="V148" s="133"/>
      <c r="W148" s="133"/>
      <c r="X148" s="133"/>
      <c r="Y148" s="133"/>
      <c r="Z148" s="133"/>
      <c r="AJ148" s="283"/>
      <c r="AK148" s="283"/>
      <c r="AL148" s="283"/>
      <c r="AM148" s="283"/>
      <c r="AN148" s="283"/>
    </row>
    <row r="149" spans="1:40" ht="43.2" x14ac:dyDescent="0.3">
      <c r="A149" s="843"/>
      <c r="B149" s="306" t="s">
        <v>766</v>
      </c>
      <c r="C149" s="166" t="s">
        <v>1099</v>
      </c>
      <c r="D149" s="402" t="s">
        <v>831</v>
      </c>
      <c r="E149" s="254" t="s">
        <v>676</v>
      </c>
      <c r="F149" s="254" t="s">
        <v>677</v>
      </c>
      <c r="G149" s="165" t="s">
        <v>803</v>
      </c>
      <c r="H149" s="165" t="s">
        <v>804</v>
      </c>
      <c r="I149" s="254" t="s">
        <v>805</v>
      </c>
      <c r="J149" s="844"/>
      <c r="K149" s="531" t="s">
        <v>1100</v>
      </c>
      <c r="L149" s="402" t="s">
        <v>831</v>
      </c>
      <c r="M149" s="521" t="s">
        <v>676</v>
      </c>
      <c r="N149" s="521" t="s">
        <v>677</v>
      </c>
      <c r="O149" s="403" t="s">
        <v>803</v>
      </c>
      <c r="P149" s="403" t="s">
        <v>804</v>
      </c>
      <c r="Q149" s="521" t="s">
        <v>805</v>
      </c>
      <c r="R149" s="133"/>
      <c r="S149" s="133"/>
      <c r="T149" s="133"/>
      <c r="U149" s="133"/>
      <c r="V149" s="133"/>
      <c r="W149" s="133"/>
      <c r="X149" s="133"/>
      <c r="Y149" s="133"/>
      <c r="Z149" s="133"/>
      <c r="AJ149" s="283"/>
      <c r="AK149" s="283"/>
      <c r="AL149" s="283"/>
      <c r="AM149" s="283"/>
      <c r="AN149" s="283"/>
    </row>
    <row r="150" spans="1:40" x14ac:dyDescent="0.3">
      <c r="A150" s="843"/>
      <c r="B150" s="334" t="s">
        <v>1065</v>
      </c>
      <c r="C150" s="149">
        <f>'Inputs and eligible population'!F107</f>
        <v>0</v>
      </c>
      <c r="D150" s="128">
        <f>Summary!$C$16*'Capacity (local prices)'!$C150*'Inputs and eligible population'!$E$50</f>
        <v>0</v>
      </c>
      <c r="E150" s="128">
        <f>Summary!$D$16*'Capacity (local prices)'!$C150*'Inputs and eligible population'!$E$50</f>
        <v>0</v>
      </c>
      <c r="F150" s="128">
        <f>Summary!E$16*'Capacity (local prices)'!$C150*'Inputs and eligible population'!$E$50</f>
        <v>0</v>
      </c>
      <c r="G150" s="128">
        <f>Summary!F$16*'Capacity (local prices)'!$C150*'Inputs and eligible population'!$E$50</f>
        <v>0</v>
      </c>
      <c r="H150" s="128">
        <f>Summary!G$16*'Capacity (local prices)'!$C150*'Inputs and eligible population'!$E$50</f>
        <v>0</v>
      </c>
      <c r="I150" s="128">
        <f>Summary!H$16*'Capacity (local prices)'!$C150*'Inputs and eligible population'!$E$50</f>
        <v>0</v>
      </c>
      <c r="J150" s="844"/>
      <c r="K150" s="544">
        <f>'Unit costs'!N$110</f>
        <v>141</v>
      </c>
      <c r="L150" s="546">
        <f>$K150/1000*D150</f>
        <v>0</v>
      </c>
      <c r="M150" s="546">
        <f t="shared" ref="M150:Q160" si="62">$K150/1000*E150</f>
        <v>0</v>
      </c>
      <c r="N150" s="546">
        <f t="shared" si="62"/>
        <v>0</v>
      </c>
      <c r="O150" s="546">
        <f t="shared" si="62"/>
        <v>0</v>
      </c>
      <c r="P150" s="546">
        <f t="shared" si="62"/>
        <v>0</v>
      </c>
      <c r="Q150" s="546">
        <f t="shared" si="62"/>
        <v>0</v>
      </c>
      <c r="R150" s="133"/>
      <c r="S150" s="133"/>
      <c r="T150" s="133"/>
      <c r="U150" s="133"/>
      <c r="V150" s="133"/>
      <c r="W150" s="133"/>
      <c r="X150" s="133"/>
      <c r="Y150" s="133"/>
      <c r="Z150" s="133"/>
      <c r="AJ150" s="283"/>
      <c r="AK150" s="283"/>
      <c r="AL150" s="283"/>
      <c r="AM150" s="283"/>
      <c r="AN150" s="283"/>
    </row>
    <row r="151" spans="1:40" x14ac:dyDescent="0.3">
      <c r="A151" s="843"/>
      <c r="B151" s="334" t="s">
        <v>1064</v>
      </c>
      <c r="C151" s="149">
        <f>'Inputs and eligible population'!G107</f>
        <v>0</v>
      </c>
      <c r="D151" s="128">
        <f>Summary!C$16*'Capacity (local prices)'!$C151*'Inputs and eligible population'!$E$51</f>
        <v>0</v>
      </c>
      <c r="E151" s="128">
        <f>Summary!D$16*'Capacity (local prices)'!$C151*'Inputs and eligible population'!$E$51</f>
        <v>0</v>
      </c>
      <c r="F151" s="128">
        <f>Summary!E$16*'Capacity (local prices)'!$C151*'Inputs and eligible population'!$E$51</f>
        <v>0</v>
      </c>
      <c r="G151" s="128">
        <f>Summary!F$16*'Capacity (local prices)'!$C151*'Inputs and eligible population'!$E$51</f>
        <v>0</v>
      </c>
      <c r="H151" s="128">
        <f>Summary!G$16*'Capacity (local prices)'!$C151*'Inputs and eligible population'!$E$51</f>
        <v>0</v>
      </c>
      <c r="I151" s="128">
        <f>Summary!H$16*'Capacity (local prices)'!$C151*'Inputs and eligible population'!$E$51</f>
        <v>0</v>
      </c>
      <c r="J151" s="844"/>
      <c r="K151" s="544">
        <f>'Unit costs'!N$110</f>
        <v>141</v>
      </c>
      <c r="L151" s="546">
        <f t="shared" ref="L151:L160" si="63">$K151/1000*D151</f>
        <v>0</v>
      </c>
      <c r="M151" s="546">
        <f t="shared" si="62"/>
        <v>0</v>
      </c>
      <c r="N151" s="546">
        <f t="shared" si="62"/>
        <v>0</v>
      </c>
      <c r="O151" s="546">
        <f t="shared" si="62"/>
        <v>0</v>
      </c>
      <c r="P151" s="546">
        <f t="shared" si="62"/>
        <v>0</v>
      </c>
      <c r="Q151" s="546">
        <f t="shared" si="62"/>
        <v>0</v>
      </c>
      <c r="R151" s="133"/>
      <c r="S151" s="133"/>
      <c r="T151" s="133"/>
      <c r="U151" s="133"/>
      <c r="V151" s="133"/>
      <c r="W151" s="133"/>
      <c r="X151" s="133"/>
      <c r="Y151" s="133"/>
      <c r="Z151" s="133"/>
      <c r="AJ151" s="283"/>
      <c r="AK151" s="283"/>
      <c r="AL151" s="283"/>
      <c r="AM151" s="283"/>
      <c r="AN151" s="283"/>
    </row>
    <row r="152" spans="1:40" x14ac:dyDescent="0.3">
      <c r="A152" s="843"/>
      <c r="B152" s="334" t="s">
        <v>1162</v>
      </c>
      <c r="C152" s="149">
        <f>'Inputs and eligible population'!$H$107</f>
        <v>0</v>
      </c>
      <c r="D152" s="128">
        <f>'Inputs and eligible population'!$E$52*'Inputs and eligible population'!$L$84*'Capacity (local prices)'!$C$33</f>
        <v>0</v>
      </c>
      <c r="E152" s="128">
        <f>'Inputs and eligible population'!$E$52*'Inputs and eligible population'!$M$84*'Capacity (local prices)'!$C152</f>
        <v>0</v>
      </c>
      <c r="F152" s="128">
        <f>'Inputs and eligible population'!$E$52*'Inputs and eligible population'!$N$84*'Capacity (local prices)'!$C152</f>
        <v>0</v>
      </c>
      <c r="G152" s="128">
        <f>'Inputs and eligible population'!$E$52*'Inputs and eligible population'!$O$84*'Capacity (local prices)'!$C152</f>
        <v>0</v>
      </c>
      <c r="H152" s="128">
        <f>'Inputs and eligible population'!$E$52*'Inputs and eligible population'!$P$84*'Capacity (local prices)'!$C152</f>
        <v>0</v>
      </c>
      <c r="I152" s="128">
        <f>'Inputs and eligible population'!$E$52*'Inputs and eligible population'!$Q$84*'Capacity (local prices)'!$C152</f>
        <v>0</v>
      </c>
      <c r="J152" s="844"/>
      <c r="K152" s="544">
        <f>'Unit costs'!N$110</f>
        <v>141</v>
      </c>
      <c r="L152" s="546">
        <f t="shared" si="63"/>
        <v>0</v>
      </c>
      <c r="M152" s="546">
        <f t="shared" si="62"/>
        <v>0</v>
      </c>
      <c r="N152" s="546">
        <f t="shared" si="62"/>
        <v>0</v>
      </c>
      <c r="O152" s="546">
        <f t="shared" si="62"/>
        <v>0</v>
      </c>
      <c r="P152" s="546">
        <f t="shared" si="62"/>
        <v>0</v>
      </c>
      <c r="Q152" s="546">
        <f t="shared" si="62"/>
        <v>0</v>
      </c>
      <c r="R152" s="133"/>
      <c r="S152" s="133"/>
      <c r="T152" s="133"/>
      <c r="U152" s="133"/>
      <c r="V152" s="133"/>
      <c r="W152" s="133"/>
      <c r="X152" s="133"/>
      <c r="Y152" s="133"/>
      <c r="Z152" s="133"/>
      <c r="AJ152" s="283"/>
      <c r="AK152" s="283"/>
      <c r="AL152" s="283"/>
      <c r="AM152" s="283"/>
      <c r="AN152" s="283"/>
    </row>
    <row r="153" spans="1:40" x14ac:dyDescent="0.3">
      <c r="A153" s="843"/>
      <c r="B153" s="334" t="s">
        <v>1163</v>
      </c>
      <c r="C153" s="149">
        <f>'Inputs and eligible population'!$H$107</f>
        <v>0</v>
      </c>
      <c r="D153" s="128">
        <f>'Inputs and eligible population'!$F$52*'Inputs and eligible population'!$L$84*'Capacity (local prices)'!$C153</f>
        <v>0</v>
      </c>
      <c r="E153" s="128">
        <f>'Inputs and eligible population'!$F$52*'Inputs and eligible population'!$L$84*'Capacity (local prices)'!$C153</f>
        <v>0</v>
      </c>
      <c r="F153" s="128">
        <f>'Inputs and eligible population'!$F$52*'Inputs and eligible population'!$M$84*'Capacity (local prices)'!$C153</f>
        <v>0</v>
      </c>
      <c r="G153" s="128">
        <f>'Inputs and eligible population'!$F$52*'Inputs and eligible population'!$N$84*'Capacity (local prices)'!$C153</f>
        <v>0</v>
      </c>
      <c r="H153" s="128">
        <f>'Inputs and eligible population'!$F$52*'Inputs and eligible population'!$O$84*'Capacity (local prices)'!$C153</f>
        <v>0</v>
      </c>
      <c r="I153" s="128">
        <f>'Inputs and eligible population'!$F$52*'Inputs and eligible population'!$P$84*'Capacity (local prices)'!$C153</f>
        <v>0</v>
      </c>
      <c r="J153" s="844"/>
      <c r="K153" s="544">
        <f>'Unit costs'!N$110</f>
        <v>141</v>
      </c>
      <c r="L153" s="546">
        <f t="shared" si="63"/>
        <v>0</v>
      </c>
      <c r="M153" s="546">
        <f t="shared" si="62"/>
        <v>0</v>
      </c>
      <c r="N153" s="546">
        <f t="shared" si="62"/>
        <v>0</v>
      </c>
      <c r="O153" s="546">
        <f t="shared" si="62"/>
        <v>0</v>
      </c>
      <c r="P153" s="546">
        <f t="shared" si="62"/>
        <v>0</v>
      </c>
      <c r="Q153" s="546">
        <f t="shared" si="62"/>
        <v>0</v>
      </c>
      <c r="R153" s="133"/>
      <c r="S153" s="133"/>
      <c r="T153" s="133"/>
      <c r="U153" s="133"/>
      <c r="V153" s="133"/>
      <c r="W153" s="133"/>
      <c r="X153" s="133"/>
      <c r="Y153" s="133"/>
      <c r="Z153" s="133"/>
      <c r="AJ153" s="283"/>
      <c r="AK153" s="283"/>
      <c r="AL153" s="283"/>
      <c r="AM153" s="283"/>
      <c r="AN153" s="283"/>
    </row>
    <row r="154" spans="1:40" x14ac:dyDescent="0.3">
      <c r="A154" s="843"/>
      <c r="B154" s="334" t="s">
        <v>1164</v>
      </c>
      <c r="C154" s="149">
        <f>'Inputs and eligible population'!$H$107</f>
        <v>0</v>
      </c>
      <c r="D154" s="128">
        <f>'Inputs and eligible population'!$G$52*'Inputs and eligible population'!$L$84*'Capacity (local prices)'!$C154</f>
        <v>0</v>
      </c>
      <c r="E154" s="128">
        <f>'Inputs and eligible population'!$G$52*'Inputs and eligible population'!$L$84*'Capacity (local prices)'!$C154</f>
        <v>0</v>
      </c>
      <c r="F154" s="128">
        <f>'Inputs and eligible population'!$G$52*'Inputs and eligible population'!$L$84*'Capacity (local prices)'!$C154</f>
        <v>0</v>
      </c>
      <c r="G154" s="128">
        <f>'Inputs and eligible population'!$G$52*'Inputs and eligible population'!$M$84*'Capacity (local prices)'!$C154</f>
        <v>0</v>
      </c>
      <c r="H154" s="128">
        <f>'Inputs and eligible population'!$G$52*'Inputs and eligible population'!$N$84*'Capacity (local prices)'!$C154</f>
        <v>0</v>
      </c>
      <c r="I154" s="128">
        <f>'Inputs and eligible population'!$G$52*'Inputs and eligible population'!$O$84*'Capacity (local prices)'!$C154</f>
        <v>0</v>
      </c>
      <c r="J154" s="844"/>
      <c r="K154" s="544">
        <f>'Unit costs'!N$110</f>
        <v>141</v>
      </c>
      <c r="L154" s="546">
        <f t="shared" si="63"/>
        <v>0</v>
      </c>
      <c r="M154" s="546">
        <f t="shared" si="62"/>
        <v>0</v>
      </c>
      <c r="N154" s="546">
        <f t="shared" si="62"/>
        <v>0</v>
      </c>
      <c r="O154" s="546">
        <f t="shared" si="62"/>
        <v>0</v>
      </c>
      <c r="P154" s="546">
        <f t="shared" si="62"/>
        <v>0</v>
      </c>
      <c r="Q154" s="546">
        <f t="shared" si="62"/>
        <v>0</v>
      </c>
      <c r="R154" s="133"/>
      <c r="S154" s="133"/>
      <c r="T154" s="133"/>
      <c r="U154" s="133"/>
      <c r="V154" s="133"/>
      <c r="W154" s="133"/>
      <c r="X154" s="133"/>
      <c r="Y154" s="133"/>
      <c r="Z154" s="133"/>
      <c r="AJ154" s="283"/>
      <c r="AK154" s="283"/>
      <c r="AL154" s="283"/>
      <c r="AM154" s="283"/>
      <c r="AN154" s="283"/>
    </row>
    <row r="155" spans="1:40" x14ac:dyDescent="0.3">
      <c r="A155" s="843"/>
      <c r="B155" s="334" t="s">
        <v>1066</v>
      </c>
      <c r="C155" s="149">
        <f>'Inputs and eligible population'!I107</f>
        <v>0</v>
      </c>
      <c r="D155" s="128">
        <f>'Financial impact (cash)'!D$15*$C155*'Inputs and eligible population'!$E$53</f>
        <v>0</v>
      </c>
      <c r="E155" s="128">
        <f>'Financial impact (cash)'!E$15*$C155*'Inputs and eligible population'!$E$53</f>
        <v>0</v>
      </c>
      <c r="F155" s="128">
        <f>'Financial impact (cash)'!F$15*$C155*'Inputs and eligible population'!$E$53</f>
        <v>0</v>
      </c>
      <c r="G155" s="128">
        <f>'Financial impact (cash)'!G$15*$C155*'Inputs and eligible population'!$E$53</f>
        <v>0</v>
      </c>
      <c r="H155" s="128">
        <f>'Financial impact (cash)'!H$15*$C155*'Inputs and eligible population'!$E$53</f>
        <v>0</v>
      </c>
      <c r="I155" s="128">
        <f>'Financial impact (cash)'!I$15*$C155*'Inputs and eligible population'!$E$53</f>
        <v>0</v>
      </c>
      <c r="J155" s="844"/>
      <c r="K155" s="544">
        <f>'Unit costs'!N$110</f>
        <v>141</v>
      </c>
      <c r="L155" s="546">
        <f t="shared" si="63"/>
        <v>0</v>
      </c>
      <c r="M155" s="546">
        <f t="shared" si="62"/>
        <v>0</v>
      </c>
      <c r="N155" s="546">
        <f t="shared" si="62"/>
        <v>0</v>
      </c>
      <c r="O155" s="546">
        <f t="shared" si="62"/>
        <v>0</v>
      </c>
      <c r="P155" s="546">
        <f t="shared" si="62"/>
        <v>0</v>
      </c>
      <c r="Q155" s="546">
        <f t="shared" si="62"/>
        <v>0</v>
      </c>
      <c r="R155" s="133"/>
      <c r="S155" s="133"/>
      <c r="T155" s="133"/>
      <c r="U155" s="133"/>
      <c r="V155" s="133"/>
      <c r="W155" s="133"/>
      <c r="X155" s="133"/>
      <c r="Y155" s="133"/>
      <c r="Z155" s="133"/>
      <c r="AJ155" s="283"/>
      <c r="AK155" s="283"/>
      <c r="AL155" s="283"/>
      <c r="AM155" s="283"/>
      <c r="AN155" s="283"/>
    </row>
    <row r="156" spans="1:40" x14ac:dyDescent="0.3">
      <c r="A156" s="843"/>
      <c r="B156" s="334" t="s">
        <v>1067</v>
      </c>
      <c r="C156" s="149">
        <f>'Inputs and eligible population'!J107</f>
        <v>0</v>
      </c>
      <c r="D156" s="128">
        <f>'Financial impact (cash)'!D$15*$C156*'Inputs and eligible population'!$E$54</f>
        <v>0</v>
      </c>
      <c r="E156" s="128">
        <f>'Financial impact (cash)'!E$15*$C156*'Inputs and eligible population'!$E$54</f>
        <v>0</v>
      </c>
      <c r="F156" s="128">
        <f>'Financial impact (cash)'!F$15*$C156*'Inputs and eligible population'!$E$54</f>
        <v>0</v>
      </c>
      <c r="G156" s="128">
        <f>'Financial impact (cash)'!G$15*$C156*'Inputs and eligible population'!$E$54</f>
        <v>0</v>
      </c>
      <c r="H156" s="128">
        <f>'Financial impact (cash)'!H$15*$C156*'Inputs and eligible population'!$E$54</f>
        <v>0</v>
      </c>
      <c r="I156" s="128">
        <f>'Financial impact (cash)'!I$15*$C156*'Inputs and eligible population'!$E$54</f>
        <v>0</v>
      </c>
      <c r="J156" s="844"/>
      <c r="K156" s="544">
        <f>'Unit costs'!N$110</f>
        <v>141</v>
      </c>
      <c r="L156" s="546">
        <f t="shared" si="63"/>
        <v>0</v>
      </c>
      <c r="M156" s="546">
        <f t="shared" si="62"/>
        <v>0</v>
      </c>
      <c r="N156" s="546">
        <f t="shared" si="62"/>
        <v>0</v>
      </c>
      <c r="O156" s="546">
        <f t="shared" si="62"/>
        <v>0</v>
      </c>
      <c r="P156" s="546">
        <f t="shared" si="62"/>
        <v>0</v>
      </c>
      <c r="Q156" s="546">
        <f t="shared" si="62"/>
        <v>0</v>
      </c>
      <c r="R156" s="133"/>
      <c r="S156" s="133"/>
      <c r="T156" s="133"/>
      <c r="U156" s="133"/>
      <c r="V156" s="133"/>
      <c r="W156" s="133"/>
      <c r="X156" s="133"/>
      <c r="Y156" s="133"/>
      <c r="Z156" s="133"/>
      <c r="AJ156" s="283"/>
      <c r="AK156" s="283"/>
      <c r="AL156" s="283"/>
      <c r="AM156" s="283"/>
      <c r="AN156" s="283"/>
    </row>
    <row r="157" spans="1:40" x14ac:dyDescent="0.3">
      <c r="A157" s="843"/>
      <c r="B157" s="334" t="s">
        <v>1165</v>
      </c>
      <c r="C157" s="149">
        <f>'Inputs and eligible population'!$K$107</f>
        <v>0</v>
      </c>
      <c r="D157" s="128">
        <f>Summary!$C$17*'Capacity (local prices)'!$C157*'Inputs and eligible population'!$E$55</f>
        <v>0</v>
      </c>
      <c r="E157" s="128">
        <f>(Summary!$D$17*'Capacity (local prices)'!$C157*'Inputs and eligible population'!$E$55)</f>
        <v>0</v>
      </c>
      <c r="F157" s="128">
        <f>(Summary!$E$17*'Capacity (local prices)'!$C157*'Inputs and eligible population'!$E$55)</f>
        <v>0</v>
      </c>
      <c r="G157" s="128">
        <f>(Summary!$F$17*'Capacity (local prices)'!$C157*'Inputs and eligible population'!$E$55)</f>
        <v>0</v>
      </c>
      <c r="H157" s="128">
        <f>(Summary!$G$17*'Capacity (local prices)'!$C157*'Inputs and eligible population'!$E$55)</f>
        <v>0</v>
      </c>
      <c r="I157" s="128">
        <f>(Summary!$H$17*'Capacity (local prices)'!$C157*'Inputs and eligible population'!$E$55)</f>
        <v>0</v>
      </c>
      <c r="J157" s="844"/>
      <c r="K157" s="544">
        <f>'Unit costs'!N$110</f>
        <v>141</v>
      </c>
      <c r="L157" s="546">
        <f t="shared" si="63"/>
        <v>0</v>
      </c>
      <c r="M157" s="546">
        <f t="shared" si="62"/>
        <v>0</v>
      </c>
      <c r="N157" s="546">
        <f t="shared" si="62"/>
        <v>0</v>
      </c>
      <c r="O157" s="546">
        <f t="shared" si="62"/>
        <v>0</v>
      </c>
      <c r="P157" s="546">
        <f t="shared" si="62"/>
        <v>0</v>
      </c>
      <c r="Q157" s="546">
        <f t="shared" si="62"/>
        <v>0</v>
      </c>
      <c r="R157" s="133"/>
      <c r="S157" s="133"/>
      <c r="T157" s="133"/>
      <c r="U157" s="133"/>
      <c r="V157" s="133"/>
      <c r="W157" s="133"/>
      <c r="X157" s="133"/>
      <c r="Y157" s="133"/>
      <c r="Z157" s="133"/>
      <c r="AJ157" s="283"/>
      <c r="AK157" s="283"/>
      <c r="AL157" s="283"/>
      <c r="AM157" s="283"/>
      <c r="AN157" s="283"/>
    </row>
    <row r="158" spans="1:40" x14ac:dyDescent="0.3">
      <c r="A158" s="843"/>
      <c r="B158" s="334" t="s">
        <v>1166</v>
      </c>
      <c r="C158" s="149">
        <f>'Inputs and eligible population'!$K$107</f>
        <v>0</v>
      </c>
      <c r="D158" s="128">
        <f>Summary!$C$17*'Capacity (local prices)'!$C157*'Inputs and eligible population'!$F$55</f>
        <v>0</v>
      </c>
      <c r="E158" s="128">
        <f>Summary!$C$17*'Capacity (local prices)'!$C157*'Inputs and eligible population'!$F$55</f>
        <v>0</v>
      </c>
      <c r="F158" s="128">
        <f>(Summary!$D$17*'Capacity (local prices)'!$C157*'Inputs and eligible population'!$F$55)</f>
        <v>0</v>
      </c>
      <c r="G158" s="128">
        <f>(Summary!$E$17*'Capacity (local prices)'!$C157*'Inputs and eligible population'!$F$55)</f>
        <v>0</v>
      </c>
      <c r="H158" s="128">
        <f>(Summary!$F$17*'Capacity (local prices)'!$C157*'Inputs and eligible population'!$F$55)</f>
        <v>0</v>
      </c>
      <c r="I158" s="128">
        <f>(Summary!$G$17*'Capacity (local prices)'!$C157*'Inputs and eligible population'!$F$55)</f>
        <v>0</v>
      </c>
      <c r="J158" s="844"/>
      <c r="K158" s="544">
        <f>'Unit costs'!N$110</f>
        <v>141</v>
      </c>
      <c r="L158" s="546">
        <f t="shared" si="63"/>
        <v>0</v>
      </c>
      <c r="M158" s="546">
        <f t="shared" si="62"/>
        <v>0</v>
      </c>
      <c r="N158" s="546">
        <f t="shared" si="62"/>
        <v>0</v>
      </c>
      <c r="O158" s="546">
        <f t="shared" si="62"/>
        <v>0</v>
      </c>
      <c r="P158" s="546">
        <f t="shared" si="62"/>
        <v>0</v>
      </c>
      <c r="Q158" s="546">
        <f t="shared" si="62"/>
        <v>0</v>
      </c>
      <c r="R158" s="133"/>
      <c r="S158" s="133"/>
      <c r="T158" s="133"/>
      <c r="U158" s="133"/>
      <c r="V158" s="133"/>
      <c r="W158" s="133"/>
      <c r="X158" s="133"/>
      <c r="Y158" s="133"/>
      <c r="Z158" s="133"/>
      <c r="AJ158" s="283"/>
      <c r="AK158" s="283"/>
      <c r="AL158" s="283"/>
      <c r="AM158" s="283"/>
      <c r="AN158" s="283"/>
    </row>
    <row r="159" spans="1:40" x14ac:dyDescent="0.3">
      <c r="A159" s="843"/>
      <c r="B159" s="334" t="s">
        <v>1167</v>
      </c>
      <c r="C159" s="149">
        <f>'Inputs and eligible population'!$K$107</f>
        <v>0</v>
      </c>
      <c r="D159" s="128">
        <f>Summary!$C$17*'Capacity (local prices)'!$C157*'Inputs and eligible population'!$G$55</f>
        <v>0</v>
      </c>
      <c r="E159" s="128">
        <f>Summary!$C$17*'Capacity (local prices)'!$C157*'Inputs and eligible population'!$G$55</f>
        <v>0</v>
      </c>
      <c r="F159" s="128">
        <f>Summary!$C$17*'Capacity (local prices)'!$C157*'Inputs and eligible population'!$G$55</f>
        <v>0</v>
      </c>
      <c r="G159" s="128">
        <f>(Summary!$D$17*'Capacity (local prices)'!$C157*'Inputs and eligible population'!$G$55)</f>
        <v>0</v>
      </c>
      <c r="H159" s="128">
        <f>(Summary!$E$17*'Capacity (local prices)'!$C157*'Inputs and eligible population'!$G$55)</f>
        <v>0</v>
      </c>
      <c r="I159" s="128">
        <f>(Summary!$F$17*'Capacity (local prices)'!$C157*'Inputs and eligible population'!$G$55)</f>
        <v>0</v>
      </c>
      <c r="J159" s="844"/>
      <c r="K159" s="544">
        <f>'Unit costs'!N$110</f>
        <v>141</v>
      </c>
      <c r="L159" s="546">
        <f t="shared" si="63"/>
        <v>0</v>
      </c>
      <c r="M159" s="546">
        <f t="shared" si="62"/>
        <v>0</v>
      </c>
      <c r="N159" s="546">
        <f t="shared" si="62"/>
        <v>0</v>
      </c>
      <c r="O159" s="546">
        <f t="shared" si="62"/>
        <v>0</v>
      </c>
      <c r="P159" s="546">
        <f t="shared" si="62"/>
        <v>0</v>
      </c>
      <c r="Q159" s="546">
        <f t="shared" si="62"/>
        <v>0</v>
      </c>
      <c r="R159" s="133"/>
      <c r="S159" s="133"/>
      <c r="T159" s="133"/>
      <c r="U159" s="133"/>
      <c r="V159" s="133"/>
      <c r="W159" s="133"/>
      <c r="X159" s="133"/>
      <c r="Y159" s="133"/>
      <c r="Z159" s="133"/>
      <c r="AJ159" s="283"/>
      <c r="AK159" s="283"/>
      <c r="AL159" s="283"/>
      <c r="AM159" s="283"/>
      <c r="AN159" s="283"/>
    </row>
    <row r="160" spans="1:40" x14ac:dyDescent="0.3">
      <c r="A160" s="843"/>
      <c r="B160" s="832" t="s">
        <v>1069</v>
      </c>
      <c r="C160" s="149">
        <f>'Inputs and eligible population'!L107</f>
        <v>0</v>
      </c>
      <c r="D160" s="128">
        <f>Summary!C$18*'Capacity (local prices)'!$C160*'Inputs and eligible population'!$E$56</f>
        <v>0</v>
      </c>
      <c r="E160" s="128">
        <f>Summary!D$18*'Capacity (local prices)'!$C160*'Inputs and eligible population'!$E$56</f>
        <v>0</v>
      </c>
      <c r="F160" s="128">
        <f>Summary!E$18*'Capacity (local prices)'!$C160*'Inputs and eligible population'!$E$56</f>
        <v>0</v>
      </c>
      <c r="G160" s="128">
        <f>Summary!F$18*'Capacity (local prices)'!$C160*'Inputs and eligible population'!$E$56</f>
        <v>0</v>
      </c>
      <c r="H160" s="128">
        <f>Summary!G$18*'Capacity (local prices)'!$C160*'Inputs and eligible population'!$E$56</f>
        <v>0</v>
      </c>
      <c r="I160" s="128">
        <f>Summary!H$18*'Capacity (local prices)'!$C160*'Inputs and eligible population'!$E$56</f>
        <v>0</v>
      </c>
      <c r="J160" s="844"/>
      <c r="K160" s="544">
        <f>'Unit costs'!N$110</f>
        <v>141</v>
      </c>
      <c r="L160" s="546">
        <f t="shared" si="63"/>
        <v>0</v>
      </c>
      <c r="M160" s="546">
        <f t="shared" si="62"/>
        <v>0</v>
      </c>
      <c r="N160" s="546">
        <f t="shared" si="62"/>
        <v>0</v>
      </c>
      <c r="O160" s="546">
        <f t="shared" si="62"/>
        <v>0</v>
      </c>
      <c r="P160" s="546">
        <f t="shared" si="62"/>
        <v>0</v>
      </c>
      <c r="Q160" s="546">
        <f t="shared" si="62"/>
        <v>0</v>
      </c>
      <c r="R160" s="133"/>
      <c r="S160" s="133"/>
      <c r="T160" s="133"/>
      <c r="U160" s="133"/>
      <c r="V160" s="133"/>
      <c r="W160" s="133"/>
      <c r="X160" s="133"/>
      <c r="Y160" s="133"/>
      <c r="Z160" s="133"/>
      <c r="AJ160" s="283"/>
      <c r="AK160" s="283"/>
      <c r="AL160" s="283"/>
      <c r="AM160" s="283"/>
      <c r="AN160" s="283"/>
    </row>
    <row r="161" spans="1:40" x14ac:dyDescent="0.3">
      <c r="A161" s="843"/>
      <c r="B161" s="504"/>
      <c r="C161" s="280"/>
      <c r="D161" s="186">
        <f>SUM(D150:D160)</f>
        <v>0</v>
      </c>
      <c r="E161" s="186">
        <f t="shared" ref="E161:I161" si="64">SUM(E150:E160)</f>
        <v>0</v>
      </c>
      <c r="F161" s="186">
        <f t="shared" si="64"/>
        <v>0</v>
      </c>
      <c r="G161" s="186">
        <f t="shared" si="64"/>
        <v>0</v>
      </c>
      <c r="H161" s="186">
        <f t="shared" si="64"/>
        <v>0</v>
      </c>
      <c r="I161" s="186">
        <f t="shared" si="64"/>
        <v>0</v>
      </c>
      <c r="J161" s="844"/>
      <c r="K161" s="390"/>
      <c r="L161" s="290">
        <f>SUM(L150:L160)</f>
        <v>0</v>
      </c>
      <c r="M161" s="290">
        <f t="shared" ref="M161:N161" si="65">SUM(M150:M160)</f>
        <v>0</v>
      </c>
      <c r="N161" s="290">
        <f t="shared" si="65"/>
        <v>0</v>
      </c>
      <c r="O161" s="290">
        <f>SUM(O150:O160)</f>
        <v>0</v>
      </c>
      <c r="P161" s="290">
        <f t="shared" ref="P161:Q161" si="66">SUM(P150:P160)</f>
        <v>0</v>
      </c>
      <c r="Q161" s="290">
        <f t="shared" si="66"/>
        <v>0</v>
      </c>
      <c r="R161" s="133"/>
      <c r="S161" s="133"/>
      <c r="T161" s="133"/>
      <c r="U161" s="133"/>
      <c r="V161" s="133"/>
      <c r="W161" s="133"/>
      <c r="X161" s="133"/>
      <c r="Y161" s="133"/>
      <c r="Z161" s="133"/>
      <c r="AJ161" s="283"/>
      <c r="AK161" s="283"/>
      <c r="AL161" s="283"/>
      <c r="AM161" s="283"/>
      <c r="AN161" s="283"/>
    </row>
    <row r="162" spans="1:40" x14ac:dyDescent="0.3">
      <c r="A162" s="843"/>
      <c r="B162" s="255"/>
      <c r="C162" s="255"/>
      <c r="D162" s="282" t="s">
        <v>841</v>
      </c>
      <c r="E162" s="186">
        <f>E161-$D161</f>
        <v>0</v>
      </c>
      <c r="F162" s="186">
        <f t="shared" ref="F162:I162" si="67">F161-$D161</f>
        <v>0</v>
      </c>
      <c r="G162" s="186">
        <f t="shared" si="67"/>
        <v>0</v>
      </c>
      <c r="H162" s="186">
        <f t="shared" si="67"/>
        <v>0</v>
      </c>
      <c r="I162" s="186">
        <f t="shared" si="67"/>
        <v>0</v>
      </c>
      <c r="J162" s="844"/>
      <c r="K162" s="390"/>
      <c r="L162" s="390"/>
      <c r="M162" s="290">
        <f>M161-$L161</f>
        <v>0</v>
      </c>
      <c r="N162" s="290">
        <f t="shared" ref="N162:Q162" si="68">N161-$L161</f>
        <v>0</v>
      </c>
      <c r="O162" s="290">
        <f t="shared" si="68"/>
        <v>0</v>
      </c>
      <c r="P162" s="290">
        <f t="shared" si="68"/>
        <v>0</v>
      </c>
      <c r="Q162" s="290">
        <f t="shared" si="68"/>
        <v>0</v>
      </c>
      <c r="R162" s="133"/>
      <c r="S162" s="133"/>
      <c r="T162" s="133"/>
      <c r="U162" s="133"/>
      <c r="V162" s="133"/>
      <c r="W162" s="133"/>
      <c r="X162" s="133"/>
      <c r="Y162" s="133"/>
      <c r="Z162" s="133"/>
      <c r="AJ162" s="283"/>
      <c r="AK162" s="283"/>
      <c r="AL162" s="283"/>
      <c r="AM162" s="283"/>
      <c r="AN162" s="283"/>
    </row>
    <row r="163" spans="1:40" x14ac:dyDescent="0.3">
      <c r="A163" s="314"/>
      <c r="B163" s="314"/>
      <c r="C163" s="314"/>
      <c r="D163" s="314"/>
      <c r="E163" s="314"/>
      <c r="F163" s="314"/>
      <c r="G163" s="314"/>
      <c r="H163" s="314"/>
      <c r="I163" s="314"/>
      <c r="J163" s="314"/>
      <c r="K163" s="314"/>
      <c r="L163" s="314"/>
      <c r="M163" s="314"/>
      <c r="N163" s="314"/>
      <c r="O163" s="314"/>
      <c r="P163" s="314"/>
      <c r="Q163" s="314"/>
      <c r="V163" s="133"/>
    </row>
    <row r="164" spans="1:40" x14ac:dyDescent="0.3">
      <c r="A164" s="287"/>
      <c r="B164" s="310" t="s">
        <v>848</v>
      </c>
      <c r="C164" s="298"/>
      <c r="D164" s="299"/>
      <c r="E164" s="300"/>
      <c r="F164" s="301"/>
      <c r="G164" s="301"/>
      <c r="H164" s="301"/>
      <c r="I164" s="414"/>
      <c r="J164" s="287"/>
      <c r="K164" s="287"/>
      <c r="L164" s="287"/>
      <c r="M164" s="287"/>
      <c r="N164" s="287"/>
      <c r="O164" s="287"/>
      <c r="P164" s="287"/>
      <c r="Q164" s="221"/>
      <c r="R164" s="133"/>
      <c r="S164" s="133"/>
      <c r="T164" s="133"/>
      <c r="U164" s="133"/>
      <c r="V164" s="133"/>
      <c r="W164" s="133"/>
      <c r="X164" s="133"/>
      <c r="Y164" s="133"/>
      <c r="Z164" s="133"/>
      <c r="AJ164" s="283"/>
      <c r="AK164" s="283"/>
      <c r="AL164" s="283"/>
      <c r="AM164" s="283"/>
      <c r="AN164" s="283"/>
    </row>
    <row r="165" spans="1:40" x14ac:dyDescent="0.3">
      <c r="A165" s="287"/>
      <c r="B165" s="381" t="s">
        <v>1109</v>
      </c>
      <c r="C165" s="382"/>
      <c r="D165" s="382"/>
      <c r="E165" s="382"/>
      <c r="F165" s="382"/>
      <c r="G165" s="382"/>
      <c r="H165" s="382"/>
      <c r="I165" s="220"/>
      <c r="J165" s="221"/>
      <c r="K165" s="221"/>
      <c r="L165" s="410"/>
      <c r="M165" s="410"/>
      <c r="N165" s="410"/>
      <c r="O165" s="410"/>
      <c r="P165" s="410"/>
      <c r="Q165" s="410"/>
      <c r="R165" s="133"/>
      <c r="S165" s="133"/>
      <c r="T165" s="133"/>
      <c r="U165" s="133"/>
      <c r="V165" s="133"/>
      <c r="W165" s="133"/>
      <c r="X165" s="133"/>
      <c r="Y165" s="133"/>
      <c r="Z165" s="133"/>
      <c r="AJ165" s="283"/>
      <c r="AK165" s="283"/>
      <c r="AL165" s="283"/>
      <c r="AM165" s="283"/>
      <c r="AN165" s="283"/>
    </row>
    <row r="166" spans="1:40" ht="43.2" x14ac:dyDescent="0.3">
      <c r="A166" s="847"/>
      <c r="B166" s="306" t="s">
        <v>766</v>
      </c>
      <c r="C166" s="166" t="s">
        <v>1099</v>
      </c>
      <c r="D166" s="402" t="s">
        <v>831</v>
      </c>
      <c r="E166" s="254" t="s">
        <v>676</v>
      </c>
      <c r="F166" s="254" t="s">
        <v>677</v>
      </c>
      <c r="G166" s="165" t="s">
        <v>803</v>
      </c>
      <c r="H166" s="165" t="s">
        <v>804</v>
      </c>
      <c r="I166" s="254" t="s">
        <v>805</v>
      </c>
      <c r="J166" s="845"/>
      <c r="K166" s="531" t="s">
        <v>1100</v>
      </c>
      <c r="L166" s="402" t="s">
        <v>831</v>
      </c>
      <c r="M166" s="521" t="s">
        <v>676</v>
      </c>
      <c r="N166" s="521" t="s">
        <v>677</v>
      </c>
      <c r="O166" s="403" t="s">
        <v>803</v>
      </c>
      <c r="P166" s="403" t="s">
        <v>804</v>
      </c>
      <c r="Q166" s="521" t="s">
        <v>805</v>
      </c>
      <c r="R166" s="133"/>
      <c r="S166" s="133"/>
      <c r="T166" s="133"/>
      <c r="U166" s="133"/>
      <c r="V166" s="133"/>
      <c r="W166" s="133"/>
      <c r="X166" s="133"/>
      <c r="Y166" s="133"/>
      <c r="Z166" s="133"/>
      <c r="AJ166" s="283"/>
      <c r="AK166" s="283"/>
      <c r="AL166" s="283"/>
      <c r="AM166" s="283"/>
      <c r="AN166" s="283"/>
    </row>
    <row r="167" spans="1:40" x14ac:dyDescent="0.3">
      <c r="A167" s="847"/>
      <c r="B167" s="334" t="s">
        <v>1065</v>
      </c>
      <c r="C167" s="846">
        <f>'Inputs and eligible population'!F109</f>
        <v>1.0900000000000001</v>
      </c>
      <c r="D167" s="128">
        <f>Summary!$C$16*'Capacity (local prices)'!$C167*'Inputs and eligible population'!$E$50</f>
        <v>0</v>
      </c>
      <c r="E167" s="128">
        <f>Summary!$D$16*'Capacity (local prices)'!$C167*'Inputs and eligible population'!$E$50</f>
        <v>0</v>
      </c>
      <c r="F167" s="128">
        <f>Summary!E$16*'Capacity (local prices)'!$C167*'Inputs and eligible population'!$E$50</f>
        <v>0</v>
      </c>
      <c r="G167" s="128">
        <f>Summary!F$16*'Capacity (local prices)'!$C167*'Inputs and eligible population'!$E$50</f>
        <v>0</v>
      </c>
      <c r="H167" s="128">
        <f>Summary!G$16*'Capacity (local prices)'!$C167*'Inputs and eligible population'!$E$50</f>
        <v>0</v>
      </c>
      <c r="I167" s="128">
        <f>Summary!H$16*'Capacity (local prices)'!$C167*'Inputs and eligible population'!$E$50</f>
        <v>0</v>
      </c>
      <c r="J167" s="845"/>
      <c r="K167" s="544">
        <f>'Unit costs'!N$137</f>
        <v>162.87</v>
      </c>
      <c r="L167" s="546">
        <f>$K167/1000*D167</f>
        <v>0</v>
      </c>
      <c r="M167" s="546">
        <f t="shared" ref="M167:Q177" si="69">$K167/1000*E167</f>
        <v>0</v>
      </c>
      <c r="N167" s="546">
        <f t="shared" si="69"/>
        <v>0</v>
      </c>
      <c r="O167" s="546">
        <f t="shared" si="69"/>
        <v>0</v>
      </c>
      <c r="P167" s="546">
        <f t="shared" si="69"/>
        <v>0</v>
      </c>
      <c r="Q167" s="546">
        <f t="shared" si="69"/>
        <v>0</v>
      </c>
      <c r="R167" s="133"/>
      <c r="S167" s="133"/>
      <c r="T167" s="133"/>
      <c r="U167" s="133"/>
      <c r="V167" s="133"/>
      <c r="W167" s="133"/>
      <c r="X167" s="133"/>
      <c r="Y167" s="133"/>
      <c r="Z167" s="133"/>
      <c r="AJ167" s="283"/>
      <c r="AK167" s="283"/>
      <c r="AL167" s="283"/>
      <c r="AM167" s="283"/>
      <c r="AN167" s="283"/>
    </row>
    <row r="168" spans="1:40" x14ac:dyDescent="0.3">
      <c r="A168" s="847"/>
      <c r="B168" s="334" t="s">
        <v>1064</v>
      </c>
      <c r="C168" s="149">
        <f>'Inputs and eligible population'!G109</f>
        <v>0.18</v>
      </c>
      <c r="D168" s="128">
        <f>Summary!C$16*'Capacity (local prices)'!$C168*'Inputs and eligible population'!$E$51</f>
        <v>0</v>
      </c>
      <c r="E168" s="128">
        <f>Summary!D$16*'Capacity (local prices)'!$C168*'Inputs and eligible population'!$E$51</f>
        <v>0</v>
      </c>
      <c r="F168" s="128">
        <f>Summary!E$16*'Capacity (local prices)'!$C168*'Inputs and eligible population'!$E$51</f>
        <v>0</v>
      </c>
      <c r="G168" s="128">
        <f>Summary!F$16*'Capacity (local prices)'!$C168*'Inputs and eligible population'!$E$51</f>
        <v>0</v>
      </c>
      <c r="H168" s="128">
        <f>Summary!G$16*'Capacity (local prices)'!$C168*'Inputs and eligible population'!$E$51</f>
        <v>0</v>
      </c>
      <c r="I168" s="128">
        <f>Summary!H$16*'Capacity (local prices)'!$C168*'Inputs and eligible population'!$E$51</f>
        <v>0</v>
      </c>
      <c r="J168" s="845"/>
      <c r="K168" s="544">
        <f>'Unit costs'!N$137</f>
        <v>162.87</v>
      </c>
      <c r="L168" s="546">
        <f t="shared" ref="L168:L177" si="70">$K168/1000*D168</f>
        <v>0</v>
      </c>
      <c r="M168" s="546">
        <f t="shared" si="69"/>
        <v>0</v>
      </c>
      <c r="N168" s="546">
        <f t="shared" si="69"/>
        <v>0</v>
      </c>
      <c r="O168" s="546">
        <f t="shared" si="69"/>
        <v>0</v>
      </c>
      <c r="P168" s="546">
        <f t="shared" si="69"/>
        <v>0</v>
      </c>
      <c r="Q168" s="546">
        <f t="shared" si="69"/>
        <v>0</v>
      </c>
      <c r="R168" s="133"/>
      <c r="S168" s="133"/>
      <c r="T168" s="133"/>
      <c r="U168" s="133"/>
      <c r="V168" s="133"/>
      <c r="W168" s="133"/>
      <c r="X168" s="133"/>
      <c r="Y168" s="133"/>
      <c r="Z168" s="133"/>
      <c r="AJ168" s="283"/>
      <c r="AK168" s="283"/>
      <c r="AL168" s="283"/>
      <c r="AM168" s="283"/>
      <c r="AN168" s="283"/>
    </row>
    <row r="169" spans="1:40" x14ac:dyDescent="0.3">
      <c r="A169" s="847"/>
      <c r="B169" s="334" t="s">
        <v>1162</v>
      </c>
      <c r="C169" s="149">
        <f>'Inputs and eligible population'!$H$109</f>
        <v>0</v>
      </c>
      <c r="D169" s="128">
        <f>'Inputs and eligible population'!$E$52*'Inputs and eligible population'!$L$84*'Capacity (local prices)'!$C$33</f>
        <v>0</v>
      </c>
      <c r="E169" s="128">
        <f>'Inputs and eligible population'!$E$52*'Inputs and eligible population'!$M$84*'Capacity (local prices)'!$C169</f>
        <v>0</v>
      </c>
      <c r="F169" s="128">
        <f>'Inputs and eligible population'!$E$52*'Inputs and eligible population'!$N$84*'Capacity (local prices)'!$C169</f>
        <v>0</v>
      </c>
      <c r="G169" s="128">
        <f>'Inputs and eligible population'!$E$52*'Inputs and eligible population'!$O$84*'Capacity (local prices)'!$C169</f>
        <v>0</v>
      </c>
      <c r="H169" s="128">
        <f>'Inputs and eligible population'!$E$52*'Inputs and eligible population'!$P$84*'Capacity (local prices)'!$C169</f>
        <v>0</v>
      </c>
      <c r="I169" s="128">
        <f>'Inputs and eligible population'!$E$52*'Inputs and eligible population'!$Q$84*'Capacity (local prices)'!$C169</f>
        <v>0</v>
      </c>
      <c r="J169" s="845"/>
      <c r="K169" s="544">
        <f>'Unit costs'!N$137</f>
        <v>162.87</v>
      </c>
      <c r="L169" s="546">
        <f t="shared" si="70"/>
        <v>0</v>
      </c>
      <c r="M169" s="546">
        <f t="shared" si="69"/>
        <v>0</v>
      </c>
      <c r="N169" s="546">
        <f t="shared" si="69"/>
        <v>0</v>
      </c>
      <c r="O169" s="546">
        <f t="shared" si="69"/>
        <v>0</v>
      </c>
      <c r="P169" s="546">
        <f t="shared" si="69"/>
        <v>0</v>
      </c>
      <c r="Q169" s="546">
        <f t="shared" si="69"/>
        <v>0</v>
      </c>
      <c r="R169" s="133"/>
      <c r="S169" s="133"/>
      <c r="T169" s="133"/>
      <c r="U169" s="133"/>
      <c r="V169" s="133"/>
      <c r="W169" s="133"/>
      <c r="X169" s="133"/>
      <c r="Y169" s="133"/>
      <c r="Z169" s="133"/>
      <c r="AJ169" s="283"/>
      <c r="AK169" s="283"/>
      <c r="AL169" s="283"/>
      <c r="AM169" s="283"/>
      <c r="AN169" s="283"/>
    </row>
    <row r="170" spans="1:40" x14ac:dyDescent="0.3">
      <c r="A170" s="847"/>
      <c r="B170" s="334" t="s">
        <v>1163</v>
      </c>
      <c r="C170" s="149">
        <f>'Inputs and eligible population'!$H$109</f>
        <v>0</v>
      </c>
      <c r="D170" s="128">
        <f>'Inputs and eligible population'!$F$52*'Inputs and eligible population'!$L$84*'Capacity (local prices)'!$C170</f>
        <v>0</v>
      </c>
      <c r="E170" s="128">
        <f>'Inputs and eligible population'!$F$52*'Inputs and eligible population'!$L$84*'Capacity (local prices)'!$C170</f>
        <v>0</v>
      </c>
      <c r="F170" s="128">
        <f>'Inputs and eligible population'!$F$52*'Inputs and eligible population'!$M$84*'Capacity (local prices)'!$C170</f>
        <v>0</v>
      </c>
      <c r="G170" s="128">
        <f>'Inputs and eligible population'!$F$52*'Inputs and eligible population'!$N$84*'Capacity (local prices)'!$C170</f>
        <v>0</v>
      </c>
      <c r="H170" s="128">
        <f>'Inputs and eligible population'!$F$52*'Inputs and eligible population'!$O$84*'Capacity (local prices)'!$C170</f>
        <v>0</v>
      </c>
      <c r="I170" s="128">
        <f>'Inputs and eligible population'!$F$52*'Inputs and eligible population'!$P$84*'Capacity (local prices)'!$C170</f>
        <v>0</v>
      </c>
      <c r="J170" s="845"/>
      <c r="K170" s="544">
        <f>'Unit costs'!N$137</f>
        <v>162.87</v>
      </c>
      <c r="L170" s="546">
        <f t="shared" si="70"/>
        <v>0</v>
      </c>
      <c r="M170" s="546">
        <f t="shared" si="69"/>
        <v>0</v>
      </c>
      <c r="N170" s="546">
        <f t="shared" si="69"/>
        <v>0</v>
      </c>
      <c r="O170" s="546">
        <f t="shared" si="69"/>
        <v>0</v>
      </c>
      <c r="P170" s="546">
        <f t="shared" si="69"/>
        <v>0</v>
      </c>
      <c r="Q170" s="546">
        <f t="shared" si="69"/>
        <v>0</v>
      </c>
      <c r="R170" s="133"/>
      <c r="S170" s="133"/>
      <c r="T170" s="133"/>
      <c r="U170" s="133"/>
      <c r="V170" s="133"/>
      <c r="W170" s="133"/>
      <c r="X170" s="133"/>
      <c r="Y170" s="133"/>
      <c r="Z170" s="133"/>
      <c r="AJ170" s="283"/>
      <c r="AK170" s="283"/>
      <c r="AL170" s="283"/>
      <c r="AM170" s="283"/>
      <c r="AN170" s="283"/>
    </row>
    <row r="171" spans="1:40" x14ac:dyDescent="0.3">
      <c r="A171" s="847"/>
      <c r="B171" s="334" t="s">
        <v>1164</v>
      </c>
      <c r="C171" s="149">
        <f>'Inputs and eligible population'!$H$109</f>
        <v>0</v>
      </c>
      <c r="D171" s="128">
        <f>'Inputs and eligible population'!$G$52*'Inputs and eligible population'!$L$84*'Capacity (local prices)'!$C171</f>
        <v>0</v>
      </c>
      <c r="E171" s="128">
        <f>'Inputs and eligible population'!$G$52*'Inputs and eligible population'!$L$84*'Capacity (local prices)'!$C171</f>
        <v>0</v>
      </c>
      <c r="F171" s="128">
        <f>'Inputs and eligible population'!$G$52*'Inputs and eligible population'!$L$84*'Capacity (local prices)'!$C171</f>
        <v>0</v>
      </c>
      <c r="G171" s="128">
        <f>'Inputs and eligible population'!$G$52*'Inputs and eligible population'!$M$84*'Capacity (local prices)'!$C171</f>
        <v>0</v>
      </c>
      <c r="H171" s="128">
        <f>'Inputs and eligible population'!$G$52*'Inputs and eligible population'!$N$84*'Capacity (local prices)'!$C171</f>
        <v>0</v>
      </c>
      <c r="I171" s="128">
        <f>'Inputs and eligible population'!$G$52*'Inputs and eligible population'!$O$84*'Capacity (local prices)'!$C171</f>
        <v>0</v>
      </c>
      <c r="J171" s="845"/>
      <c r="K171" s="544">
        <f>'Unit costs'!N$137</f>
        <v>162.87</v>
      </c>
      <c r="L171" s="546">
        <f t="shared" si="70"/>
        <v>0</v>
      </c>
      <c r="M171" s="546">
        <f t="shared" si="69"/>
        <v>0</v>
      </c>
      <c r="N171" s="546">
        <f t="shared" si="69"/>
        <v>0</v>
      </c>
      <c r="O171" s="546">
        <f t="shared" si="69"/>
        <v>0</v>
      </c>
      <c r="P171" s="546">
        <f t="shared" si="69"/>
        <v>0</v>
      </c>
      <c r="Q171" s="546">
        <f t="shared" si="69"/>
        <v>0</v>
      </c>
      <c r="R171" s="133"/>
      <c r="S171" s="133"/>
      <c r="T171" s="133"/>
      <c r="U171" s="133"/>
      <c r="V171" s="133"/>
      <c r="W171" s="133"/>
      <c r="X171" s="133"/>
      <c r="Y171" s="133"/>
      <c r="Z171" s="133"/>
      <c r="AJ171" s="283"/>
      <c r="AK171" s="283"/>
      <c r="AL171" s="283"/>
      <c r="AM171" s="283"/>
      <c r="AN171" s="283"/>
    </row>
    <row r="172" spans="1:40" x14ac:dyDescent="0.3">
      <c r="A172" s="847"/>
      <c r="B172" s="334" t="s">
        <v>1066</v>
      </c>
      <c r="C172" s="846">
        <f>'Inputs and eligible population'!I109</f>
        <v>1.0900000000000001</v>
      </c>
      <c r="D172" s="128">
        <f>'Financial impact (cash)'!D$15*$C172*'Inputs and eligible population'!$E$53</f>
        <v>0</v>
      </c>
      <c r="E172" s="128">
        <f>'Financial impact (cash)'!E$15*$C172*'Inputs and eligible population'!$E$53</f>
        <v>0</v>
      </c>
      <c r="F172" s="128">
        <f>'Financial impact (cash)'!F$15*$C172*'Inputs and eligible population'!$E$53</f>
        <v>0</v>
      </c>
      <c r="G172" s="128">
        <f>'Financial impact (cash)'!G$15*$C172*'Inputs and eligible population'!$E$53</f>
        <v>0</v>
      </c>
      <c r="H172" s="128">
        <f>'Financial impact (cash)'!H$15*$C172*'Inputs and eligible population'!$E$53</f>
        <v>0</v>
      </c>
      <c r="I172" s="128">
        <f>'Financial impact (cash)'!I$15*$C172*'Inputs and eligible population'!$E$53</f>
        <v>0</v>
      </c>
      <c r="J172" s="845"/>
      <c r="K172" s="544">
        <f>'Unit costs'!N$137</f>
        <v>162.87</v>
      </c>
      <c r="L172" s="546">
        <f t="shared" si="70"/>
        <v>0</v>
      </c>
      <c r="M172" s="546">
        <f t="shared" si="69"/>
        <v>0</v>
      </c>
      <c r="N172" s="546">
        <f t="shared" si="69"/>
        <v>0</v>
      </c>
      <c r="O172" s="546">
        <f t="shared" si="69"/>
        <v>0</v>
      </c>
      <c r="P172" s="546">
        <f t="shared" si="69"/>
        <v>0</v>
      </c>
      <c r="Q172" s="546">
        <f t="shared" si="69"/>
        <v>0</v>
      </c>
      <c r="R172" s="133"/>
      <c r="S172" s="133"/>
      <c r="T172" s="133"/>
      <c r="U172" s="133"/>
      <c r="V172" s="133"/>
      <c r="W172" s="133"/>
      <c r="X172" s="133"/>
      <c r="Y172" s="133"/>
      <c r="Z172" s="133"/>
      <c r="AJ172" s="283"/>
      <c r="AK172" s="283"/>
      <c r="AL172" s="283"/>
      <c r="AM172" s="283"/>
      <c r="AN172" s="283"/>
    </row>
    <row r="173" spans="1:40" x14ac:dyDescent="0.3">
      <c r="A173" s="847"/>
      <c r="B173" s="334" t="s">
        <v>1067</v>
      </c>
      <c r="C173" s="149">
        <f>'Inputs and eligible population'!J109</f>
        <v>0.18</v>
      </c>
      <c r="D173" s="128">
        <f>'Financial impact (cash)'!D$15*$C173*'Inputs and eligible population'!$E$54</f>
        <v>0</v>
      </c>
      <c r="E173" s="128">
        <f>'Financial impact (cash)'!E$15*$C173*'Inputs and eligible population'!$E$54</f>
        <v>0</v>
      </c>
      <c r="F173" s="128">
        <f>'Financial impact (cash)'!F$15*$C173*'Inputs and eligible population'!$E$54</f>
        <v>0</v>
      </c>
      <c r="G173" s="128">
        <f>'Financial impact (cash)'!G$15*$C173*'Inputs and eligible population'!$E$54</f>
        <v>0</v>
      </c>
      <c r="H173" s="128">
        <f>'Financial impact (cash)'!H$15*$C173*'Inputs and eligible population'!$E$54</f>
        <v>0</v>
      </c>
      <c r="I173" s="128">
        <f>'Financial impact (cash)'!I$15*$C173*'Inputs and eligible population'!$E$54</f>
        <v>0</v>
      </c>
      <c r="J173" s="845"/>
      <c r="K173" s="544">
        <f>'Unit costs'!N$137</f>
        <v>162.87</v>
      </c>
      <c r="L173" s="546">
        <f t="shared" si="70"/>
        <v>0</v>
      </c>
      <c r="M173" s="546">
        <f t="shared" si="69"/>
        <v>0</v>
      </c>
      <c r="N173" s="546">
        <f t="shared" si="69"/>
        <v>0</v>
      </c>
      <c r="O173" s="546">
        <f t="shared" si="69"/>
        <v>0</v>
      </c>
      <c r="P173" s="546">
        <f t="shared" si="69"/>
        <v>0</v>
      </c>
      <c r="Q173" s="546">
        <f t="shared" si="69"/>
        <v>0</v>
      </c>
      <c r="R173" s="133"/>
      <c r="S173" s="133"/>
      <c r="T173" s="133"/>
      <c r="U173" s="133"/>
      <c r="V173" s="133"/>
      <c r="W173" s="133"/>
      <c r="X173" s="133"/>
      <c r="Y173" s="133"/>
      <c r="Z173" s="133"/>
      <c r="AJ173" s="283"/>
      <c r="AK173" s="283"/>
      <c r="AL173" s="283"/>
      <c r="AM173" s="283"/>
      <c r="AN173" s="283"/>
    </row>
    <row r="174" spans="1:40" x14ac:dyDescent="0.3">
      <c r="A174" s="847"/>
      <c r="B174" s="334" t="s">
        <v>1165</v>
      </c>
      <c r="C174" s="149">
        <f>'Inputs and eligible population'!K$109</f>
        <v>0</v>
      </c>
      <c r="D174" s="128">
        <f>Summary!$C$17*'Capacity (local prices)'!$C174*'Inputs and eligible population'!$E$55</f>
        <v>0</v>
      </c>
      <c r="E174" s="128">
        <f>(Summary!$D$17*'Capacity (local prices)'!$C174*'Inputs and eligible population'!$E$55)</f>
        <v>0</v>
      </c>
      <c r="F174" s="128">
        <f>(Summary!$E$17*'Capacity (local prices)'!$C174*'Inputs and eligible population'!$E$55)</f>
        <v>0</v>
      </c>
      <c r="G174" s="128">
        <f>(Summary!$F$17*'Capacity (local prices)'!$C174*'Inputs and eligible population'!$E$55)</f>
        <v>0</v>
      </c>
      <c r="H174" s="128">
        <f>(Summary!$G$17*'Capacity (local prices)'!$C174*'Inputs and eligible population'!$E$55)</f>
        <v>0</v>
      </c>
      <c r="I174" s="128">
        <f>(Summary!$H$17*'Capacity (local prices)'!$C174*'Inputs and eligible population'!$E$55)</f>
        <v>0</v>
      </c>
      <c r="J174" s="845"/>
      <c r="K174" s="544">
        <f>'Unit costs'!N$137</f>
        <v>162.87</v>
      </c>
      <c r="L174" s="546">
        <f t="shared" si="70"/>
        <v>0</v>
      </c>
      <c r="M174" s="546">
        <f t="shared" si="69"/>
        <v>0</v>
      </c>
      <c r="N174" s="546">
        <f t="shared" si="69"/>
        <v>0</v>
      </c>
      <c r="O174" s="546">
        <f t="shared" si="69"/>
        <v>0</v>
      </c>
      <c r="P174" s="546">
        <f t="shared" si="69"/>
        <v>0</v>
      </c>
      <c r="Q174" s="546">
        <f t="shared" si="69"/>
        <v>0</v>
      </c>
      <c r="R174" s="133"/>
      <c r="S174" s="133"/>
      <c r="T174" s="133"/>
      <c r="U174" s="133"/>
      <c r="V174" s="133"/>
      <c r="W174" s="133"/>
      <c r="X174" s="133"/>
      <c r="Y174" s="133"/>
      <c r="Z174" s="133"/>
      <c r="AJ174" s="283"/>
      <c r="AK174" s="283"/>
      <c r="AL174" s="283"/>
      <c r="AM174" s="283"/>
      <c r="AN174" s="283"/>
    </row>
    <row r="175" spans="1:40" x14ac:dyDescent="0.3">
      <c r="A175" s="847"/>
      <c r="B175" s="334" t="s">
        <v>1166</v>
      </c>
      <c r="C175" s="149">
        <f>'Inputs and eligible population'!K$109</f>
        <v>0</v>
      </c>
      <c r="D175" s="128">
        <f>Summary!$C$17*'Capacity (local prices)'!$C174*'Inputs and eligible population'!$F$55</f>
        <v>0</v>
      </c>
      <c r="E175" s="128">
        <f>Summary!$C$17*'Capacity (local prices)'!$C174*'Inputs and eligible population'!$F$55</f>
        <v>0</v>
      </c>
      <c r="F175" s="128">
        <f>(Summary!$D$17*'Capacity (local prices)'!$C174*'Inputs and eligible population'!$F$55)</f>
        <v>0</v>
      </c>
      <c r="G175" s="128">
        <f>(Summary!$E$17*'Capacity (local prices)'!$C174*'Inputs and eligible population'!$F$55)</f>
        <v>0</v>
      </c>
      <c r="H175" s="128">
        <f>(Summary!$F$17*'Capacity (local prices)'!$C174*'Inputs and eligible population'!$F$55)</f>
        <v>0</v>
      </c>
      <c r="I175" s="128">
        <f>(Summary!$G$17*'Capacity (local prices)'!$C174*'Inputs and eligible population'!$F$55)</f>
        <v>0</v>
      </c>
      <c r="J175" s="845"/>
      <c r="K175" s="544">
        <f>'Unit costs'!N$137</f>
        <v>162.87</v>
      </c>
      <c r="L175" s="546">
        <f t="shared" si="70"/>
        <v>0</v>
      </c>
      <c r="M175" s="546">
        <f t="shared" si="69"/>
        <v>0</v>
      </c>
      <c r="N175" s="546">
        <f t="shared" si="69"/>
        <v>0</v>
      </c>
      <c r="O175" s="546">
        <f t="shared" si="69"/>
        <v>0</v>
      </c>
      <c r="P175" s="546">
        <f t="shared" si="69"/>
        <v>0</v>
      </c>
      <c r="Q175" s="546">
        <f t="shared" si="69"/>
        <v>0</v>
      </c>
      <c r="R175" s="133"/>
      <c r="S175" s="133"/>
      <c r="T175" s="133"/>
      <c r="U175" s="133"/>
      <c r="V175" s="133"/>
      <c r="W175" s="133"/>
      <c r="X175" s="133"/>
      <c r="Y175" s="133"/>
      <c r="Z175" s="133"/>
      <c r="AJ175" s="283"/>
      <c r="AK175" s="283"/>
      <c r="AL175" s="283"/>
      <c r="AM175" s="283"/>
      <c r="AN175" s="283"/>
    </row>
    <row r="176" spans="1:40" x14ac:dyDescent="0.3">
      <c r="A176" s="847"/>
      <c r="B176" s="334" t="s">
        <v>1167</v>
      </c>
      <c r="C176" s="149">
        <f>'Inputs and eligible population'!K$109</f>
        <v>0</v>
      </c>
      <c r="D176" s="128">
        <f>Summary!$C$17*'Capacity (local prices)'!$C174*'Inputs and eligible population'!$G$55</f>
        <v>0</v>
      </c>
      <c r="E176" s="128">
        <f>Summary!$C$17*'Capacity (local prices)'!$C174*'Inputs and eligible population'!$G$55</f>
        <v>0</v>
      </c>
      <c r="F176" s="128">
        <f>Summary!$C$17*'Capacity (local prices)'!$C174*'Inputs and eligible population'!$G$55</f>
        <v>0</v>
      </c>
      <c r="G176" s="128">
        <f>(Summary!$D$17*'Capacity (local prices)'!$C174*'Inputs and eligible population'!$G$55)</f>
        <v>0</v>
      </c>
      <c r="H176" s="128">
        <f>(Summary!$E$17*'Capacity (local prices)'!$C174*'Inputs and eligible population'!$G$55)</f>
        <v>0</v>
      </c>
      <c r="I176" s="128">
        <f>(Summary!$F$17*'Capacity (local prices)'!$C174*'Inputs and eligible population'!$G$55)</f>
        <v>0</v>
      </c>
      <c r="J176" s="845"/>
      <c r="K176" s="544">
        <f>'Unit costs'!N$137</f>
        <v>162.87</v>
      </c>
      <c r="L176" s="546">
        <f t="shared" si="70"/>
        <v>0</v>
      </c>
      <c r="M176" s="546">
        <f t="shared" si="69"/>
        <v>0</v>
      </c>
      <c r="N176" s="546">
        <f t="shared" si="69"/>
        <v>0</v>
      </c>
      <c r="O176" s="546">
        <f t="shared" si="69"/>
        <v>0</v>
      </c>
      <c r="P176" s="546">
        <f t="shared" si="69"/>
        <v>0</v>
      </c>
      <c r="Q176" s="546">
        <f t="shared" si="69"/>
        <v>0</v>
      </c>
      <c r="R176" s="133"/>
      <c r="S176" s="133"/>
      <c r="T176" s="133"/>
      <c r="U176" s="133"/>
      <c r="V176" s="133"/>
      <c r="W176" s="133"/>
      <c r="X176" s="133"/>
      <c r="Y176" s="133"/>
      <c r="Z176" s="133"/>
      <c r="AJ176" s="283"/>
      <c r="AK176" s="283"/>
      <c r="AL176" s="283"/>
      <c r="AM176" s="283"/>
      <c r="AN176" s="283"/>
    </row>
    <row r="177" spans="1:40" x14ac:dyDescent="0.3">
      <c r="A177" s="847"/>
      <c r="B177" s="832" t="s">
        <v>1069</v>
      </c>
      <c r="C177" s="149">
        <f>'Inputs and eligible population'!L109</f>
        <v>0</v>
      </c>
      <c r="D177" s="128">
        <f>Summary!C$18*'Capacity (local prices)'!$C177*'Inputs and eligible population'!$E$56</f>
        <v>0</v>
      </c>
      <c r="E177" s="128">
        <f>Summary!D$18*'Capacity (local prices)'!$C177*'Inputs and eligible population'!$E$56</f>
        <v>0</v>
      </c>
      <c r="F177" s="128">
        <f>Summary!E$18*'Capacity (local prices)'!$C177*'Inputs and eligible population'!$E$56</f>
        <v>0</v>
      </c>
      <c r="G177" s="128">
        <f>Summary!F$18*'Capacity (local prices)'!$C177*'Inputs and eligible population'!$E$56</f>
        <v>0</v>
      </c>
      <c r="H177" s="128">
        <f>Summary!G$18*'Capacity (local prices)'!$C177*'Inputs and eligible population'!$E$56</f>
        <v>0</v>
      </c>
      <c r="I177" s="128">
        <f>Summary!H$18*'Capacity (local prices)'!$C177*'Inputs and eligible population'!$E$56</f>
        <v>0</v>
      </c>
      <c r="J177" s="845"/>
      <c r="K177" s="544">
        <f>'Unit costs'!N$137</f>
        <v>162.87</v>
      </c>
      <c r="L177" s="546">
        <f t="shared" si="70"/>
        <v>0</v>
      </c>
      <c r="M177" s="546">
        <f t="shared" si="69"/>
        <v>0</v>
      </c>
      <c r="N177" s="546">
        <f t="shared" si="69"/>
        <v>0</v>
      </c>
      <c r="O177" s="546">
        <f t="shared" si="69"/>
        <v>0</v>
      </c>
      <c r="P177" s="546">
        <f t="shared" si="69"/>
        <v>0</v>
      </c>
      <c r="Q177" s="546">
        <f t="shared" si="69"/>
        <v>0</v>
      </c>
      <c r="R177" s="133"/>
      <c r="S177" s="133"/>
      <c r="T177" s="133"/>
      <c r="U177" s="133"/>
      <c r="V177" s="133"/>
      <c r="W177" s="133"/>
      <c r="X177" s="133"/>
      <c r="Y177" s="133"/>
      <c r="Z177" s="133"/>
      <c r="AJ177" s="283"/>
      <c r="AK177" s="283"/>
      <c r="AL177" s="283"/>
      <c r="AM177" s="283"/>
      <c r="AN177" s="283"/>
    </row>
    <row r="178" spans="1:40" x14ac:dyDescent="0.3">
      <c r="A178" s="847"/>
      <c r="B178" s="504"/>
      <c r="C178" s="280"/>
      <c r="D178" s="186">
        <f>SUM(D167:D177)</f>
        <v>0</v>
      </c>
      <c r="E178" s="186">
        <f t="shared" ref="E178:I178" si="71">SUM(E167:E177)</f>
        <v>0</v>
      </c>
      <c r="F178" s="186">
        <f t="shared" si="71"/>
        <v>0</v>
      </c>
      <c r="G178" s="186">
        <f t="shared" si="71"/>
        <v>0</v>
      </c>
      <c r="H178" s="186">
        <f t="shared" si="71"/>
        <v>0</v>
      </c>
      <c r="I178" s="186">
        <f t="shared" si="71"/>
        <v>0</v>
      </c>
      <c r="J178" s="845"/>
      <c r="K178" s="221"/>
      <c r="L178" s="290">
        <f>SUM(L167:L177)</f>
        <v>0</v>
      </c>
      <c r="M178" s="290">
        <f t="shared" ref="M178:Q178" si="72">SUM(M167:M177)</f>
        <v>0</v>
      </c>
      <c r="N178" s="290">
        <f t="shared" si="72"/>
        <v>0</v>
      </c>
      <c r="O178" s="290">
        <f t="shared" si="72"/>
        <v>0</v>
      </c>
      <c r="P178" s="290">
        <f t="shared" si="72"/>
        <v>0</v>
      </c>
      <c r="Q178" s="290">
        <f t="shared" si="72"/>
        <v>0</v>
      </c>
      <c r="R178" s="133"/>
      <c r="S178" s="133"/>
      <c r="T178" s="133"/>
      <c r="U178" s="133"/>
      <c r="V178" s="133"/>
      <c r="W178" s="133"/>
      <c r="X178" s="133"/>
      <c r="Y178" s="133"/>
      <c r="Z178" s="133"/>
      <c r="AJ178" s="283"/>
      <c r="AK178" s="283"/>
      <c r="AL178" s="283"/>
      <c r="AM178" s="283"/>
      <c r="AN178" s="283"/>
    </row>
    <row r="179" spans="1:40" x14ac:dyDescent="0.3">
      <c r="A179" s="847"/>
      <c r="B179" s="255"/>
      <c r="C179" s="255"/>
      <c r="D179" s="282" t="s">
        <v>841</v>
      </c>
      <c r="E179" s="186">
        <f>E178-$D$178</f>
        <v>0</v>
      </c>
      <c r="F179" s="186">
        <f t="shared" ref="F179:I179" si="73">F178-$D$178</f>
        <v>0</v>
      </c>
      <c r="G179" s="186">
        <f t="shared" si="73"/>
        <v>0</v>
      </c>
      <c r="H179" s="186">
        <f t="shared" si="73"/>
        <v>0</v>
      </c>
      <c r="I179" s="186">
        <f t="shared" si="73"/>
        <v>0</v>
      </c>
      <c r="J179" s="845"/>
      <c r="K179" s="221"/>
      <c r="L179" s="221"/>
      <c r="M179" s="290">
        <f>M178-$L178</f>
        <v>0</v>
      </c>
      <c r="N179" s="290">
        <f t="shared" ref="N179:Q179" si="74">N178-$L178</f>
        <v>0</v>
      </c>
      <c r="O179" s="290">
        <f t="shared" si="74"/>
        <v>0</v>
      </c>
      <c r="P179" s="290">
        <f t="shared" si="74"/>
        <v>0</v>
      </c>
      <c r="Q179" s="290">
        <f t="shared" si="74"/>
        <v>0</v>
      </c>
      <c r="R179" s="133"/>
      <c r="S179" s="133"/>
      <c r="T179" s="133"/>
      <c r="U179" s="133"/>
      <c r="V179" s="133"/>
      <c r="W179" s="133"/>
      <c r="X179" s="133"/>
      <c r="Y179" s="133"/>
      <c r="Z179" s="133"/>
      <c r="AJ179" s="283"/>
      <c r="AK179" s="283"/>
      <c r="AL179" s="283"/>
      <c r="AM179" s="283"/>
      <c r="AN179" s="283"/>
    </row>
    <row r="180" spans="1:40" x14ac:dyDescent="0.3">
      <c r="A180" s="287"/>
      <c r="B180" s="311"/>
      <c r="C180" s="221"/>
      <c r="D180" s="221"/>
      <c r="E180" s="221"/>
      <c r="F180" s="221"/>
      <c r="G180" s="221"/>
      <c r="H180" s="221"/>
      <c r="I180" s="221"/>
      <c r="J180" s="221"/>
      <c r="K180" s="221"/>
      <c r="L180" s="221"/>
      <c r="M180" s="221"/>
      <c r="N180" s="221"/>
      <c r="O180" s="221"/>
      <c r="P180" s="221"/>
      <c r="Q180" s="221"/>
      <c r="V180" s="133"/>
    </row>
    <row r="181" spans="1:40" x14ac:dyDescent="0.3">
      <c r="A181" s="287"/>
      <c r="B181" s="310" t="s">
        <v>848</v>
      </c>
      <c r="C181" s="298"/>
      <c r="D181" s="299"/>
      <c r="E181" s="300"/>
      <c r="F181" s="301"/>
      <c r="G181" s="301"/>
      <c r="H181" s="301"/>
      <c r="I181" s="414"/>
      <c r="J181" s="287"/>
      <c r="K181" s="287"/>
      <c r="L181" s="287"/>
      <c r="M181" s="287"/>
      <c r="N181" s="287"/>
      <c r="O181" s="287"/>
      <c r="P181" s="287"/>
      <c r="Q181" s="221"/>
      <c r="R181" s="133"/>
      <c r="S181" s="133"/>
      <c r="T181" s="133"/>
      <c r="U181" s="133"/>
      <c r="V181" s="133"/>
      <c r="W181" s="133"/>
      <c r="X181" s="133"/>
      <c r="Y181" s="133"/>
      <c r="Z181" s="133"/>
      <c r="AJ181" s="283"/>
      <c r="AK181" s="283"/>
      <c r="AL181" s="283"/>
      <c r="AM181" s="283"/>
      <c r="AN181" s="283"/>
    </row>
    <row r="182" spans="1:40" x14ac:dyDescent="0.3">
      <c r="A182" s="287"/>
      <c r="B182" s="381" t="s">
        <v>1082</v>
      </c>
      <c r="C182" s="382"/>
      <c r="D182" s="382"/>
      <c r="E182" s="382"/>
      <c r="F182" s="382"/>
      <c r="G182" s="382"/>
      <c r="H182" s="382"/>
      <c r="I182" s="220"/>
      <c r="J182" s="221"/>
      <c r="K182" s="221"/>
      <c r="L182" s="410"/>
      <c r="M182" s="410"/>
      <c r="N182" s="410"/>
      <c r="O182" s="410"/>
      <c r="P182" s="410"/>
      <c r="Q182" s="410"/>
      <c r="R182" s="133"/>
      <c r="S182" s="133"/>
      <c r="T182" s="133"/>
      <c r="U182" s="133"/>
      <c r="V182" s="133"/>
      <c r="W182" s="133"/>
      <c r="X182" s="133"/>
      <c r="Y182" s="133"/>
      <c r="Z182" s="133"/>
      <c r="AJ182" s="283"/>
      <c r="AK182" s="283"/>
      <c r="AL182" s="283"/>
      <c r="AM182" s="283"/>
      <c r="AN182" s="283"/>
    </row>
    <row r="183" spans="1:40" ht="43.2" x14ac:dyDescent="0.3">
      <c r="A183" s="847"/>
      <c r="B183" s="306" t="s">
        <v>766</v>
      </c>
      <c r="C183" s="166" t="s">
        <v>1099</v>
      </c>
      <c r="D183" s="402" t="s">
        <v>831</v>
      </c>
      <c r="E183" s="254" t="s">
        <v>676</v>
      </c>
      <c r="F183" s="254" t="s">
        <v>677</v>
      </c>
      <c r="G183" s="165" t="s">
        <v>803</v>
      </c>
      <c r="H183" s="165" t="s">
        <v>804</v>
      </c>
      <c r="I183" s="254" t="s">
        <v>805</v>
      </c>
      <c r="J183" s="845"/>
      <c r="K183" s="531" t="s">
        <v>1100</v>
      </c>
      <c r="L183" s="402" t="s">
        <v>831</v>
      </c>
      <c r="M183" s="521" t="s">
        <v>676</v>
      </c>
      <c r="N183" s="521" t="s">
        <v>677</v>
      </c>
      <c r="O183" s="403" t="s">
        <v>803</v>
      </c>
      <c r="P183" s="403" t="s">
        <v>804</v>
      </c>
      <c r="Q183" s="521" t="s">
        <v>805</v>
      </c>
      <c r="R183" s="133"/>
      <c r="S183" s="133"/>
      <c r="T183" s="133"/>
      <c r="U183" s="133"/>
      <c r="V183" s="133"/>
      <c r="W183" s="133"/>
      <c r="X183" s="133"/>
      <c r="Y183" s="133"/>
      <c r="Z183" s="133"/>
      <c r="AJ183" s="283"/>
      <c r="AK183" s="283"/>
      <c r="AL183" s="283"/>
      <c r="AM183" s="283"/>
      <c r="AN183" s="283"/>
    </row>
    <row r="184" spans="1:40" x14ac:dyDescent="0.3">
      <c r="A184" s="847"/>
      <c r="B184" s="334" t="s">
        <v>1065</v>
      </c>
      <c r="C184" s="846">
        <f>'Inputs and eligible population'!F111</f>
        <v>0.46</v>
      </c>
      <c r="D184" s="128">
        <f>Summary!$C$16*'Capacity (local prices)'!$C184*'Inputs and eligible population'!$E$50</f>
        <v>0</v>
      </c>
      <c r="E184" s="128">
        <f>Summary!$D$16*'Capacity (local prices)'!$C184*'Inputs and eligible population'!$E$50</f>
        <v>0</v>
      </c>
      <c r="F184" s="128">
        <f>Summary!E$16*'Capacity (local prices)'!$C184*'Inputs and eligible population'!$E$50</f>
        <v>0</v>
      </c>
      <c r="G184" s="128">
        <f>Summary!F$16*'Capacity (local prices)'!$C184*'Inputs and eligible population'!$E$50</f>
        <v>0</v>
      </c>
      <c r="H184" s="128">
        <f>Summary!G$16*'Capacity (local prices)'!$C184*'Inputs and eligible population'!$E$50</f>
        <v>0</v>
      </c>
      <c r="I184" s="128">
        <f>Summary!H$16*'Capacity (local prices)'!$C184*'Inputs and eligible population'!$E$50</f>
        <v>0</v>
      </c>
      <c r="J184" s="845"/>
      <c r="K184" s="544">
        <f>'Unit costs'!N$132</f>
        <v>741.54</v>
      </c>
      <c r="L184" s="546">
        <f>$K184/1000*D184</f>
        <v>0</v>
      </c>
      <c r="M184" s="546">
        <f t="shared" ref="M184:Q194" si="75">$K184/1000*E184</f>
        <v>0</v>
      </c>
      <c r="N184" s="546">
        <f t="shared" si="75"/>
        <v>0</v>
      </c>
      <c r="O184" s="546">
        <f t="shared" si="75"/>
        <v>0</v>
      </c>
      <c r="P184" s="546">
        <f t="shared" si="75"/>
        <v>0</v>
      </c>
      <c r="Q184" s="546">
        <f t="shared" si="75"/>
        <v>0</v>
      </c>
      <c r="R184" s="133"/>
      <c r="S184" s="133"/>
      <c r="T184" s="133"/>
      <c r="U184" s="133"/>
      <c r="V184" s="133"/>
      <c r="W184" s="133"/>
      <c r="X184" s="133"/>
      <c r="Y184" s="133"/>
      <c r="Z184" s="133"/>
      <c r="AJ184" s="283"/>
      <c r="AK184" s="283"/>
      <c r="AL184" s="283"/>
      <c r="AM184" s="283"/>
      <c r="AN184" s="283"/>
    </row>
    <row r="185" spans="1:40" x14ac:dyDescent="0.3">
      <c r="A185" s="847"/>
      <c r="B185" s="334" t="s">
        <v>1064</v>
      </c>
      <c r="C185" s="149">
        <f>'Inputs and eligible population'!G111</f>
        <v>0.46</v>
      </c>
      <c r="D185" s="128">
        <f>Summary!C$16*'Capacity (local prices)'!$C185*'Inputs and eligible population'!$E$51</f>
        <v>0</v>
      </c>
      <c r="E185" s="128">
        <f>Summary!D$16*'Capacity (local prices)'!$C185*'Inputs and eligible population'!$E$51</f>
        <v>0</v>
      </c>
      <c r="F185" s="128">
        <f>Summary!E$16*'Capacity (local prices)'!$C185*'Inputs and eligible population'!$E$51</f>
        <v>0</v>
      </c>
      <c r="G185" s="128">
        <f>Summary!F$16*'Capacity (local prices)'!$C185*'Inputs and eligible population'!$E$51</f>
        <v>0</v>
      </c>
      <c r="H185" s="128">
        <f>Summary!G$16*'Capacity (local prices)'!$C185*'Inputs and eligible population'!$E$51</f>
        <v>0</v>
      </c>
      <c r="I185" s="128">
        <f>Summary!H$16*'Capacity (local prices)'!$C185*'Inputs and eligible population'!$E$51</f>
        <v>0</v>
      </c>
      <c r="J185" s="845"/>
      <c r="K185" s="544">
        <f>'Unit costs'!N$132</f>
        <v>741.54</v>
      </c>
      <c r="L185" s="546">
        <f t="shared" ref="L185:L194" si="76">$K185/1000*D185</f>
        <v>0</v>
      </c>
      <c r="M185" s="546">
        <f t="shared" si="75"/>
        <v>0</v>
      </c>
      <c r="N185" s="546">
        <f t="shared" si="75"/>
        <v>0</v>
      </c>
      <c r="O185" s="546">
        <f t="shared" si="75"/>
        <v>0</v>
      </c>
      <c r="P185" s="546">
        <f t="shared" si="75"/>
        <v>0</v>
      </c>
      <c r="Q185" s="546">
        <f t="shared" si="75"/>
        <v>0</v>
      </c>
      <c r="R185" s="133"/>
      <c r="S185" s="133"/>
      <c r="T185" s="133"/>
      <c r="U185" s="133"/>
      <c r="V185" s="133"/>
      <c r="W185" s="133"/>
      <c r="X185" s="133"/>
      <c r="Y185" s="133"/>
      <c r="Z185" s="133"/>
      <c r="AJ185" s="283"/>
      <c r="AK185" s="283"/>
      <c r="AL185" s="283"/>
      <c r="AM185" s="283"/>
      <c r="AN185" s="283"/>
    </row>
    <row r="186" spans="1:40" x14ac:dyDescent="0.3">
      <c r="A186" s="847"/>
      <c r="B186" s="334" t="s">
        <v>1162</v>
      </c>
      <c r="C186" s="149">
        <f>'Inputs and eligible population'!H$111</f>
        <v>0.46</v>
      </c>
      <c r="D186" s="128">
        <f>'Inputs and eligible population'!$E$52*'Inputs and eligible population'!$L$84*'Capacity (local prices)'!$C$33</f>
        <v>0</v>
      </c>
      <c r="E186" s="128">
        <f>'Inputs and eligible population'!$E$52*'Inputs and eligible population'!$M$84*'Capacity (local prices)'!$C186</f>
        <v>0</v>
      </c>
      <c r="F186" s="128">
        <f>'Inputs and eligible population'!$E$52*'Inputs and eligible population'!$N$84*'Capacity (local prices)'!$C186</f>
        <v>0</v>
      </c>
      <c r="G186" s="128">
        <f>'Inputs and eligible population'!$E$52*'Inputs and eligible population'!$O$84*'Capacity (local prices)'!$C186</f>
        <v>0</v>
      </c>
      <c r="H186" s="128">
        <f>'Inputs and eligible population'!$E$52*'Inputs and eligible population'!$P$84*'Capacity (local prices)'!$C186</f>
        <v>0</v>
      </c>
      <c r="I186" s="128">
        <f>'Inputs and eligible population'!$E$52*'Inputs and eligible population'!$Q$84*'Capacity (local prices)'!$C186</f>
        <v>0</v>
      </c>
      <c r="J186" s="845"/>
      <c r="K186" s="544">
        <f>'Unit costs'!N$132</f>
        <v>741.54</v>
      </c>
      <c r="L186" s="546">
        <f t="shared" si="76"/>
        <v>0</v>
      </c>
      <c r="M186" s="546">
        <f t="shared" si="75"/>
        <v>0</v>
      </c>
      <c r="N186" s="546">
        <f t="shared" si="75"/>
        <v>0</v>
      </c>
      <c r="O186" s="546">
        <f t="shared" si="75"/>
        <v>0</v>
      </c>
      <c r="P186" s="546">
        <f t="shared" si="75"/>
        <v>0</v>
      </c>
      <c r="Q186" s="546">
        <f t="shared" si="75"/>
        <v>0</v>
      </c>
      <c r="R186" s="133"/>
      <c r="S186" s="133"/>
      <c r="T186" s="133"/>
      <c r="U186" s="133"/>
      <c r="V186" s="133"/>
      <c r="W186" s="133"/>
      <c r="X186" s="133"/>
      <c r="Y186" s="133"/>
      <c r="Z186" s="133"/>
      <c r="AJ186" s="283"/>
      <c r="AK186" s="283"/>
      <c r="AL186" s="283"/>
      <c r="AM186" s="283"/>
      <c r="AN186" s="283"/>
    </row>
    <row r="187" spans="1:40" x14ac:dyDescent="0.3">
      <c r="A187" s="847"/>
      <c r="B187" s="334" t="s">
        <v>1163</v>
      </c>
      <c r="C187" s="149">
        <f>'Inputs and eligible population'!H$111</f>
        <v>0.46</v>
      </c>
      <c r="D187" s="128">
        <f>'Inputs and eligible population'!$F$52*'Inputs and eligible population'!$L$84*'Capacity (local prices)'!$C187</f>
        <v>0</v>
      </c>
      <c r="E187" s="128">
        <f>'Inputs and eligible population'!$F$52*'Inputs and eligible population'!$L$84*'Capacity (local prices)'!$C187</f>
        <v>0</v>
      </c>
      <c r="F187" s="128">
        <f>'Inputs and eligible population'!$F$52*'Inputs and eligible population'!$M$84*'Capacity (local prices)'!$C187</f>
        <v>0</v>
      </c>
      <c r="G187" s="128">
        <f>'Inputs and eligible population'!$F$52*'Inputs and eligible population'!$N$84*'Capacity (local prices)'!$C187</f>
        <v>0</v>
      </c>
      <c r="H187" s="128">
        <f>'Inputs and eligible population'!$F$52*'Inputs and eligible population'!$O$84*'Capacity (local prices)'!$C187</f>
        <v>0</v>
      </c>
      <c r="I187" s="128">
        <f>'Inputs and eligible population'!$F$52*'Inputs and eligible population'!$P$84*'Capacity (local prices)'!$C187</f>
        <v>0</v>
      </c>
      <c r="J187" s="845"/>
      <c r="K187" s="544">
        <f>'Unit costs'!N$132</f>
        <v>741.54</v>
      </c>
      <c r="L187" s="546">
        <f t="shared" si="76"/>
        <v>0</v>
      </c>
      <c r="M187" s="546">
        <f t="shared" si="75"/>
        <v>0</v>
      </c>
      <c r="N187" s="546">
        <f t="shared" si="75"/>
        <v>0</v>
      </c>
      <c r="O187" s="546">
        <f t="shared" si="75"/>
        <v>0</v>
      </c>
      <c r="P187" s="546">
        <f t="shared" si="75"/>
        <v>0</v>
      </c>
      <c r="Q187" s="546">
        <f t="shared" si="75"/>
        <v>0</v>
      </c>
      <c r="R187" s="133"/>
      <c r="S187" s="133"/>
      <c r="T187" s="133"/>
      <c r="U187" s="133"/>
      <c r="V187" s="133"/>
      <c r="W187" s="133"/>
      <c r="X187" s="133"/>
      <c r="Y187" s="133"/>
      <c r="Z187" s="133"/>
      <c r="AJ187" s="283"/>
      <c r="AK187" s="283"/>
      <c r="AL187" s="283"/>
      <c r="AM187" s="283"/>
      <c r="AN187" s="283"/>
    </row>
    <row r="188" spans="1:40" x14ac:dyDescent="0.3">
      <c r="A188" s="847"/>
      <c r="B188" s="334" t="s">
        <v>1164</v>
      </c>
      <c r="C188" s="149">
        <f>'Inputs and eligible population'!H$111</f>
        <v>0.46</v>
      </c>
      <c r="D188" s="128">
        <f>'Inputs and eligible population'!$G$52*'Inputs and eligible population'!$L$84*'Capacity (local prices)'!$C188</f>
        <v>0</v>
      </c>
      <c r="E188" s="128">
        <f>'Inputs and eligible population'!$G$52*'Inputs and eligible population'!$L$84*'Capacity (local prices)'!$C188</f>
        <v>0</v>
      </c>
      <c r="F188" s="128">
        <f>'Inputs and eligible population'!$G$52*'Inputs and eligible population'!$L$84*'Capacity (local prices)'!$C188</f>
        <v>0</v>
      </c>
      <c r="G188" s="128">
        <f>'Inputs and eligible population'!$G$52*'Inputs and eligible population'!$M$84*'Capacity (local prices)'!$C188</f>
        <v>0</v>
      </c>
      <c r="H188" s="128">
        <f>'Inputs and eligible population'!$G$52*'Inputs and eligible population'!$N$84*'Capacity (local prices)'!$C188</f>
        <v>0</v>
      </c>
      <c r="I188" s="128">
        <f>'Inputs and eligible population'!$G$52*'Inputs and eligible population'!$O$84*'Capacity (local prices)'!$C188</f>
        <v>0</v>
      </c>
      <c r="J188" s="845"/>
      <c r="K188" s="544">
        <f>'Unit costs'!N$132</f>
        <v>741.54</v>
      </c>
      <c r="L188" s="546">
        <f t="shared" si="76"/>
        <v>0</v>
      </c>
      <c r="M188" s="546">
        <f t="shared" si="75"/>
        <v>0</v>
      </c>
      <c r="N188" s="546">
        <f t="shared" si="75"/>
        <v>0</v>
      </c>
      <c r="O188" s="546">
        <f t="shared" si="75"/>
        <v>0</v>
      </c>
      <c r="P188" s="546">
        <f t="shared" si="75"/>
        <v>0</v>
      </c>
      <c r="Q188" s="546">
        <f t="shared" si="75"/>
        <v>0</v>
      </c>
      <c r="R188" s="133"/>
      <c r="S188" s="133"/>
      <c r="T188" s="133"/>
      <c r="U188" s="133"/>
      <c r="V188" s="133"/>
      <c r="W188" s="133"/>
      <c r="X188" s="133"/>
      <c r="Y188" s="133"/>
      <c r="Z188" s="133"/>
      <c r="AJ188" s="283"/>
      <c r="AK188" s="283"/>
      <c r="AL188" s="283"/>
      <c r="AM188" s="283"/>
      <c r="AN188" s="283"/>
    </row>
    <row r="189" spans="1:40" x14ac:dyDescent="0.3">
      <c r="A189" s="847"/>
      <c r="B189" s="334" t="s">
        <v>1066</v>
      </c>
      <c r="C189" s="846">
        <f>'Inputs and eligible population'!I111</f>
        <v>0.46</v>
      </c>
      <c r="D189" s="128">
        <f>'Financial impact (cash)'!D$15*$C189*'Inputs and eligible population'!$E$53</f>
        <v>0</v>
      </c>
      <c r="E189" s="128">
        <f>'Financial impact (cash)'!E$15*$C189*'Inputs and eligible population'!$E$53</f>
        <v>0</v>
      </c>
      <c r="F189" s="128">
        <f>'Financial impact (cash)'!F$15*$C189*'Inputs and eligible population'!$E$53</f>
        <v>0</v>
      </c>
      <c r="G189" s="128">
        <f>'Financial impact (cash)'!G$15*$C189*'Inputs and eligible population'!$E$53</f>
        <v>0</v>
      </c>
      <c r="H189" s="128">
        <f>'Financial impact (cash)'!H$15*$C189*'Inputs and eligible population'!$E$53</f>
        <v>0</v>
      </c>
      <c r="I189" s="128">
        <f>'Financial impact (cash)'!I$15*$C189*'Inputs and eligible population'!$E$53</f>
        <v>0</v>
      </c>
      <c r="J189" s="845"/>
      <c r="K189" s="544">
        <f>'Unit costs'!N$132</f>
        <v>741.54</v>
      </c>
      <c r="L189" s="546">
        <f t="shared" si="76"/>
        <v>0</v>
      </c>
      <c r="M189" s="546">
        <f t="shared" si="75"/>
        <v>0</v>
      </c>
      <c r="N189" s="546">
        <f t="shared" si="75"/>
        <v>0</v>
      </c>
      <c r="O189" s="546">
        <f t="shared" si="75"/>
        <v>0</v>
      </c>
      <c r="P189" s="546">
        <f t="shared" si="75"/>
        <v>0</v>
      </c>
      <c r="Q189" s="546">
        <f t="shared" si="75"/>
        <v>0</v>
      </c>
      <c r="R189" s="133"/>
      <c r="S189" s="133"/>
      <c r="T189" s="133"/>
      <c r="U189" s="133"/>
      <c r="V189" s="133"/>
      <c r="W189" s="133"/>
      <c r="X189" s="133"/>
      <c r="Y189" s="133"/>
      <c r="Z189" s="133"/>
      <c r="AJ189" s="283"/>
      <c r="AK189" s="283"/>
      <c r="AL189" s="283"/>
      <c r="AM189" s="283"/>
      <c r="AN189" s="283"/>
    </row>
    <row r="190" spans="1:40" x14ac:dyDescent="0.3">
      <c r="A190" s="847"/>
      <c r="B190" s="334" t="s">
        <v>1067</v>
      </c>
      <c r="C190" s="149">
        <f>'Inputs and eligible population'!J111</f>
        <v>0.46</v>
      </c>
      <c r="D190" s="128">
        <f>'Financial impact (cash)'!D$15*$C190*'Inputs and eligible population'!$E$54</f>
        <v>0</v>
      </c>
      <c r="E190" s="128">
        <f>'Financial impact (cash)'!E$15*$C190*'Inputs and eligible population'!$E$54</f>
        <v>0</v>
      </c>
      <c r="F190" s="128">
        <f>'Financial impact (cash)'!F$15*$C190*'Inputs and eligible population'!$E$54</f>
        <v>0</v>
      </c>
      <c r="G190" s="128">
        <f>'Financial impact (cash)'!G$15*$C190*'Inputs and eligible population'!$E$54</f>
        <v>0</v>
      </c>
      <c r="H190" s="128">
        <f>'Financial impact (cash)'!H$15*$C190*'Inputs and eligible population'!$E$54</f>
        <v>0</v>
      </c>
      <c r="I190" s="128">
        <f>'Financial impact (cash)'!I$15*$C190*'Inputs and eligible population'!$E$54</f>
        <v>0</v>
      </c>
      <c r="J190" s="845"/>
      <c r="K190" s="544">
        <f>'Unit costs'!N$132</f>
        <v>741.54</v>
      </c>
      <c r="L190" s="546">
        <f t="shared" si="76"/>
        <v>0</v>
      </c>
      <c r="M190" s="546">
        <f t="shared" si="75"/>
        <v>0</v>
      </c>
      <c r="N190" s="546">
        <f t="shared" si="75"/>
        <v>0</v>
      </c>
      <c r="O190" s="546">
        <f t="shared" si="75"/>
        <v>0</v>
      </c>
      <c r="P190" s="546">
        <f t="shared" si="75"/>
        <v>0</v>
      </c>
      <c r="Q190" s="546">
        <f t="shared" si="75"/>
        <v>0</v>
      </c>
      <c r="R190" s="133"/>
      <c r="S190" s="133"/>
      <c r="T190" s="133"/>
      <c r="U190" s="133"/>
      <c r="V190" s="133"/>
      <c r="W190" s="133"/>
      <c r="X190" s="133"/>
      <c r="Y190" s="133"/>
      <c r="Z190" s="133"/>
      <c r="AJ190" s="283"/>
      <c r="AK190" s="283"/>
      <c r="AL190" s="283"/>
      <c r="AM190" s="283"/>
      <c r="AN190" s="283"/>
    </row>
    <row r="191" spans="1:40" x14ac:dyDescent="0.3">
      <c r="A191" s="847"/>
      <c r="B191" s="334" t="s">
        <v>1165</v>
      </c>
      <c r="C191" s="149">
        <f>'Inputs and eligible population'!K$111</f>
        <v>0.46</v>
      </c>
      <c r="D191" s="128">
        <f>Summary!$C$17*'Capacity (local prices)'!$C191*'Inputs and eligible population'!$E$55</f>
        <v>0</v>
      </c>
      <c r="E191" s="128">
        <f>(Summary!$D$17*'Capacity (local prices)'!$C191*'Inputs and eligible population'!$E$55)</f>
        <v>0</v>
      </c>
      <c r="F191" s="128">
        <f>(Summary!$E$17*'Capacity (local prices)'!$C191*'Inputs and eligible population'!$E$55)</f>
        <v>0</v>
      </c>
      <c r="G191" s="128">
        <f>(Summary!$F$17*'Capacity (local prices)'!$C191*'Inputs and eligible population'!$E$55)</f>
        <v>0</v>
      </c>
      <c r="H191" s="128">
        <f>(Summary!$G$17*'Capacity (local prices)'!$C191*'Inputs and eligible population'!$E$55)</f>
        <v>0</v>
      </c>
      <c r="I191" s="128">
        <f>(Summary!$H$17*'Capacity (local prices)'!$C191*'Inputs and eligible population'!$E$55)</f>
        <v>0</v>
      </c>
      <c r="J191" s="845"/>
      <c r="K191" s="544">
        <f>'Unit costs'!N$132</f>
        <v>741.54</v>
      </c>
      <c r="L191" s="546">
        <f t="shared" si="76"/>
        <v>0</v>
      </c>
      <c r="M191" s="546">
        <f t="shared" si="75"/>
        <v>0</v>
      </c>
      <c r="N191" s="546">
        <f t="shared" si="75"/>
        <v>0</v>
      </c>
      <c r="O191" s="546">
        <f t="shared" si="75"/>
        <v>0</v>
      </c>
      <c r="P191" s="546">
        <f t="shared" si="75"/>
        <v>0</v>
      </c>
      <c r="Q191" s="546">
        <f t="shared" si="75"/>
        <v>0</v>
      </c>
      <c r="R191" s="133"/>
      <c r="S191" s="133"/>
      <c r="T191" s="133"/>
      <c r="U191" s="133"/>
      <c r="V191" s="133"/>
      <c r="W191" s="133"/>
      <c r="X191" s="133"/>
      <c r="Y191" s="133"/>
      <c r="Z191" s="133"/>
      <c r="AJ191" s="283"/>
      <c r="AK191" s="283"/>
      <c r="AL191" s="283"/>
      <c r="AM191" s="283"/>
      <c r="AN191" s="283"/>
    </row>
    <row r="192" spans="1:40" x14ac:dyDescent="0.3">
      <c r="A192" s="847"/>
      <c r="B192" s="334" t="s">
        <v>1166</v>
      </c>
      <c r="C192" s="149">
        <f>'Inputs and eligible population'!K$111</f>
        <v>0.46</v>
      </c>
      <c r="D192" s="128">
        <f>Summary!$C$17*'Capacity (local prices)'!$C191*'Inputs and eligible population'!$F$55</f>
        <v>0</v>
      </c>
      <c r="E192" s="128">
        <f>Summary!$C$17*'Capacity (local prices)'!$C191*'Inputs and eligible population'!$F$55</f>
        <v>0</v>
      </c>
      <c r="F192" s="128">
        <f>(Summary!$D$17*'Capacity (local prices)'!$C191*'Inputs and eligible population'!$F$55)</f>
        <v>0</v>
      </c>
      <c r="G192" s="128">
        <f>(Summary!$E$17*'Capacity (local prices)'!$C191*'Inputs and eligible population'!$F$55)</f>
        <v>0</v>
      </c>
      <c r="H192" s="128">
        <f>(Summary!$F$17*'Capacity (local prices)'!$C191*'Inputs and eligible population'!$F$55)</f>
        <v>0</v>
      </c>
      <c r="I192" s="128">
        <f>(Summary!$G$17*'Capacity (local prices)'!$C191*'Inputs and eligible population'!$F$55)</f>
        <v>0</v>
      </c>
      <c r="J192" s="845"/>
      <c r="K192" s="544">
        <f>'Unit costs'!N$132</f>
        <v>741.54</v>
      </c>
      <c r="L192" s="546">
        <f t="shared" si="76"/>
        <v>0</v>
      </c>
      <c r="M192" s="546">
        <f t="shared" si="75"/>
        <v>0</v>
      </c>
      <c r="N192" s="546">
        <f t="shared" si="75"/>
        <v>0</v>
      </c>
      <c r="O192" s="546">
        <f t="shared" si="75"/>
        <v>0</v>
      </c>
      <c r="P192" s="546">
        <f t="shared" si="75"/>
        <v>0</v>
      </c>
      <c r="Q192" s="546">
        <f t="shared" si="75"/>
        <v>0</v>
      </c>
      <c r="R192" s="133"/>
      <c r="S192" s="133"/>
      <c r="T192" s="133"/>
      <c r="U192" s="133"/>
      <c r="V192" s="133"/>
      <c r="W192" s="133"/>
      <c r="X192" s="133"/>
      <c r="Y192" s="133"/>
      <c r="Z192" s="133"/>
      <c r="AJ192" s="283"/>
      <c r="AK192" s="283"/>
      <c r="AL192" s="283"/>
      <c r="AM192" s="283"/>
      <c r="AN192" s="283"/>
    </row>
    <row r="193" spans="1:40" x14ac:dyDescent="0.3">
      <c r="A193" s="847"/>
      <c r="B193" s="334" t="s">
        <v>1167</v>
      </c>
      <c r="C193" s="149">
        <f>'Inputs and eligible population'!K$111</f>
        <v>0.46</v>
      </c>
      <c r="D193" s="128">
        <f>Summary!$C$17*'Capacity (local prices)'!$C191*'Inputs and eligible population'!$G$55</f>
        <v>0</v>
      </c>
      <c r="E193" s="128">
        <f>Summary!$C$17*'Capacity (local prices)'!$C191*'Inputs and eligible population'!$G$55</f>
        <v>0</v>
      </c>
      <c r="F193" s="128">
        <f>Summary!$C$17*'Capacity (local prices)'!$C191*'Inputs and eligible population'!$G$55</f>
        <v>0</v>
      </c>
      <c r="G193" s="128">
        <f>(Summary!$D$17*'Capacity (local prices)'!$C191*'Inputs and eligible population'!$G$55)</f>
        <v>0</v>
      </c>
      <c r="H193" s="128">
        <f>(Summary!$E$17*'Capacity (local prices)'!$C191*'Inputs and eligible population'!$G$55)</f>
        <v>0</v>
      </c>
      <c r="I193" s="128">
        <f>(Summary!$F$17*'Capacity (local prices)'!$C191*'Inputs and eligible population'!$G$55)</f>
        <v>0</v>
      </c>
      <c r="J193" s="845"/>
      <c r="K193" s="544">
        <f>'Unit costs'!N$132</f>
        <v>741.54</v>
      </c>
      <c r="L193" s="546">
        <f t="shared" si="76"/>
        <v>0</v>
      </c>
      <c r="M193" s="546">
        <f t="shared" si="75"/>
        <v>0</v>
      </c>
      <c r="N193" s="546">
        <f t="shared" si="75"/>
        <v>0</v>
      </c>
      <c r="O193" s="546">
        <f t="shared" si="75"/>
        <v>0</v>
      </c>
      <c r="P193" s="546">
        <f t="shared" si="75"/>
        <v>0</v>
      </c>
      <c r="Q193" s="546">
        <f t="shared" si="75"/>
        <v>0</v>
      </c>
      <c r="R193" s="133"/>
      <c r="S193" s="133"/>
      <c r="T193" s="133"/>
      <c r="U193" s="133"/>
      <c r="V193" s="133"/>
      <c r="W193" s="133"/>
      <c r="X193" s="133"/>
      <c r="Y193" s="133"/>
      <c r="Z193" s="133"/>
      <c r="AJ193" s="283"/>
      <c r="AK193" s="283"/>
      <c r="AL193" s="283"/>
      <c r="AM193" s="283"/>
      <c r="AN193" s="283"/>
    </row>
    <row r="194" spans="1:40" x14ac:dyDescent="0.3">
      <c r="A194" s="847"/>
      <c r="B194" s="832" t="s">
        <v>1069</v>
      </c>
      <c r="C194" s="149">
        <f>'Inputs and eligible population'!L111</f>
        <v>0.46</v>
      </c>
      <c r="D194" s="128">
        <f>Summary!C$18*'Capacity (local prices)'!$C194*'Inputs and eligible population'!$E$56</f>
        <v>596.98942018784214</v>
      </c>
      <c r="E194" s="128">
        <f>Summary!D$18*'Capacity (local prices)'!$C194*'Inputs and eligible population'!$E$56</f>
        <v>452.05910792647188</v>
      </c>
      <c r="F194" s="128">
        <f>Summary!E$18*'Capacity (local prices)'!$C194*'Inputs and eligible population'!$E$56</f>
        <v>304.27851653827628</v>
      </c>
      <c r="G194" s="128">
        <f>Summary!F$18*'Capacity (local prices)'!$C194*'Inputs and eligible population'!$E$56</f>
        <v>307.21231141014823</v>
      </c>
      <c r="H194" s="128">
        <f>Summary!G$18*'Capacity (local prices)'!$C194*'Inputs and eligible population'!$E$56</f>
        <v>310.17439336731343</v>
      </c>
      <c r="I194" s="128">
        <f>Summary!H$18*'Capacity (local prices)'!$C194*'Inputs and eligible population'!$E$56</f>
        <v>313.16503514840196</v>
      </c>
      <c r="J194" s="845"/>
      <c r="K194" s="544">
        <f>'Unit costs'!N$132</f>
        <v>741.54</v>
      </c>
      <c r="L194" s="546">
        <f t="shared" si="76"/>
        <v>442.69153464609246</v>
      </c>
      <c r="M194" s="546">
        <f t="shared" si="75"/>
        <v>335.21991089179596</v>
      </c>
      <c r="N194" s="546">
        <f t="shared" si="75"/>
        <v>225.6346911537934</v>
      </c>
      <c r="O194" s="546">
        <f t="shared" si="75"/>
        <v>227.81021740308131</v>
      </c>
      <c r="P194" s="546">
        <f t="shared" si="75"/>
        <v>230.00671965759759</v>
      </c>
      <c r="Q194" s="546">
        <f t="shared" si="75"/>
        <v>232.22440016394597</v>
      </c>
      <c r="R194" s="133"/>
      <c r="S194" s="133"/>
      <c r="T194" s="133"/>
      <c r="U194" s="133"/>
      <c r="V194" s="133"/>
      <c r="W194" s="133"/>
      <c r="X194" s="133"/>
      <c r="Y194" s="133"/>
      <c r="Z194" s="133"/>
      <c r="AJ194" s="283"/>
      <c r="AK194" s="283"/>
      <c r="AL194" s="283"/>
      <c r="AM194" s="283"/>
      <c r="AN194" s="283"/>
    </row>
    <row r="195" spans="1:40" x14ac:dyDescent="0.3">
      <c r="A195" s="847"/>
      <c r="B195" s="504"/>
      <c r="C195" s="280"/>
      <c r="D195" s="186">
        <f>SUM(D184:D194)</f>
        <v>596.98942018784214</v>
      </c>
      <c r="E195" s="186">
        <f t="shared" ref="E195:I195" si="77">SUM(E184:E194)</f>
        <v>452.05910792647188</v>
      </c>
      <c r="F195" s="186">
        <f t="shared" si="77"/>
        <v>304.27851653827628</v>
      </c>
      <c r="G195" s="186">
        <f>SUM(G184:G194)</f>
        <v>307.21231141014823</v>
      </c>
      <c r="H195" s="186">
        <f t="shared" si="77"/>
        <v>310.17439336731343</v>
      </c>
      <c r="I195" s="186">
        <f t="shared" si="77"/>
        <v>313.16503514840196</v>
      </c>
      <c r="J195" s="845"/>
      <c r="K195" s="221"/>
      <c r="L195" s="290">
        <f>SUM(L184:L194)</f>
        <v>442.69153464609246</v>
      </c>
      <c r="M195" s="290">
        <f t="shared" ref="M195:Q195" si="78">SUM(M184:M194)</f>
        <v>335.21991089179596</v>
      </c>
      <c r="N195" s="290">
        <f t="shared" si="78"/>
        <v>225.6346911537934</v>
      </c>
      <c r="O195" s="290">
        <f t="shared" si="78"/>
        <v>227.81021740308131</v>
      </c>
      <c r="P195" s="290">
        <f t="shared" si="78"/>
        <v>230.00671965759759</v>
      </c>
      <c r="Q195" s="290">
        <f t="shared" si="78"/>
        <v>232.22440016394597</v>
      </c>
      <c r="R195" s="133"/>
      <c r="S195" s="133"/>
      <c r="T195" s="133"/>
      <c r="U195" s="133"/>
      <c r="V195" s="133"/>
      <c r="W195" s="133"/>
      <c r="X195" s="133"/>
      <c r="Y195" s="133"/>
      <c r="Z195" s="133"/>
      <c r="AJ195" s="283"/>
      <c r="AK195" s="283"/>
      <c r="AL195" s="283"/>
      <c r="AM195" s="283"/>
      <c r="AN195" s="283"/>
    </row>
    <row r="196" spans="1:40" x14ac:dyDescent="0.3">
      <c r="A196" s="847"/>
      <c r="B196" s="255"/>
      <c r="C196" s="255"/>
      <c r="D196" s="282" t="s">
        <v>841</v>
      </c>
      <c r="E196" s="186">
        <f>E195-$D$195</f>
        <v>-144.93031226137026</v>
      </c>
      <c r="F196" s="186">
        <f t="shared" ref="F196:I196" si="79">F195-$D$195</f>
        <v>-292.71090364956586</v>
      </c>
      <c r="G196" s="186">
        <f t="shared" si="79"/>
        <v>-289.77710877769391</v>
      </c>
      <c r="H196" s="186">
        <f t="shared" si="79"/>
        <v>-286.81502682052871</v>
      </c>
      <c r="I196" s="186">
        <f t="shared" si="79"/>
        <v>-283.82438503944019</v>
      </c>
      <c r="J196" s="845"/>
      <c r="K196" s="221"/>
      <c r="L196" s="221"/>
      <c r="M196" s="290">
        <f>M195-$L195</f>
        <v>-107.4716237542965</v>
      </c>
      <c r="N196" s="290">
        <f t="shared" ref="N196:Q196" si="80">N195-$L195</f>
        <v>-217.05684349229907</v>
      </c>
      <c r="O196" s="290">
        <f t="shared" si="80"/>
        <v>-214.88131724301115</v>
      </c>
      <c r="P196" s="290">
        <f t="shared" si="80"/>
        <v>-212.68481498849488</v>
      </c>
      <c r="Q196" s="290">
        <f t="shared" si="80"/>
        <v>-210.46713448214649</v>
      </c>
      <c r="R196" s="133"/>
      <c r="S196" s="133"/>
      <c r="T196" s="133"/>
      <c r="U196" s="133"/>
      <c r="V196" s="133"/>
      <c r="W196" s="133"/>
      <c r="X196" s="133"/>
      <c r="Y196" s="133"/>
      <c r="Z196" s="133"/>
      <c r="AJ196" s="283"/>
      <c r="AK196" s="283"/>
      <c r="AL196" s="283"/>
      <c r="AM196" s="283"/>
      <c r="AN196" s="283"/>
    </row>
    <row r="197" spans="1:40" x14ac:dyDescent="0.3">
      <c r="A197" s="287"/>
      <c r="B197" s="311"/>
      <c r="C197" s="221"/>
      <c r="D197" s="221"/>
      <c r="E197" s="221"/>
      <c r="F197" s="221"/>
      <c r="G197" s="221"/>
      <c r="H197" s="221"/>
      <c r="I197" s="221"/>
      <c r="J197" s="221"/>
      <c r="K197" s="221"/>
      <c r="L197" s="221"/>
      <c r="M197" s="221"/>
      <c r="N197" s="221"/>
      <c r="O197" s="221"/>
      <c r="P197" s="221"/>
      <c r="Q197" s="221"/>
      <c r="V197" s="133"/>
    </row>
    <row r="198" spans="1:40" x14ac:dyDescent="0.3">
      <c r="A198" s="287"/>
      <c r="B198" s="310" t="s">
        <v>848</v>
      </c>
      <c r="C198" s="298"/>
      <c r="D198" s="299"/>
      <c r="E198" s="300"/>
      <c r="F198" s="301"/>
      <c r="G198" s="301"/>
      <c r="H198" s="301"/>
      <c r="I198" s="414"/>
      <c r="J198" s="287"/>
      <c r="K198" s="287"/>
      <c r="L198" s="287"/>
      <c r="M198" s="287"/>
      <c r="N198" s="287"/>
      <c r="O198" s="287"/>
      <c r="P198" s="287"/>
      <c r="Q198" s="221"/>
      <c r="R198" s="133"/>
      <c r="S198" s="133"/>
      <c r="T198" s="133"/>
      <c r="U198" s="133"/>
      <c r="V198" s="133"/>
      <c r="W198" s="133"/>
      <c r="X198" s="133"/>
      <c r="Y198" s="133"/>
      <c r="Z198" s="133"/>
      <c r="AJ198" s="283"/>
      <c r="AK198" s="283"/>
      <c r="AL198" s="283"/>
      <c r="AM198" s="283"/>
      <c r="AN198" s="283"/>
    </row>
    <row r="199" spans="1:40" x14ac:dyDescent="0.3">
      <c r="A199" s="287"/>
      <c r="B199" s="381" t="s">
        <v>1083</v>
      </c>
      <c r="C199" s="382"/>
      <c r="D199" s="382"/>
      <c r="E199" s="382"/>
      <c r="F199" s="382"/>
      <c r="G199" s="382"/>
      <c r="H199" s="382"/>
      <c r="I199" s="220"/>
      <c r="J199" s="221"/>
      <c r="K199" s="221"/>
      <c r="L199" s="410"/>
      <c r="M199" s="410"/>
      <c r="N199" s="410"/>
      <c r="O199" s="410"/>
      <c r="P199" s="410"/>
      <c r="Q199" s="410"/>
      <c r="R199" s="133"/>
      <c r="S199" s="133"/>
      <c r="T199" s="133"/>
      <c r="U199" s="133"/>
      <c r="V199" s="133"/>
      <c r="W199" s="133"/>
      <c r="X199" s="133"/>
      <c r="Y199" s="133"/>
      <c r="Z199" s="133"/>
      <c r="AJ199" s="283"/>
      <c r="AK199" s="283"/>
      <c r="AL199" s="283"/>
      <c r="AM199" s="283"/>
      <c r="AN199" s="283"/>
    </row>
    <row r="200" spans="1:40" ht="43.2" x14ac:dyDescent="0.3">
      <c r="A200" s="847"/>
      <c r="B200" s="306" t="s">
        <v>766</v>
      </c>
      <c r="C200" s="166" t="s">
        <v>1099</v>
      </c>
      <c r="D200" s="402" t="s">
        <v>831</v>
      </c>
      <c r="E200" s="254" t="s">
        <v>676</v>
      </c>
      <c r="F200" s="254" t="s">
        <v>677</v>
      </c>
      <c r="G200" s="165" t="s">
        <v>803</v>
      </c>
      <c r="H200" s="165" t="s">
        <v>804</v>
      </c>
      <c r="I200" s="254" t="s">
        <v>805</v>
      </c>
      <c r="J200" s="845"/>
      <c r="K200" s="531" t="s">
        <v>1100</v>
      </c>
      <c r="L200" s="402" t="s">
        <v>831</v>
      </c>
      <c r="M200" s="521" t="s">
        <v>676</v>
      </c>
      <c r="N200" s="521" t="s">
        <v>677</v>
      </c>
      <c r="O200" s="403" t="s">
        <v>803</v>
      </c>
      <c r="P200" s="403" t="s">
        <v>804</v>
      </c>
      <c r="Q200" s="521" t="s">
        <v>805</v>
      </c>
      <c r="R200" s="133"/>
      <c r="S200" s="133"/>
      <c r="T200" s="133"/>
      <c r="U200" s="133"/>
      <c r="V200" s="133"/>
      <c r="W200" s="133"/>
      <c r="X200" s="133"/>
      <c r="Y200" s="133"/>
      <c r="Z200" s="133"/>
      <c r="AJ200" s="283"/>
      <c r="AK200" s="283"/>
      <c r="AL200" s="283"/>
      <c r="AM200" s="283"/>
      <c r="AN200" s="283"/>
    </row>
    <row r="201" spans="1:40" x14ac:dyDescent="0.3">
      <c r="A201" s="847"/>
      <c r="B201" s="334" t="s">
        <v>1065</v>
      </c>
      <c r="C201" s="846">
        <f>'Inputs and eligible population'!F113</f>
        <v>11.26</v>
      </c>
      <c r="D201" s="128">
        <f>Summary!$C$16*'Capacity (local prices)'!$C201*'Inputs and eligible population'!$E$50</f>
        <v>0</v>
      </c>
      <c r="E201" s="128">
        <f>Summary!$D$16*'Capacity (local prices)'!$C201*'Inputs and eligible population'!$E$50</f>
        <v>0</v>
      </c>
      <c r="F201" s="128">
        <f>Summary!E$16*'Capacity (local prices)'!$C201*'Inputs and eligible population'!$E$50</f>
        <v>0</v>
      </c>
      <c r="G201" s="128">
        <f>Summary!F$16*'Capacity (local prices)'!$C201*'Inputs and eligible population'!$E$50</f>
        <v>0</v>
      </c>
      <c r="H201" s="128">
        <f>Summary!G$16*'Capacity (local prices)'!$C201*'Inputs and eligible population'!$E$50</f>
        <v>0</v>
      </c>
      <c r="I201" s="128">
        <f>Summary!H$16*'Capacity (local prices)'!$C201*'Inputs and eligible population'!$E$50</f>
        <v>0</v>
      </c>
      <c r="J201" s="845"/>
      <c r="K201" s="544">
        <f>'Unit costs'!N$119</f>
        <v>4.7</v>
      </c>
      <c r="L201" s="546">
        <f>$K201/1000*D201</f>
        <v>0</v>
      </c>
      <c r="M201" s="546">
        <f t="shared" ref="M201:Q211" si="81">$K201/1000*E201</f>
        <v>0</v>
      </c>
      <c r="N201" s="546">
        <f t="shared" si="81"/>
        <v>0</v>
      </c>
      <c r="O201" s="546">
        <f t="shared" si="81"/>
        <v>0</v>
      </c>
      <c r="P201" s="546">
        <f t="shared" si="81"/>
        <v>0</v>
      </c>
      <c r="Q201" s="546">
        <f t="shared" si="81"/>
        <v>0</v>
      </c>
      <c r="R201" s="133"/>
      <c r="S201" s="133"/>
      <c r="T201" s="133"/>
      <c r="U201" s="133"/>
      <c r="V201" s="133"/>
      <c r="W201" s="133"/>
      <c r="X201" s="133"/>
      <c r="Y201" s="133"/>
      <c r="Z201" s="133"/>
      <c r="AJ201" s="283"/>
      <c r="AK201" s="283"/>
      <c r="AL201" s="283"/>
      <c r="AM201" s="283"/>
      <c r="AN201" s="283"/>
    </row>
    <row r="202" spans="1:40" x14ac:dyDescent="0.3">
      <c r="A202" s="847"/>
      <c r="B202" s="334" t="s">
        <v>1064</v>
      </c>
      <c r="C202" s="149">
        <f>'Inputs and eligible population'!G113</f>
        <v>2.69</v>
      </c>
      <c r="D202" s="128">
        <f>Summary!C$16*'Capacity (local prices)'!$C202*'Inputs and eligible population'!$E$51</f>
        <v>0</v>
      </c>
      <c r="E202" s="128">
        <f>Summary!D$16*'Capacity (local prices)'!$C202*'Inputs and eligible population'!$E$51</f>
        <v>0</v>
      </c>
      <c r="F202" s="128">
        <f>Summary!E$16*'Capacity (local prices)'!$C202*'Inputs and eligible population'!$E$51</f>
        <v>0</v>
      </c>
      <c r="G202" s="128">
        <f>Summary!F$16*'Capacity (local prices)'!$C202*'Inputs and eligible population'!$E$51</f>
        <v>0</v>
      </c>
      <c r="H202" s="128">
        <f>Summary!G$16*'Capacity (local prices)'!$C202*'Inputs and eligible population'!$E$51</f>
        <v>0</v>
      </c>
      <c r="I202" s="128">
        <f>Summary!H$16*'Capacity (local prices)'!$C202*'Inputs and eligible population'!$E$51</f>
        <v>0</v>
      </c>
      <c r="J202" s="845"/>
      <c r="K202" s="544">
        <f>'Unit costs'!N$119</f>
        <v>4.7</v>
      </c>
      <c r="L202" s="546">
        <f t="shared" ref="L202:L211" si="82">$K202/1000*D202</f>
        <v>0</v>
      </c>
      <c r="M202" s="546">
        <f t="shared" si="81"/>
        <v>0</v>
      </c>
      <c r="N202" s="546">
        <f t="shared" si="81"/>
        <v>0</v>
      </c>
      <c r="O202" s="546">
        <f t="shared" si="81"/>
        <v>0</v>
      </c>
      <c r="P202" s="546">
        <f t="shared" si="81"/>
        <v>0</v>
      </c>
      <c r="Q202" s="546">
        <f t="shared" si="81"/>
        <v>0</v>
      </c>
      <c r="R202" s="133"/>
      <c r="S202" s="133"/>
      <c r="T202" s="133"/>
      <c r="U202" s="133"/>
      <c r="V202" s="133"/>
      <c r="W202" s="133"/>
      <c r="X202" s="133"/>
      <c r="Y202" s="133"/>
      <c r="Z202" s="133"/>
      <c r="AJ202" s="283"/>
      <c r="AK202" s="283"/>
      <c r="AL202" s="283"/>
      <c r="AM202" s="283"/>
      <c r="AN202" s="283"/>
    </row>
    <row r="203" spans="1:40" x14ac:dyDescent="0.3">
      <c r="A203" s="847"/>
      <c r="B203" s="334" t="s">
        <v>1162</v>
      </c>
      <c r="C203" s="149">
        <f>'Inputs and eligible population'!H$113</f>
        <v>0</v>
      </c>
      <c r="D203" s="128">
        <f>'Inputs and eligible population'!$E$52*'Inputs and eligible population'!$L$84*'Capacity (local prices)'!$C$33</f>
        <v>0</v>
      </c>
      <c r="E203" s="128">
        <f>'Inputs and eligible population'!$E$52*'Inputs and eligible population'!$M$84*'Capacity (local prices)'!$C203</f>
        <v>0</v>
      </c>
      <c r="F203" s="128">
        <f>'Inputs and eligible population'!$E$52*'Inputs and eligible population'!$N$84*'Capacity (local prices)'!$C203</f>
        <v>0</v>
      </c>
      <c r="G203" s="128">
        <f>'Inputs and eligible population'!$E$52*'Inputs and eligible population'!$O$84*'Capacity (local prices)'!$C203</f>
        <v>0</v>
      </c>
      <c r="H203" s="128">
        <f>'Inputs and eligible population'!$E$52*'Inputs and eligible population'!$P$84*'Capacity (local prices)'!$C203</f>
        <v>0</v>
      </c>
      <c r="I203" s="128">
        <f>'Inputs and eligible population'!$E$52*'Inputs and eligible population'!$Q$84*'Capacity (local prices)'!$C203</f>
        <v>0</v>
      </c>
      <c r="J203" s="845"/>
      <c r="K203" s="544">
        <f>'Unit costs'!N$119</f>
        <v>4.7</v>
      </c>
      <c r="L203" s="546">
        <f t="shared" si="82"/>
        <v>0</v>
      </c>
      <c r="M203" s="546">
        <f t="shared" si="81"/>
        <v>0</v>
      </c>
      <c r="N203" s="546">
        <f t="shared" si="81"/>
        <v>0</v>
      </c>
      <c r="O203" s="546">
        <f t="shared" si="81"/>
        <v>0</v>
      </c>
      <c r="P203" s="546">
        <f t="shared" si="81"/>
        <v>0</v>
      </c>
      <c r="Q203" s="546">
        <f t="shared" si="81"/>
        <v>0</v>
      </c>
      <c r="R203" s="133"/>
      <c r="S203" s="133"/>
      <c r="T203" s="133"/>
      <c r="U203" s="133"/>
      <c r="V203" s="133"/>
      <c r="W203" s="133"/>
      <c r="X203" s="133"/>
      <c r="Y203" s="133"/>
      <c r="Z203" s="133"/>
      <c r="AJ203" s="283"/>
      <c r="AK203" s="283"/>
      <c r="AL203" s="283"/>
      <c r="AM203" s="283"/>
      <c r="AN203" s="283"/>
    </row>
    <row r="204" spans="1:40" x14ac:dyDescent="0.3">
      <c r="A204" s="847"/>
      <c r="B204" s="334" t="s">
        <v>1163</v>
      </c>
      <c r="C204" s="149">
        <f>'Inputs and eligible population'!H$113</f>
        <v>0</v>
      </c>
      <c r="D204" s="128">
        <f>'Inputs and eligible population'!$F$52*'Inputs and eligible population'!$L$84*'Capacity (local prices)'!$C204</f>
        <v>0</v>
      </c>
      <c r="E204" s="128">
        <f>'Inputs and eligible population'!$F$52*'Inputs and eligible population'!$L$84*'Capacity (local prices)'!$C204</f>
        <v>0</v>
      </c>
      <c r="F204" s="128">
        <f>'Inputs and eligible population'!$F$52*'Inputs and eligible population'!$M$84*'Capacity (local prices)'!$C204</f>
        <v>0</v>
      </c>
      <c r="G204" s="128">
        <f>'Inputs and eligible population'!$F$52*'Inputs and eligible population'!$N$84*'Capacity (local prices)'!$C204</f>
        <v>0</v>
      </c>
      <c r="H204" s="128">
        <f>'Inputs and eligible population'!$F$52*'Inputs and eligible population'!$O$84*'Capacity (local prices)'!$C204</f>
        <v>0</v>
      </c>
      <c r="I204" s="128">
        <f>'Inputs and eligible population'!$F$52*'Inputs and eligible population'!$P$84*'Capacity (local prices)'!$C204</f>
        <v>0</v>
      </c>
      <c r="J204" s="845"/>
      <c r="K204" s="544">
        <f>'Unit costs'!N$119</f>
        <v>4.7</v>
      </c>
      <c r="L204" s="546">
        <f t="shared" si="82"/>
        <v>0</v>
      </c>
      <c r="M204" s="546">
        <f t="shared" si="81"/>
        <v>0</v>
      </c>
      <c r="N204" s="546">
        <f t="shared" si="81"/>
        <v>0</v>
      </c>
      <c r="O204" s="546">
        <f t="shared" si="81"/>
        <v>0</v>
      </c>
      <c r="P204" s="546">
        <f t="shared" si="81"/>
        <v>0</v>
      </c>
      <c r="Q204" s="546">
        <f t="shared" si="81"/>
        <v>0</v>
      </c>
      <c r="R204" s="133"/>
      <c r="S204" s="133"/>
      <c r="T204" s="133"/>
      <c r="U204" s="133"/>
      <c r="V204" s="133"/>
      <c r="W204" s="133"/>
      <c r="X204" s="133"/>
      <c r="Y204" s="133"/>
      <c r="Z204" s="133"/>
      <c r="AJ204" s="283"/>
      <c r="AK204" s="283"/>
      <c r="AL204" s="283"/>
      <c r="AM204" s="283"/>
      <c r="AN204" s="283"/>
    </row>
    <row r="205" spans="1:40" x14ac:dyDescent="0.3">
      <c r="A205" s="847"/>
      <c r="B205" s="334" t="s">
        <v>1164</v>
      </c>
      <c r="C205" s="149">
        <f>'Inputs and eligible population'!H$113</f>
        <v>0</v>
      </c>
      <c r="D205" s="128">
        <f>'Inputs and eligible population'!$G$52*'Inputs and eligible population'!$L$84*'Capacity (local prices)'!$C205</f>
        <v>0</v>
      </c>
      <c r="E205" s="128">
        <f>'Inputs and eligible population'!$G$52*'Inputs and eligible population'!$L$84*'Capacity (local prices)'!$C205</f>
        <v>0</v>
      </c>
      <c r="F205" s="128">
        <f>'Inputs and eligible population'!$G$52*'Inputs and eligible population'!$L$84*'Capacity (local prices)'!$C205</f>
        <v>0</v>
      </c>
      <c r="G205" s="128">
        <f>'Inputs and eligible population'!$G$52*'Inputs and eligible population'!$M$84*'Capacity (local prices)'!$C205</f>
        <v>0</v>
      </c>
      <c r="H205" s="128">
        <f>'Inputs and eligible population'!$G$52*'Inputs and eligible population'!$N$84*'Capacity (local prices)'!$C205</f>
        <v>0</v>
      </c>
      <c r="I205" s="128">
        <f>'Inputs and eligible population'!$G$52*'Inputs and eligible population'!$O$84*'Capacity (local prices)'!$C205</f>
        <v>0</v>
      </c>
      <c r="J205" s="845"/>
      <c r="K205" s="544">
        <f>'Unit costs'!N$119</f>
        <v>4.7</v>
      </c>
      <c r="L205" s="546">
        <f t="shared" si="82"/>
        <v>0</v>
      </c>
      <c r="M205" s="546">
        <f t="shared" si="81"/>
        <v>0</v>
      </c>
      <c r="N205" s="546">
        <f t="shared" si="81"/>
        <v>0</v>
      </c>
      <c r="O205" s="546">
        <f t="shared" si="81"/>
        <v>0</v>
      </c>
      <c r="P205" s="546">
        <f t="shared" si="81"/>
        <v>0</v>
      </c>
      <c r="Q205" s="546">
        <f t="shared" si="81"/>
        <v>0</v>
      </c>
      <c r="R205" s="133"/>
      <c r="S205" s="133"/>
      <c r="T205" s="133"/>
      <c r="U205" s="133"/>
      <c r="V205" s="133"/>
      <c r="W205" s="133"/>
      <c r="X205" s="133"/>
      <c r="Y205" s="133"/>
      <c r="Z205" s="133"/>
      <c r="AJ205" s="283"/>
      <c r="AK205" s="283"/>
      <c r="AL205" s="283"/>
      <c r="AM205" s="283"/>
      <c r="AN205" s="283"/>
    </row>
    <row r="206" spans="1:40" x14ac:dyDescent="0.3">
      <c r="A206" s="847"/>
      <c r="B206" s="334" t="s">
        <v>1066</v>
      </c>
      <c r="C206" s="846">
        <f>'Inputs and eligible population'!I113</f>
        <v>11.26</v>
      </c>
      <c r="D206" s="128">
        <f>'Financial impact (cash)'!D$15*$C206*'Inputs and eligible population'!$E$53</f>
        <v>0</v>
      </c>
      <c r="E206" s="128">
        <f>'Financial impact (cash)'!E$15*$C206*'Inputs and eligible population'!$E$53</f>
        <v>0</v>
      </c>
      <c r="F206" s="128">
        <f>'Financial impact (cash)'!F$15*$C206*'Inputs and eligible population'!$E$53</f>
        <v>0</v>
      </c>
      <c r="G206" s="128">
        <f>'Financial impact (cash)'!G$15*$C206*'Inputs and eligible population'!$E$53</f>
        <v>0</v>
      </c>
      <c r="H206" s="128">
        <f>'Financial impact (cash)'!H$15*$C206*'Inputs and eligible population'!$E$53</f>
        <v>0</v>
      </c>
      <c r="I206" s="128">
        <f>'Financial impact (cash)'!I$15*$C206*'Inputs and eligible population'!$E$53</f>
        <v>0</v>
      </c>
      <c r="J206" s="845"/>
      <c r="K206" s="544">
        <f>'Unit costs'!N$119</f>
        <v>4.7</v>
      </c>
      <c r="L206" s="546">
        <f t="shared" si="82"/>
        <v>0</v>
      </c>
      <c r="M206" s="546">
        <f t="shared" si="81"/>
        <v>0</v>
      </c>
      <c r="N206" s="546">
        <f t="shared" si="81"/>
        <v>0</v>
      </c>
      <c r="O206" s="546">
        <f t="shared" si="81"/>
        <v>0</v>
      </c>
      <c r="P206" s="546">
        <f t="shared" si="81"/>
        <v>0</v>
      </c>
      <c r="Q206" s="546">
        <f t="shared" si="81"/>
        <v>0</v>
      </c>
      <c r="R206" s="133"/>
      <c r="S206" s="133"/>
      <c r="T206" s="133"/>
      <c r="U206" s="133"/>
      <c r="V206" s="133"/>
      <c r="W206" s="133"/>
      <c r="X206" s="133"/>
      <c r="Y206" s="133"/>
      <c r="Z206" s="133"/>
      <c r="AJ206" s="283"/>
      <c r="AK206" s="283"/>
      <c r="AL206" s="283"/>
      <c r="AM206" s="283"/>
      <c r="AN206" s="283"/>
    </row>
    <row r="207" spans="1:40" x14ac:dyDescent="0.3">
      <c r="A207" s="847"/>
      <c r="B207" s="334" t="s">
        <v>1067</v>
      </c>
      <c r="C207" s="149">
        <f>'Inputs and eligible population'!J113</f>
        <v>2.69</v>
      </c>
      <c r="D207" s="128">
        <f>'Financial impact (cash)'!D$15*$C207*'Inputs and eligible population'!$E$54</f>
        <v>0</v>
      </c>
      <c r="E207" s="128">
        <f>'Financial impact (cash)'!E$15*$C207*'Inputs and eligible population'!$E$54</f>
        <v>0</v>
      </c>
      <c r="F207" s="128">
        <f>'Financial impact (cash)'!F$15*$C207*'Inputs and eligible population'!$E$54</f>
        <v>0</v>
      </c>
      <c r="G207" s="128">
        <f>'Financial impact (cash)'!G$15*$C207*'Inputs and eligible population'!$E$54</f>
        <v>0</v>
      </c>
      <c r="H207" s="128">
        <f>'Financial impact (cash)'!H$15*$C207*'Inputs and eligible population'!$E$54</f>
        <v>0</v>
      </c>
      <c r="I207" s="128">
        <f>'Financial impact (cash)'!I$15*$C207*'Inputs and eligible population'!$E$54</f>
        <v>0</v>
      </c>
      <c r="J207" s="845"/>
      <c r="K207" s="544">
        <f>'Unit costs'!N$119</f>
        <v>4.7</v>
      </c>
      <c r="L207" s="546">
        <f t="shared" si="82"/>
        <v>0</v>
      </c>
      <c r="M207" s="546">
        <f t="shared" si="81"/>
        <v>0</v>
      </c>
      <c r="N207" s="546">
        <f t="shared" si="81"/>
        <v>0</v>
      </c>
      <c r="O207" s="546">
        <f t="shared" si="81"/>
        <v>0</v>
      </c>
      <c r="P207" s="546">
        <f t="shared" si="81"/>
        <v>0</v>
      </c>
      <c r="Q207" s="546">
        <f t="shared" si="81"/>
        <v>0</v>
      </c>
      <c r="R207" s="133"/>
      <c r="S207" s="133"/>
      <c r="T207" s="133"/>
      <c r="U207" s="133"/>
      <c r="V207" s="133"/>
      <c r="W207" s="133"/>
      <c r="X207" s="133"/>
      <c r="Y207" s="133"/>
      <c r="Z207" s="133"/>
      <c r="AJ207" s="283"/>
      <c r="AK207" s="283"/>
      <c r="AL207" s="283"/>
      <c r="AM207" s="283"/>
      <c r="AN207" s="283"/>
    </row>
    <row r="208" spans="1:40" x14ac:dyDescent="0.3">
      <c r="A208" s="847"/>
      <c r="B208" s="334" t="s">
        <v>1165</v>
      </c>
      <c r="C208" s="149">
        <f>'Inputs and eligible population'!K$113</f>
        <v>0</v>
      </c>
      <c r="D208" s="128">
        <f>Summary!$C$17*'Capacity (local prices)'!$C208*'Inputs and eligible population'!$E$55</f>
        <v>0</v>
      </c>
      <c r="E208" s="128">
        <f>(Summary!$D$17*'Capacity (local prices)'!$C208*'Inputs and eligible population'!$E$55)</f>
        <v>0</v>
      </c>
      <c r="F208" s="128">
        <f>(Summary!$E$17*'Capacity (local prices)'!$C208*'Inputs and eligible population'!$E$55)</f>
        <v>0</v>
      </c>
      <c r="G208" s="128">
        <f>(Summary!$F$17*'Capacity (local prices)'!$C208*'Inputs and eligible population'!$E$55)</f>
        <v>0</v>
      </c>
      <c r="H208" s="128">
        <f>(Summary!$G$17*'Capacity (local prices)'!$C208*'Inputs and eligible population'!$E$55)</f>
        <v>0</v>
      </c>
      <c r="I208" s="128">
        <f>(Summary!$H$17*'Capacity (local prices)'!$C208*'Inputs and eligible population'!$E$55)</f>
        <v>0</v>
      </c>
      <c r="J208" s="845"/>
      <c r="K208" s="544">
        <f>'Unit costs'!N$119</f>
        <v>4.7</v>
      </c>
      <c r="L208" s="546">
        <f t="shared" si="82"/>
        <v>0</v>
      </c>
      <c r="M208" s="546">
        <f t="shared" si="81"/>
        <v>0</v>
      </c>
      <c r="N208" s="546">
        <f t="shared" si="81"/>
        <v>0</v>
      </c>
      <c r="O208" s="546">
        <f t="shared" si="81"/>
        <v>0</v>
      </c>
      <c r="P208" s="546">
        <f t="shared" si="81"/>
        <v>0</v>
      </c>
      <c r="Q208" s="546">
        <f t="shared" si="81"/>
        <v>0</v>
      </c>
      <c r="R208" s="133"/>
      <c r="S208" s="133"/>
      <c r="T208" s="133"/>
      <c r="U208" s="133"/>
      <c r="V208" s="133"/>
      <c r="W208" s="133"/>
      <c r="X208" s="133"/>
      <c r="Y208" s="133"/>
      <c r="Z208" s="133"/>
      <c r="AJ208" s="283"/>
      <c r="AK208" s="283"/>
      <c r="AL208" s="283"/>
      <c r="AM208" s="283"/>
      <c r="AN208" s="283"/>
    </row>
    <row r="209" spans="1:40" x14ac:dyDescent="0.3">
      <c r="A209" s="847"/>
      <c r="B209" s="334" t="s">
        <v>1166</v>
      </c>
      <c r="C209" s="149">
        <f>'Inputs and eligible population'!K$113</f>
        <v>0</v>
      </c>
      <c r="D209" s="128">
        <f>Summary!$C$17*'Capacity (local prices)'!$C208*'Inputs and eligible population'!$F$55</f>
        <v>0</v>
      </c>
      <c r="E209" s="128">
        <f>Summary!$C$17*'Capacity (local prices)'!$C208*'Inputs and eligible population'!$F$55</f>
        <v>0</v>
      </c>
      <c r="F209" s="128">
        <f>(Summary!$D$17*'Capacity (local prices)'!$C208*'Inputs and eligible population'!$F$55)</f>
        <v>0</v>
      </c>
      <c r="G209" s="128">
        <f>(Summary!$E$17*'Capacity (local prices)'!$C208*'Inputs and eligible population'!$F$55)</f>
        <v>0</v>
      </c>
      <c r="H209" s="128">
        <f>(Summary!$F$17*'Capacity (local prices)'!$C208*'Inputs and eligible population'!$F$55)</f>
        <v>0</v>
      </c>
      <c r="I209" s="128">
        <f>(Summary!$G$17*'Capacity (local prices)'!$C208*'Inputs and eligible population'!$F$55)</f>
        <v>0</v>
      </c>
      <c r="J209" s="845"/>
      <c r="K209" s="544">
        <f>'Unit costs'!N$119</f>
        <v>4.7</v>
      </c>
      <c r="L209" s="546">
        <f t="shared" si="82"/>
        <v>0</v>
      </c>
      <c r="M209" s="546">
        <f t="shared" si="81"/>
        <v>0</v>
      </c>
      <c r="N209" s="546">
        <f t="shared" si="81"/>
        <v>0</v>
      </c>
      <c r="O209" s="546">
        <f t="shared" si="81"/>
        <v>0</v>
      </c>
      <c r="P209" s="546">
        <f t="shared" si="81"/>
        <v>0</v>
      </c>
      <c r="Q209" s="546">
        <f t="shared" si="81"/>
        <v>0</v>
      </c>
      <c r="R209" s="133"/>
      <c r="S209" s="133"/>
      <c r="T209" s="133"/>
      <c r="U209" s="133"/>
      <c r="V209" s="133"/>
      <c r="W209" s="133"/>
      <c r="X209" s="133"/>
      <c r="Y209" s="133"/>
      <c r="Z209" s="133"/>
      <c r="AJ209" s="283"/>
      <c r="AK209" s="283"/>
      <c r="AL209" s="283"/>
      <c r="AM209" s="283"/>
      <c r="AN209" s="283"/>
    </row>
    <row r="210" spans="1:40" x14ac:dyDescent="0.3">
      <c r="A210" s="847"/>
      <c r="B210" s="334" t="s">
        <v>1167</v>
      </c>
      <c r="C210" s="149">
        <f>'Inputs and eligible population'!K$113</f>
        <v>0</v>
      </c>
      <c r="D210" s="128">
        <f>Summary!$C$17*'Capacity (local prices)'!$C208*'Inputs and eligible population'!$G$55</f>
        <v>0</v>
      </c>
      <c r="E210" s="128">
        <f>Summary!$C$17*'Capacity (local prices)'!$C208*'Inputs and eligible population'!$G$55</f>
        <v>0</v>
      </c>
      <c r="F210" s="128">
        <f>Summary!$C$17*'Capacity (local prices)'!$C208*'Inputs and eligible population'!$G$55</f>
        <v>0</v>
      </c>
      <c r="G210" s="128">
        <f>(Summary!$D$17*'Capacity (local prices)'!$C208*'Inputs and eligible population'!$G$55)</f>
        <v>0</v>
      </c>
      <c r="H210" s="128">
        <f>(Summary!$E$17*'Capacity (local prices)'!$C208*'Inputs and eligible population'!$G$55)</f>
        <v>0</v>
      </c>
      <c r="I210" s="128">
        <f>(Summary!$F$17*'Capacity (local prices)'!$C208*'Inputs and eligible population'!$G$55)</f>
        <v>0</v>
      </c>
      <c r="J210" s="845"/>
      <c r="K210" s="544">
        <f>'Unit costs'!N$119</f>
        <v>4.7</v>
      </c>
      <c r="L210" s="546">
        <f t="shared" si="82"/>
        <v>0</v>
      </c>
      <c r="M210" s="546">
        <f t="shared" si="81"/>
        <v>0</v>
      </c>
      <c r="N210" s="546">
        <f t="shared" si="81"/>
        <v>0</v>
      </c>
      <c r="O210" s="546">
        <f t="shared" si="81"/>
        <v>0</v>
      </c>
      <c r="P210" s="546">
        <f t="shared" si="81"/>
        <v>0</v>
      </c>
      <c r="Q210" s="546">
        <f t="shared" si="81"/>
        <v>0</v>
      </c>
      <c r="R210" s="133"/>
      <c r="S210" s="133"/>
      <c r="T210" s="133"/>
      <c r="U210" s="133"/>
      <c r="V210" s="133"/>
      <c r="W210" s="133"/>
      <c r="X210" s="133"/>
      <c r="Y210" s="133"/>
      <c r="Z210" s="133"/>
      <c r="AJ210" s="283"/>
      <c r="AK210" s="283"/>
      <c r="AL210" s="283"/>
      <c r="AM210" s="283"/>
      <c r="AN210" s="283"/>
    </row>
    <row r="211" spans="1:40" x14ac:dyDescent="0.3">
      <c r="A211" s="847"/>
      <c r="B211" s="832" t="s">
        <v>1069</v>
      </c>
      <c r="C211" s="149">
        <f>'Inputs and eligible population'!L113</f>
        <v>0</v>
      </c>
      <c r="D211" s="128">
        <f>Summary!C$18*'Capacity (local prices)'!$C211*'Inputs and eligible population'!$E$56</f>
        <v>0</v>
      </c>
      <c r="E211" s="128">
        <f>Summary!D$18*'Capacity (local prices)'!$C211*'Inputs and eligible population'!$E$56</f>
        <v>0</v>
      </c>
      <c r="F211" s="128">
        <f>Summary!E$18*'Capacity (local prices)'!$C211*'Inputs and eligible population'!$E$56</f>
        <v>0</v>
      </c>
      <c r="G211" s="128">
        <f>Summary!F$18*'Capacity (local prices)'!$C211*'Inputs and eligible population'!$E$56</f>
        <v>0</v>
      </c>
      <c r="H211" s="128">
        <f>Summary!G$18*'Capacity (local prices)'!$C211*'Inputs and eligible population'!$E$56</f>
        <v>0</v>
      </c>
      <c r="I211" s="128">
        <f>Summary!H$18*'Capacity (local prices)'!$C211*'Inputs and eligible population'!$E$56</f>
        <v>0</v>
      </c>
      <c r="J211" s="845"/>
      <c r="K211" s="544">
        <f>'Unit costs'!N$119</f>
        <v>4.7</v>
      </c>
      <c r="L211" s="546">
        <f t="shared" si="82"/>
        <v>0</v>
      </c>
      <c r="M211" s="546">
        <f t="shared" si="81"/>
        <v>0</v>
      </c>
      <c r="N211" s="546">
        <f t="shared" si="81"/>
        <v>0</v>
      </c>
      <c r="O211" s="546">
        <f t="shared" si="81"/>
        <v>0</v>
      </c>
      <c r="P211" s="546">
        <f t="shared" si="81"/>
        <v>0</v>
      </c>
      <c r="Q211" s="546">
        <f t="shared" si="81"/>
        <v>0</v>
      </c>
      <c r="R211" s="133"/>
      <c r="S211" s="133"/>
      <c r="T211" s="133"/>
      <c r="U211" s="133"/>
      <c r="V211" s="133"/>
      <c r="W211" s="133"/>
      <c r="X211" s="133"/>
      <c r="Y211" s="133"/>
      <c r="Z211" s="133"/>
      <c r="AJ211" s="283"/>
      <c r="AK211" s="283"/>
      <c r="AL211" s="283"/>
      <c r="AM211" s="283"/>
      <c r="AN211" s="283"/>
    </row>
    <row r="212" spans="1:40" x14ac:dyDescent="0.3">
      <c r="A212" s="847"/>
      <c r="B212" s="504"/>
      <c r="C212" s="280"/>
      <c r="D212" s="186">
        <f t="shared" ref="D212:I212" si="83">SUM(D201:D211)</f>
        <v>0</v>
      </c>
      <c r="E212" s="186">
        <f t="shared" si="83"/>
        <v>0</v>
      </c>
      <c r="F212" s="186">
        <f t="shared" si="83"/>
        <v>0</v>
      </c>
      <c r="G212" s="186">
        <f t="shared" si="83"/>
        <v>0</v>
      </c>
      <c r="H212" s="186">
        <f t="shared" si="83"/>
        <v>0</v>
      </c>
      <c r="I212" s="186">
        <f t="shared" si="83"/>
        <v>0</v>
      </c>
      <c r="J212" s="845"/>
      <c r="K212" s="221"/>
      <c r="L212" s="290">
        <f t="shared" ref="L212:Q212" si="84">SUM(L201:L211)</f>
        <v>0</v>
      </c>
      <c r="M212" s="290">
        <f t="shared" si="84"/>
        <v>0</v>
      </c>
      <c r="N212" s="290">
        <f t="shared" si="84"/>
        <v>0</v>
      </c>
      <c r="O212" s="290">
        <f t="shared" si="84"/>
        <v>0</v>
      </c>
      <c r="P212" s="290">
        <f t="shared" si="84"/>
        <v>0</v>
      </c>
      <c r="Q212" s="290">
        <f t="shared" si="84"/>
        <v>0</v>
      </c>
      <c r="R212" s="133"/>
      <c r="S212" s="133"/>
      <c r="T212" s="133"/>
      <c r="U212" s="133"/>
      <c r="V212" s="133"/>
      <c r="W212" s="133"/>
      <c r="X212" s="133"/>
      <c r="Y212" s="133"/>
      <c r="Z212" s="133"/>
      <c r="AJ212" s="283"/>
      <c r="AK212" s="283"/>
      <c r="AL212" s="283"/>
      <c r="AM212" s="283"/>
      <c r="AN212" s="283"/>
    </row>
    <row r="213" spans="1:40" x14ac:dyDescent="0.3">
      <c r="A213" s="847"/>
      <c r="B213" s="255"/>
      <c r="C213" s="255"/>
      <c r="D213" s="282" t="s">
        <v>841</v>
      </c>
      <c r="E213" s="186">
        <f>E212-$D212</f>
        <v>0</v>
      </c>
      <c r="F213" s="186">
        <f t="shared" ref="F213:I213" si="85">F212-$D212</f>
        <v>0</v>
      </c>
      <c r="G213" s="186">
        <f t="shared" si="85"/>
        <v>0</v>
      </c>
      <c r="H213" s="186">
        <f t="shared" si="85"/>
        <v>0</v>
      </c>
      <c r="I213" s="186">
        <f t="shared" si="85"/>
        <v>0</v>
      </c>
      <c r="J213" s="845"/>
      <c r="K213" s="221"/>
      <c r="L213" s="221"/>
      <c r="M213" s="290">
        <f>M212-$L212</f>
        <v>0</v>
      </c>
      <c r="N213" s="290">
        <f t="shared" ref="N213:Q213" si="86">N212-$L212</f>
        <v>0</v>
      </c>
      <c r="O213" s="290">
        <f t="shared" si="86"/>
        <v>0</v>
      </c>
      <c r="P213" s="290">
        <f t="shared" si="86"/>
        <v>0</v>
      </c>
      <c r="Q213" s="290">
        <f t="shared" si="86"/>
        <v>0</v>
      </c>
      <c r="R213" s="133"/>
      <c r="S213" s="133"/>
      <c r="T213" s="133"/>
      <c r="U213" s="133"/>
      <c r="V213" s="133"/>
      <c r="W213" s="133"/>
      <c r="X213" s="133"/>
      <c r="Y213" s="133"/>
      <c r="Z213" s="133"/>
      <c r="AJ213" s="283"/>
      <c r="AK213" s="283"/>
      <c r="AL213" s="283"/>
      <c r="AM213" s="283"/>
      <c r="AN213" s="283"/>
    </row>
    <row r="214" spans="1:40" x14ac:dyDescent="0.3">
      <c r="A214" s="287"/>
      <c r="B214" s="287"/>
      <c r="C214" s="221"/>
      <c r="D214" s="287"/>
      <c r="E214" s="287"/>
      <c r="F214" s="287"/>
      <c r="G214" s="287"/>
      <c r="H214" s="287"/>
      <c r="I214" s="221"/>
      <c r="J214" s="221"/>
      <c r="K214" s="221"/>
      <c r="L214" s="221"/>
      <c r="M214" s="221"/>
      <c r="N214" s="221"/>
      <c r="O214" s="221"/>
      <c r="P214" s="221"/>
      <c r="Q214" s="221"/>
      <c r="V214" s="133"/>
    </row>
    <row r="215" spans="1:40" x14ac:dyDescent="0.3">
      <c r="A215" s="287"/>
      <c r="B215" s="310" t="s">
        <v>848</v>
      </c>
      <c r="C215" s="298"/>
      <c r="D215" s="299"/>
      <c r="E215" s="300"/>
      <c r="F215" s="301"/>
      <c r="G215" s="301"/>
      <c r="H215" s="301"/>
      <c r="I215" s="414"/>
      <c r="J215" s="287"/>
      <c r="K215" s="287"/>
      <c r="L215" s="287"/>
      <c r="M215" s="287"/>
      <c r="N215" s="287"/>
      <c r="O215" s="287"/>
      <c r="P215" s="287"/>
      <c r="Q215" s="221"/>
      <c r="R215" s="133"/>
      <c r="S215" s="133"/>
      <c r="T215" s="133"/>
      <c r="U215" s="133"/>
      <c r="V215" s="133"/>
      <c r="W215" s="133"/>
      <c r="X215" s="133"/>
      <c r="Y215" s="133"/>
      <c r="Z215" s="133"/>
      <c r="AJ215" s="283"/>
      <c r="AK215" s="283"/>
      <c r="AL215" s="283"/>
      <c r="AM215" s="283"/>
      <c r="AN215" s="283"/>
    </row>
    <row r="216" spans="1:40" x14ac:dyDescent="0.3">
      <c r="A216" s="287"/>
      <c r="B216" s="381" t="s">
        <v>1112</v>
      </c>
      <c r="C216" s="382"/>
      <c r="D216" s="382"/>
      <c r="E216" s="382"/>
      <c r="F216" s="382"/>
      <c r="G216" s="382"/>
      <c r="H216" s="382"/>
      <c r="I216" s="220"/>
      <c r="J216" s="221"/>
      <c r="K216" s="221"/>
      <c r="L216" s="410"/>
      <c r="M216" s="410"/>
      <c r="N216" s="410"/>
      <c r="O216" s="410"/>
      <c r="P216" s="410"/>
      <c r="Q216" s="410"/>
      <c r="R216" s="133"/>
      <c r="S216" s="133"/>
      <c r="T216" s="133"/>
      <c r="U216" s="133"/>
      <c r="V216" s="133"/>
      <c r="W216" s="133"/>
      <c r="X216" s="133"/>
      <c r="Y216" s="133"/>
      <c r="Z216" s="133"/>
      <c r="AJ216" s="283"/>
      <c r="AK216" s="283"/>
      <c r="AL216" s="283"/>
      <c r="AM216" s="283"/>
      <c r="AN216" s="283"/>
    </row>
    <row r="217" spans="1:40" ht="43.2" x14ac:dyDescent="0.3">
      <c r="A217" s="847"/>
      <c r="B217" s="306" t="s">
        <v>766</v>
      </c>
      <c r="C217" s="166" t="s">
        <v>1099</v>
      </c>
      <c r="D217" s="402" t="s">
        <v>831</v>
      </c>
      <c r="E217" s="254" t="s">
        <v>676</v>
      </c>
      <c r="F217" s="254" t="s">
        <v>677</v>
      </c>
      <c r="G217" s="165" t="s">
        <v>803</v>
      </c>
      <c r="H217" s="165" t="s">
        <v>804</v>
      </c>
      <c r="I217" s="254" t="s">
        <v>805</v>
      </c>
      <c r="J217" s="845"/>
      <c r="K217" s="531" t="s">
        <v>1100</v>
      </c>
      <c r="L217" s="402" t="s">
        <v>831</v>
      </c>
      <c r="M217" s="521" t="s">
        <v>676</v>
      </c>
      <c r="N217" s="521" t="s">
        <v>677</v>
      </c>
      <c r="O217" s="403" t="s">
        <v>803</v>
      </c>
      <c r="P217" s="403" t="s">
        <v>804</v>
      </c>
      <c r="Q217" s="521" t="s">
        <v>805</v>
      </c>
      <c r="R217" s="133"/>
      <c r="S217" s="133"/>
      <c r="T217" s="133"/>
      <c r="U217" s="133"/>
      <c r="V217" s="133"/>
      <c r="W217" s="133"/>
      <c r="X217" s="133"/>
      <c r="Y217" s="133"/>
      <c r="Z217" s="133"/>
      <c r="AJ217" s="283"/>
      <c r="AK217" s="283"/>
      <c r="AL217" s="283"/>
      <c r="AM217" s="283"/>
      <c r="AN217" s="283"/>
    </row>
    <row r="218" spans="1:40" x14ac:dyDescent="0.3">
      <c r="A218" s="847"/>
      <c r="B218" s="334" t="s">
        <v>1065</v>
      </c>
      <c r="C218" s="846">
        <f>'Inputs and eligible population'!F115</f>
        <v>1.05</v>
      </c>
      <c r="D218" s="128">
        <f>Summary!$C$16*'Capacity (local prices)'!$C218*'Inputs and eligible population'!$E$50</f>
        <v>0</v>
      </c>
      <c r="E218" s="128">
        <f>Summary!$D$16*'Capacity (local prices)'!$C218*'Inputs and eligible population'!$E$50</f>
        <v>0</v>
      </c>
      <c r="F218" s="128">
        <f>Summary!E$16*'Capacity (local prices)'!$C218*'Inputs and eligible population'!$E$50</f>
        <v>0</v>
      </c>
      <c r="G218" s="128">
        <f>Summary!F$16*'Capacity (local prices)'!$C218*'Inputs and eligible population'!$E$50</f>
        <v>0</v>
      </c>
      <c r="H218" s="128">
        <f>Summary!G$16*'Capacity (local prices)'!$C218*'Inputs and eligible population'!$E$50</f>
        <v>0</v>
      </c>
      <c r="I218" s="128">
        <f>Summary!H$16*'Capacity (local prices)'!$C218*'Inputs and eligible population'!$E$50</f>
        <v>0</v>
      </c>
      <c r="J218" s="845"/>
      <c r="K218" s="544">
        <f>'Unit costs'!N$126</f>
        <v>3.35</v>
      </c>
      <c r="L218" s="546">
        <f>$K218/1000*D218</f>
        <v>0</v>
      </c>
      <c r="M218" s="546">
        <f t="shared" ref="M218:Q228" si="87">$K218/1000*E218</f>
        <v>0</v>
      </c>
      <c r="N218" s="546">
        <f t="shared" si="87"/>
        <v>0</v>
      </c>
      <c r="O218" s="546">
        <f t="shared" si="87"/>
        <v>0</v>
      </c>
      <c r="P218" s="546">
        <f t="shared" si="87"/>
        <v>0</v>
      </c>
      <c r="Q218" s="546">
        <f t="shared" si="87"/>
        <v>0</v>
      </c>
      <c r="R218" s="133"/>
      <c r="S218" s="133"/>
      <c r="T218" s="133"/>
      <c r="U218" s="133"/>
      <c r="V218" s="133"/>
      <c r="W218" s="133"/>
      <c r="X218" s="133"/>
      <c r="Y218" s="133"/>
      <c r="Z218" s="133"/>
      <c r="AJ218" s="283"/>
      <c r="AK218" s="283"/>
      <c r="AL218" s="283"/>
      <c r="AM218" s="283"/>
      <c r="AN218" s="283"/>
    </row>
    <row r="219" spans="1:40" x14ac:dyDescent="0.3">
      <c r="A219" s="847"/>
      <c r="B219" s="334" t="s">
        <v>1064</v>
      </c>
      <c r="C219" s="149">
        <f>'Inputs and eligible population'!G115</f>
        <v>0.68</v>
      </c>
      <c r="D219" s="128">
        <f>Summary!C$16*'Capacity (local prices)'!$C219*'Inputs and eligible population'!$E$51</f>
        <v>0</v>
      </c>
      <c r="E219" s="128">
        <f>Summary!D$16*'Capacity (local prices)'!$C219*'Inputs and eligible population'!$E$51</f>
        <v>0</v>
      </c>
      <c r="F219" s="128">
        <f>Summary!E$16*'Capacity (local prices)'!$C219*'Inputs and eligible population'!$E$51</f>
        <v>0</v>
      </c>
      <c r="G219" s="128">
        <f>Summary!F$16*'Capacity (local prices)'!$C219*'Inputs and eligible population'!$E$51</f>
        <v>0</v>
      </c>
      <c r="H219" s="128">
        <f>Summary!G$16*'Capacity (local prices)'!$C219*'Inputs and eligible population'!$E$51</f>
        <v>0</v>
      </c>
      <c r="I219" s="128">
        <f>Summary!H$16*'Capacity (local prices)'!$C219*'Inputs and eligible population'!$E$51</f>
        <v>0</v>
      </c>
      <c r="J219" s="845"/>
      <c r="K219" s="544">
        <f>'Unit costs'!N$126</f>
        <v>3.35</v>
      </c>
      <c r="L219" s="546">
        <f t="shared" ref="L219:L228" si="88">$K219/1000*D219</f>
        <v>0</v>
      </c>
      <c r="M219" s="546">
        <f t="shared" si="87"/>
        <v>0</v>
      </c>
      <c r="N219" s="546">
        <f t="shared" si="87"/>
        <v>0</v>
      </c>
      <c r="O219" s="546">
        <f t="shared" si="87"/>
        <v>0</v>
      </c>
      <c r="P219" s="546">
        <f t="shared" si="87"/>
        <v>0</v>
      </c>
      <c r="Q219" s="546">
        <f t="shared" si="87"/>
        <v>0</v>
      </c>
      <c r="R219" s="133"/>
      <c r="S219" s="133"/>
      <c r="T219" s="133"/>
      <c r="U219" s="133"/>
      <c r="V219" s="133"/>
      <c r="W219" s="133"/>
      <c r="X219" s="133"/>
      <c r="Y219" s="133"/>
      <c r="Z219" s="133"/>
      <c r="AJ219" s="283"/>
      <c r="AK219" s="283"/>
      <c r="AL219" s="283"/>
      <c r="AM219" s="283"/>
      <c r="AN219" s="283"/>
    </row>
    <row r="220" spans="1:40" x14ac:dyDescent="0.3">
      <c r="A220" s="847"/>
      <c r="B220" s="334" t="s">
        <v>1162</v>
      </c>
      <c r="C220" s="149">
        <f>'Inputs and eligible population'!H$115</f>
        <v>0</v>
      </c>
      <c r="D220" s="128">
        <f>'Inputs and eligible population'!$E$52*'Inputs and eligible population'!$L$84*'Capacity (local prices)'!$C$33</f>
        <v>0</v>
      </c>
      <c r="E220" s="128">
        <f>'Inputs and eligible population'!$E$52*'Inputs and eligible population'!$M$84*'Capacity (local prices)'!$C220</f>
        <v>0</v>
      </c>
      <c r="F220" s="128">
        <f>'Inputs and eligible population'!$E$52*'Inputs and eligible population'!$N$84*'Capacity (local prices)'!$C220</f>
        <v>0</v>
      </c>
      <c r="G220" s="128">
        <f>'Inputs and eligible population'!$E$52*'Inputs and eligible population'!$O$84*'Capacity (local prices)'!$C220</f>
        <v>0</v>
      </c>
      <c r="H220" s="128">
        <f>'Inputs and eligible population'!$E$52*'Inputs and eligible population'!$P$84*'Capacity (local prices)'!$C220</f>
        <v>0</v>
      </c>
      <c r="I220" s="128">
        <f>'Inputs and eligible population'!$E$52*'Inputs and eligible population'!$Q$84*'Capacity (local prices)'!$C220</f>
        <v>0</v>
      </c>
      <c r="J220" s="845"/>
      <c r="K220" s="544">
        <f>'Unit costs'!N$126</f>
        <v>3.35</v>
      </c>
      <c r="L220" s="546">
        <f t="shared" si="88"/>
        <v>0</v>
      </c>
      <c r="M220" s="546">
        <f t="shared" si="87"/>
        <v>0</v>
      </c>
      <c r="N220" s="546">
        <f t="shared" si="87"/>
        <v>0</v>
      </c>
      <c r="O220" s="546">
        <f t="shared" si="87"/>
        <v>0</v>
      </c>
      <c r="P220" s="546">
        <f t="shared" si="87"/>
        <v>0</v>
      </c>
      <c r="Q220" s="546">
        <f t="shared" si="87"/>
        <v>0</v>
      </c>
      <c r="R220" s="133"/>
      <c r="S220" s="133"/>
      <c r="T220" s="133"/>
      <c r="U220" s="133"/>
      <c r="V220" s="133"/>
      <c r="W220" s="133"/>
      <c r="X220" s="133"/>
      <c r="Y220" s="133"/>
      <c r="Z220" s="133"/>
      <c r="AJ220" s="283"/>
      <c r="AK220" s="283"/>
      <c r="AL220" s="283"/>
      <c r="AM220" s="283"/>
      <c r="AN220" s="283"/>
    </row>
    <row r="221" spans="1:40" x14ac:dyDescent="0.3">
      <c r="A221" s="847"/>
      <c r="B221" s="334" t="s">
        <v>1163</v>
      </c>
      <c r="C221" s="149">
        <f>'Inputs and eligible population'!H$115</f>
        <v>0</v>
      </c>
      <c r="D221" s="128">
        <f>'Inputs and eligible population'!$F$52*'Inputs and eligible population'!$L$84*'Capacity (local prices)'!$C221</f>
        <v>0</v>
      </c>
      <c r="E221" s="128">
        <f>'Inputs and eligible population'!$F$52*'Inputs and eligible population'!$L$84*'Capacity (local prices)'!$C221</f>
        <v>0</v>
      </c>
      <c r="F221" s="128">
        <f>'Inputs and eligible population'!$F$52*'Inputs and eligible population'!$M$84*'Capacity (local prices)'!$C221</f>
        <v>0</v>
      </c>
      <c r="G221" s="128">
        <f>'Inputs and eligible population'!$F$52*'Inputs and eligible population'!$N$84*'Capacity (local prices)'!$C221</f>
        <v>0</v>
      </c>
      <c r="H221" s="128">
        <f>'Inputs and eligible population'!$F$52*'Inputs and eligible population'!$O$84*'Capacity (local prices)'!$C221</f>
        <v>0</v>
      </c>
      <c r="I221" s="128">
        <f>'Inputs and eligible population'!$F$52*'Inputs and eligible population'!$P$84*'Capacity (local prices)'!$C221</f>
        <v>0</v>
      </c>
      <c r="J221" s="845"/>
      <c r="K221" s="544">
        <f>'Unit costs'!N$126</f>
        <v>3.35</v>
      </c>
      <c r="L221" s="546">
        <f t="shared" si="88"/>
        <v>0</v>
      </c>
      <c r="M221" s="546">
        <f t="shared" si="87"/>
        <v>0</v>
      </c>
      <c r="N221" s="546">
        <f t="shared" si="87"/>
        <v>0</v>
      </c>
      <c r="O221" s="546">
        <f t="shared" si="87"/>
        <v>0</v>
      </c>
      <c r="P221" s="546">
        <f t="shared" si="87"/>
        <v>0</v>
      </c>
      <c r="Q221" s="546">
        <f t="shared" si="87"/>
        <v>0</v>
      </c>
      <c r="R221" s="133"/>
      <c r="S221" s="133"/>
      <c r="T221" s="133"/>
      <c r="U221" s="133"/>
      <c r="V221" s="133"/>
      <c r="W221" s="133"/>
      <c r="X221" s="133"/>
      <c r="Y221" s="133"/>
      <c r="Z221" s="133"/>
      <c r="AJ221" s="283"/>
      <c r="AK221" s="283"/>
      <c r="AL221" s="283"/>
      <c r="AM221" s="283"/>
      <c r="AN221" s="283"/>
    </row>
    <row r="222" spans="1:40" x14ac:dyDescent="0.3">
      <c r="A222" s="847"/>
      <c r="B222" s="334" t="s">
        <v>1164</v>
      </c>
      <c r="C222" s="149">
        <f>'Inputs and eligible population'!H$115</f>
        <v>0</v>
      </c>
      <c r="D222" s="128">
        <f>'Inputs and eligible population'!$G$52*'Inputs and eligible population'!$L$84*'Capacity (local prices)'!$C222</f>
        <v>0</v>
      </c>
      <c r="E222" s="128">
        <f>'Inputs and eligible population'!$G$52*'Inputs and eligible population'!$L$84*'Capacity (local prices)'!$C222</f>
        <v>0</v>
      </c>
      <c r="F222" s="128">
        <f>'Inputs and eligible population'!$G$52*'Inputs and eligible population'!$L$84*'Capacity (local prices)'!$C222</f>
        <v>0</v>
      </c>
      <c r="G222" s="128">
        <f>'Inputs and eligible population'!$G$52*'Inputs and eligible population'!$M$84*'Capacity (local prices)'!$C222</f>
        <v>0</v>
      </c>
      <c r="H222" s="128">
        <f>'Inputs and eligible population'!$G$52*'Inputs and eligible population'!$N$84*'Capacity (local prices)'!$C222</f>
        <v>0</v>
      </c>
      <c r="I222" s="128">
        <f>'Inputs and eligible population'!$G$52*'Inputs and eligible population'!$O$84*'Capacity (local prices)'!$C222</f>
        <v>0</v>
      </c>
      <c r="J222" s="845"/>
      <c r="K222" s="544">
        <f>'Unit costs'!N$126</f>
        <v>3.35</v>
      </c>
      <c r="L222" s="546">
        <f t="shared" si="88"/>
        <v>0</v>
      </c>
      <c r="M222" s="546">
        <f t="shared" si="87"/>
        <v>0</v>
      </c>
      <c r="N222" s="546">
        <f t="shared" si="87"/>
        <v>0</v>
      </c>
      <c r="O222" s="546">
        <f t="shared" si="87"/>
        <v>0</v>
      </c>
      <c r="P222" s="546">
        <f t="shared" si="87"/>
        <v>0</v>
      </c>
      <c r="Q222" s="546">
        <f t="shared" si="87"/>
        <v>0</v>
      </c>
      <c r="R222" s="133"/>
      <c r="S222" s="133"/>
      <c r="T222" s="133"/>
      <c r="U222" s="133"/>
      <c r="V222" s="133"/>
      <c r="W222" s="133"/>
      <c r="X222" s="133"/>
      <c r="Y222" s="133"/>
      <c r="Z222" s="133"/>
      <c r="AJ222" s="283"/>
      <c r="AK222" s="283"/>
      <c r="AL222" s="283"/>
      <c r="AM222" s="283"/>
      <c r="AN222" s="283"/>
    </row>
    <row r="223" spans="1:40" x14ac:dyDescent="0.3">
      <c r="A223" s="847"/>
      <c r="B223" s="334" t="s">
        <v>1066</v>
      </c>
      <c r="C223" s="846">
        <f>'Inputs and eligible population'!I115</f>
        <v>1.05</v>
      </c>
      <c r="D223" s="128">
        <f>'Financial impact (cash)'!D$15*$C223*'Inputs and eligible population'!$E$53</f>
        <v>0</v>
      </c>
      <c r="E223" s="128">
        <f>'Financial impact (cash)'!E$15*$C223*'Inputs and eligible population'!$E$53</f>
        <v>0</v>
      </c>
      <c r="F223" s="128">
        <f>'Financial impact (cash)'!F$15*$C223*'Inputs and eligible population'!$E$53</f>
        <v>0</v>
      </c>
      <c r="G223" s="128">
        <f>'Financial impact (cash)'!G$15*$C223*'Inputs and eligible population'!$E$53</f>
        <v>0</v>
      </c>
      <c r="H223" s="128">
        <f>'Financial impact (cash)'!H$15*$C223*'Inputs and eligible population'!$E$53</f>
        <v>0</v>
      </c>
      <c r="I223" s="128">
        <f>'Financial impact (cash)'!I$15*$C223*'Inputs and eligible population'!$E$53</f>
        <v>0</v>
      </c>
      <c r="J223" s="845"/>
      <c r="K223" s="544">
        <f>'Unit costs'!N$126</f>
        <v>3.35</v>
      </c>
      <c r="L223" s="546">
        <f t="shared" si="88"/>
        <v>0</v>
      </c>
      <c r="M223" s="546">
        <f t="shared" si="87"/>
        <v>0</v>
      </c>
      <c r="N223" s="546">
        <f t="shared" si="87"/>
        <v>0</v>
      </c>
      <c r="O223" s="546">
        <f t="shared" si="87"/>
        <v>0</v>
      </c>
      <c r="P223" s="546">
        <f t="shared" si="87"/>
        <v>0</v>
      </c>
      <c r="Q223" s="546">
        <f t="shared" si="87"/>
        <v>0</v>
      </c>
      <c r="R223" s="133"/>
      <c r="S223" s="133"/>
      <c r="T223" s="133"/>
      <c r="U223" s="133"/>
      <c r="V223" s="133"/>
      <c r="W223" s="133"/>
      <c r="X223" s="133"/>
      <c r="Y223" s="133"/>
      <c r="Z223" s="133"/>
      <c r="AJ223" s="283"/>
      <c r="AK223" s="283"/>
      <c r="AL223" s="283"/>
      <c r="AM223" s="283"/>
      <c r="AN223" s="283"/>
    </row>
    <row r="224" spans="1:40" x14ac:dyDescent="0.3">
      <c r="A224" s="847"/>
      <c r="B224" s="334" t="s">
        <v>1067</v>
      </c>
      <c r="C224" s="149">
        <f>'Inputs and eligible population'!J115</f>
        <v>0.68</v>
      </c>
      <c r="D224" s="128">
        <f>'Financial impact (cash)'!D$15*$C224*'Inputs and eligible population'!$E$54</f>
        <v>0</v>
      </c>
      <c r="E224" s="128">
        <f>'Financial impact (cash)'!E$15*$C224*'Inputs and eligible population'!$E$54</f>
        <v>0</v>
      </c>
      <c r="F224" s="128">
        <f>'Financial impact (cash)'!F$15*$C224*'Inputs and eligible population'!$E$54</f>
        <v>0</v>
      </c>
      <c r="G224" s="128">
        <f>'Financial impact (cash)'!G$15*$C224*'Inputs and eligible population'!$E$54</f>
        <v>0</v>
      </c>
      <c r="H224" s="128">
        <f>'Financial impact (cash)'!H$15*$C224*'Inputs and eligible population'!$E$54</f>
        <v>0</v>
      </c>
      <c r="I224" s="128">
        <f>'Financial impact (cash)'!I$15*$C224*'Inputs and eligible population'!$E$54</f>
        <v>0</v>
      </c>
      <c r="J224" s="845"/>
      <c r="K224" s="544">
        <f>'Unit costs'!N$126</f>
        <v>3.35</v>
      </c>
      <c r="L224" s="546">
        <f t="shared" si="88"/>
        <v>0</v>
      </c>
      <c r="M224" s="546">
        <f t="shared" si="87"/>
        <v>0</v>
      </c>
      <c r="N224" s="546">
        <f t="shared" si="87"/>
        <v>0</v>
      </c>
      <c r="O224" s="546">
        <f t="shared" si="87"/>
        <v>0</v>
      </c>
      <c r="P224" s="546">
        <f t="shared" si="87"/>
        <v>0</v>
      </c>
      <c r="Q224" s="546">
        <f t="shared" si="87"/>
        <v>0</v>
      </c>
      <c r="R224" s="133"/>
      <c r="S224" s="133"/>
      <c r="T224" s="133"/>
      <c r="U224" s="133"/>
      <c r="V224" s="133"/>
      <c r="W224" s="133"/>
      <c r="X224" s="133"/>
      <c r="Y224" s="133"/>
      <c r="Z224" s="133"/>
      <c r="AJ224" s="283"/>
      <c r="AK224" s="283"/>
      <c r="AL224" s="283"/>
      <c r="AM224" s="283"/>
      <c r="AN224" s="283"/>
    </row>
    <row r="225" spans="1:40" x14ac:dyDescent="0.3">
      <c r="A225" s="847"/>
      <c r="B225" s="334" t="s">
        <v>1165</v>
      </c>
      <c r="C225" s="149">
        <f>'Inputs and eligible population'!K$115</f>
        <v>0</v>
      </c>
      <c r="D225" s="128">
        <f>Summary!$C$17*'Capacity (local prices)'!$C225*'Inputs and eligible population'!$E$55</f>
        <v>0</v>
      </c>
      <c r="E225" s="128">
        <f>(Summary!$D$17*'Capacity (local prices)'!$C225*'Inputs and eligible population'!$E$55)</f>
        <v>0</v>
      </c>
      <c r="F225" s="128">
        <f>(Summary!$E$17*'Capacity (local prices)'!$C225*'Inputs and eligible population'!$E$55)</f>
        <v>0</v>
      </c>
      <c r="G225" s="128">
        <f>(Summary!$F$17*'Capacity (local prices)'!$C225*'Inputs and eligible population'!$E$55)</f>
        <v>0</v>
      </c>
      <c r="H225" s="128">
        <f>(Summary!$G$17*'Capacity (local prices)'!$C225*'Inputs and eligible population'!$E$55)</f>
        <v>0</v>
      </c>
      <c r="I225" s="128">
        <f>(Summary!$H$17*'Capacity (local prices)'!$C225*'Inputs and eligible population'!$E$55)</f>
        <v>0</v>
      </c>
      <c r="J225" s="845"/>
      <c r="K225" s="544">
        <f>'Unit costs'!N$126</f>
        <v>3.35</v>
      </c>
      <c r="L225" s="546">
        <f t="shared" si="88"/>
        <v>0</v>
      </c>
      <c r="M225" s="546">
        <f t="shared" si="87"/>
        <v>0</v>
      </c>
      <c r="N225" s="546">
        <f t="shared" si="87"/>
        <v>0</v>
      </c>
      <c r="O225" s="546">
        <f t="shared" si="87"/>
        <v>0</v>
      </c>
      <c r="P225" s="546">
        <f t="shared" si="87"/>
        <v>0</v>
      </c>
      <c r="Q225" s="546">
        <f t="shared" si="87"/>
        <v>0</v>
      </c>
      <c r="R225" s="133"/>
      <c r="S225" s="133"/>
      <c r="T225" s="133"/>
      <c r="U225" s="133"/>
      <c r="V225" s="133"/>
      <c r="W225" s="133"/>
      <c r="X225" s="133"/>
      <c r="Y225" s="133"/>
      <c r="Z225" s="133"/>
      <c r="AJ225" s="283"/>
      <c r="AK225" s="283"/>
      <c r="AL225" s="283"/>
      <c r="AM225" s="283"/>
      <c r="AN225" s="283"/>
    </row>
    <row r="226" spans="1:40" x14ac:dyDescent="0.3">
      <c r="A226" s="847"/>
      <c r="B226" s="334" t="s">
        <v>1166</v>
      </c>
      <c r="C226" s="149">
        <f>'Inputs and eligible population'!K$115</f>
        <v>0</v>
      </c>
      <c r="D226" s="128">
        <f>Summary!$C$17*'Capacity (local prices)'!$C225*'Inputs and eligible population'!$F$55</f>
        <v>0</v>
      </c>
      <c r="E226" s="128">
        <f>Summary!$C$17*'Capacity (local prices)'!$C225*'Inputs and eligible population'!$F$55</f>
        <v>0</v>
      </c>
      <c r="F226" s="128">
        <f>(Summary!$D$17*'Capacity (local prices)'!$C225*'Inputs and eligible population'!$F$55)</f>
        <v>0</v>
      </c>
      <c r="G226" s="128">
        <f>(Summary!$E$17*'Capacity (local prices)'!$C225*'Inputs and eligible population'!$F$55)</f>
        <v>0</v>
      </c>
      <c r="H226" s="128">
        <f>(Summary!$F$17*'Capacity (local prices)'!$C225*'Inputs and eligible population'!$F$55)</f>
        <v>0</v>
      </c>
      <c r="I226" s="128">
        <f>(Summary!$G$17*'Capacity (local prices)'!$C225*'Inputs and eligible population'!$F$55)</f>
        <v>0</v>
      </c>
      <c r="J226" s="845"/>
      <c r="K226" s="544">
        <f>'Unit costs'!N$126</f>
        <v>3.35</v>
      </c>
      <c r="L226" s="546">
        <f t="shared" si="88"/>
        <v>0</v>
      </c>
      <c r="M226" s="546">
        <f t="shared" si="87"/>
        <v>0</v>
      </c>
      <c r="N226" s="546">
        <f t="shared" si="87"/>
        <v>0</v>
      </c>
      <c r="O226" s="546">
        <f t="shared" si="87"/>
        <v>0</v>
      </c>
      <c r="P226" s="546">
        <f t="shared" si="87"/>
        <v>0</v>
      </c>
      <c r="Q226" s="546">
        <f t="shared" si="87"/>
        <v>0</v>
      </c>
      <c r="R226" s="133"/>
      <c r="S226" s="133"/>
      <c r="T226" s="133"/>
      <c r="U226" s="133"/>
      <c r="V226" s="133"/>
      <c r="W226" s="133"/>
      <c r="X226" s="133"/>
      <c r="Y226" s="133"/>
      <c r="Z226" s="133"/>
      <c r="AJ226" s="283"/>
      <c r="AK226" s="283"/>
      <c r="AL226" s="283"/>
      <c r="AM226" s="283"/>
      <c r="AN226" s="283"/>
    </row>
    <row r="227" spans="1:40" x14ac:dyDescent="0.3">
      <c r="A227" s="847"/>
      <c r="B227" s="334" t="s">
        <v>1167</v>
      </c>
      <c r="C227" s="149">
        <f>'Inputs and eligible population'!K$115</f>
        <v>0</v>
      </c>
      <c r="D227" s="128">
        <f>Summary!$C$17*'Capacity (local prices)'!$C225*'Inputs and eligible population'!$G$55</f>
        <v>0</v>
      </c>
      <c r="E227" s="128">
        <f>Summary!$C$17*'Capacity (local prices)'!$C225*'Inputs and eligible population'!$G$55</f>
        <v>0</v>
      </c>
      <c r="F227" s="128">
        <f>Summary!$C$17*'Capacity (local prices)'!$C225*'Inputs and eligible population'!$G$55</f>
        <v>0</v>
      </c>
      <c r="G227" s="128">
        <f>(Summary!$D$17*'Capacity (local prices)'!$C225*'Inputs and eligible population'!$G$55)</f>
        <v>0</v>
      </c>
      <c r="H227" s="128">
        <f>(Summary!$E$17*'Capacity (local prices)'!$C225*'Inputs and eligible population'!$G$55)</f>
        <v>0</v>
      </c>
      <c r="I227" s="128">
        <f>(Summary!$F$17*'Capacity (local prices)'!$C225*'Inputs and eligible population'!$G$55)</f>
        <v>0</v>
      </c>
      <c r="J227" s="845"/>
      <c r="K227" s="544">
        <f>'Unit costs'!N$126</f>
        <v>3.35</v>
      </c>
      <c r="L227" s="546">
        <f t="shared" si="88"/>
        <v>0</v>
      </c>
      <c r="M227" s="546">
        <f t="shared" si="87"/>
        <v>0</v>
      </c>
      <c r="N227" s="546">
        <f t="shared" si="87"/>
        <v>0</v>
      </c>
      <c r="O227" s="546">
        <f t="shared" si="87"/>
        <v>0</v>
      </c>
      <c r="P227" s="546">
        <f t="shared" si="87"/>
        <v>0</v>
      </c>
      <c r="Q227" s="546">
        <f t="shared" si="87"/>
        <v>0</v>
      </c>
      <c r="R227" s="133"/>
      <c r="S227" s="133"/>
      <c r="T227" s="133"/>
      <c r="U227" s="133"/>
      <c r="V227" s="133"/>
      <c r="W227" s="133"/>
      <c r="X227" s="133"/>
      <c r="Y227" s="133"/>
      <c r="Z227" s="133"/>
      <c r="AJ227" s="283"/>
      <c r="AK227" s="283"/>
      <c r="AL227" s="283"/>
      <c r="AM227" s="283"/>
      <c r="AN227" s="283"/>
    </row>
    <row r="228" spans="1:40" x14ac:dyDescent="0.3">
      <c r="A228" s="847"/>
      <c r="B228" s="832" t="s">
        <v>1069</v>
      </c>
      <c r="C228" s="149">
        <f>'Inputs and eligible population'!L115</f>
        <v>0</v>
      </c>
      <c r="D228" s="128">
        <f>Summary!C$18*'Capacity (local prices)'!$C228*'Inputs and eligible population'!$E$56</f>
        <v>0</v>
      </c>
      <c r="E228" s="128">
        <f>Summary!D$18*'Capacity (local prices)'!$C228*'Inputs and eligible population'!$E$56</f>
        <v>0</v>
      </c>
      <c r="F228" s="128">
        <f>Summary!E$18*'Capacity (local prices)'!$C228*'Inputs and eligible population'!$E$56</f>
        <v>0</v>
      </c>
      <c r="G228" s="128">
        <f>Summary!F$18*'Capacity (local prices)'!$C228*'Inputs and eligible population'!$E$56</f>
        <v>0</v>
      </c>
      <c r="H228" s="128">
        <f>Summary!G$18*'Capacity (local prices)'!$C228*'Inputs and eligible population'!$E$56</f>
        <v>0</v>
      </c>
      <c r="I228" s="128">
        <f>Summary!H$18*'Capacity (local prices)'!$C228*'Inputs and eligible population'!$E$56</f>
        <v>0</v>
      </c>
      <c r="J228" s="845"/>
      <c r="K228" s="544">
        <f>'Unit costs'!N$126</f>
        <v>3.35</v>
      </c>
      <c r="L228" s="546">
        <f t="shared" si="88"/>
        <v>0</v>
      </c>
      <c r="M228" s="546">
        <f t="shared" si="87"/>
        <v>0</v>
      </c>
      <c r="N228" s="546">
        <f t="shared" si="87"/>
        <v>0</v>
      </c>
      <c r="O228" s="546">
        <f t="shared" si="87"/>
        <v>0</v>
      </c>
      <c r="P228" s="546">
        <f t="shared" si="87"/>
        <v>0</v>
      </c>
      <c r="Q228" s="546">
        <f t="shared" si="87"/>
        <v>0</v>
      </c>
      <c r="R228" s="133"/>
      <c r="S228" s="133"/>
      <c r="T228" s="133"/>
      <c r="U228" s="133"/>
      <c r="V228" s="133"/>
      <c r="W228" s="133"/>
      <c r="X228" s="133"/>
      <c r="Y228" s="133"/>
      <c r="Z228" s="133"/>
      <c r="AJ228" s="283"/>
      <c r="AK228" s="283"/>
      <c r="AL228" s="283"/>
      <c r="AM228" s="283"/>
      <c r="AN228" s="283"/>
    </row>
    <row r="229" spans="1:40" x14ac:dyDescent="0.3">
      <c r="A229" s="847"/>
      <c r="B229" s="504"/>
      <c r="C229" s="280"/>
      <c r="D229" s="186">
        <f>SUM(D218:D228)</f>
        <v>0</v>
      </c>
      <c r="E229" s="186">
        <f t="shared" ref="E229:I229" si="89">SUM(E218:E228)</f>
        <v>0</v>
      </c>
      <c r="F229" s="186">
        <f t="shared" si="89"/>
        <v>0</v>
      </c>
      <c r="G229" s="186">
        <f t="shared" si="89"/>
        <v>0</v>
      </c>
      <c r="H229" s="186">
        <f>SUM(H218:H228)</f>
        <v>0</v>
      </c>
      <c r="I229" s="186">
        <f t="shared" si="89"/>
        <v>0</v>
      </c>
      <c r="J229" s="845"/>
      <c r="K229" s="221"/>
      <c r="L229" s="290">
        <f>SUM(L218:L228)</f>
        <v>0</v>
      </c>
      <c r="M229" s="290">
        <f t="shared" ref="M229:Q229" si="90">SUM(M218:M228)</f>
        <v>0</v>
      </c>
      <c r="N229" s="290">
        <f t="shared" si="90"/>
        <v>0</v>
      </c>
      <c r="O229" s="290">
        <f t="shared" si="90"/>
        <v>0</v>
      </c>
      <c r="P229" s="290">
        <f t="shared" si="90"/>
        <v>0</v>
      </c>
      <c r="Q229" s="290">
        <f t="shared" si="90"/>
        <v>0</v>
      </c>
      <c r="R229" s="133"/>
      <c r="S229" s="133"/>
      <c r="T229" s="133"/>
      <c r="U229" s="133"/>
      <c r="V229" s="133"/>
      <c r="W229" s="133"/>
      <c r="X229" s="133"/>
      <c r="Y229" s="133"/>
      <c r="Z229" s="133"/>
      <c r="AJ229" s="283"/>
      <c r="AK229" s="283"/>
      <c r="AL229" s="283"/>
      <c r="AM229" s="283"/>
      <c r="AN229" s="283"/>
    </row>
    <row r="230" spans="1:40" x14ac:dyDescent="0.3">
      <c r="A230" s="847"/>
      <c r="B230" s="255"/>
      <c r="C230" s="255"/>
      <c r="D230" s="282" t="s">
        <v>841</v>
      </c>
      <c r="E230" s="186">
        <f>E229-$D$229</f>
        <v>0</v>
      </c>
      <c r="F230" s="186">
        <f t="shared" ref="F230:I230" si="91">F229-$D$229</f>
        <v>0</v>
      </c>
      <c r="G230" s="186">
        <f t="shared" si="91"/>
        <v>0</v>
      </c>
      <c r="H230" s="186">
        <f t="shared" si="91"/>
        <v>0</v>
      </c>
      <c r="I230" s="186">
        <f t="shared" si="91"/>
        <v>0</v>
      </c>
      <c r="J230" s="845"/>
      <c r="K230" s="221"/>
      <c r="L230" s="221"/>
      <c r="M230" s="290">
        <f>M229-$L229</f>
        <v>0</v>
      </c>
      <c r="N230" s="290">
        <f t="shared" ref="N230:Q230" si="92">N229-$L229</f>
        <v>0</v>
      </c>
      <c r="O230" s="290">
        <f t="shared" si="92"/>
        <v>0</v>
      </c>
      <c r="P230" s="290">
        <f t="shared" si="92"/>
        <v>0</v>
      </c>
      <c r="Q230" s="290">
        <f t="shared" si="92"/>
        <v>0</v>
      </c>
      <c r="R230" s="133"/>
      <c r="S230" s="133"/>
      <c r="T230" s="133"/>
      <c r="U230" s="133"/>
      <c r="V230" s="133"/>
      <c r="W230" s="133"/>
      <c r="X230" s="133"/>
      <c r="Y230" s="133"/>
      <c r="Z230" s="133"/>
      <c r="AJ230" s="283"/>
      <c r="AK230" s="283"/>
      <c r="AL230" s="283"/>
      <c r="AM230" s="283"/>
      <c r="AN230" s="283"/>
    </row>
    <row r="231" spans="1:40" x14ac:dyDescent="0.3">
      <c r="A231" s="287"/>
      <c r="B231" s="287"/>
      <c r="C231" s="221"/>
      <c r="D231" s="287"/>
      <c r="E231" s="287"/>
      <c r="F231" s="287"/>
      <c r="G231" s="287"/>
      <c r="H231" s="287"/>
      <c r="I231" s="221"/>
      <c r="J231" s="221"/>
      <c r="K231" s="221"/>
      <c r="L231" s="221"/>
      <c r="M231" s="221"/>
      <c r="N231" s="221"/>
      <c r="O231" s="221"/>
      <c r="P231" s="221"/>
      <c r="Q231" s="221"/>
      <c r="V231" s="133"/>
    </row>
    <row r="232" spans="1:40" x14ac:dyDescent="0.3">
      <c r="A232" s="849"/>
      <c r="B232" s="850" t="s">
        <v>1113</v>
      </c>
      <c r="C232" s="851"/>
      <c r="D232" s="852"/>
      <c r="E232" s="853"/>
      <c r="F232" s="854"/>
      <c r="G232" s="854"/>
      <c r="H232" s="854"/>
      <c r="I232" s="855"/>
      <c r="J232" s="849"/>
      <c r="K232" s="849"/>
      <c r="L232" s="849"/>
      <c r="M232" s="849"/>
      <c r="N232" s="849"/>
      <c r="O232" s="849"/>
      <c r="P232" s="849"/>
      <c r="Q232" s="856"/>
      <c r="R232" s="133"/>
      <c r="S232" s="133"/>
      <c r="T232" s="133"/>
      <c r="U232" s="133"/>
      <c r="V232" s="133"/>
      <c r="W232" s="133"/>
      <c r="X232" s="133"/>
      <c r="Y232" s="133"/>
      <c r="Z232" s="133"/>
      <c r="AJ232" s="283"/>
      <c r="AK232" s="283"/>
      <c r="AL232" s="283"/>
      <c r="AM232" s="283"/>
      <c r="AN232" s="283"/>
    </row>
    <row r="233" spans="1:40" x14ac:dyDescent="0.3">
      <c r="A233" s="849"/>
      <c r="B233" s="857" t="s">
        <v>1085</v>
      </c>
      <c r="C233" s="858"/>
      <c r="D233" s="858"/>
      <c r="E233" s="858"/>
      <c r="F233" s="858"/>
      <c r="G233" s="858"/>
      <c r="H233" s="858"/>
      <c r="I233" s="859"/>
      <c r="J233" s="856"/>
      <c r="K233" s="856"/>
      <c r="L233" s="860"/>
      <c r="M233" s="860"/>
      <c r="N233" s="860"/>
      <c r="O233" s="860"/>
      <c r="P233" s="860"/>
      <c r="Q233" s="860"/>
      <c r="R233" s="133"/>
      <c r="S233" s="133"/>
      <c r="T233" s="133"/>
      <c r="U233" s="133"/>
      <c r="V233" s="133"/>
      <c r="W233" s="133"/>
      <c r="X233" s="133"/>
      <c r="Y233" s="133"/>
      <c r="Z233" s="133"/>
      <c r="AJ233" s="283"/>
      <c r="AK233" s="283"/>
      <c r="AL233" s="283"/>
      <c r="AM233" s="283"/>
      <c r="AN233" s="283"/>
    </row>
    <row r="234" spans="1:40" ht="43.2" x14ac:dyDescent="0.3">
      <c r="A234" s="861"/>
      <c r="B234" s="306" t="s">
        <v>766</v>
      </c>
      <c r="C234" s="166" t="s">
        <v>1099</v>
      </c>
      <c r="D234" s="402" t="s">
        <v>831</v>
      </c>
      <c r="E234" s="254" t="s">
        <v>676</v>
      </c>
      <c r="F234" s="254" t="s">
        <v>677</v>
      </c>
      <c r="G234" s="165" t="s">
        <v>803</v>
      </c>
      <c r="H234" s="165" t="s">
        <v>804</v>
      </c>
      <c r="I234" s="254" t="s">
        <v>805</v>
      </c>
      <c r="J234" s="862"/>
      <c r="K234" s="531" t="s">
        <v>1100</v>
      </c>
      <c r="L234" s="402" t="s">
        <v>831</v>
      </c>
      <c r="M234" s="521" t="s">
        <v>676</v>
      </c>
      <c r="N234" s="521" t="s">
        <v>677</v>
      </c>
      <c r="O234" s="403" t="s">
        <v>803</v>
      </c>
      <c r="P234" s="403" t="s">
        <v>804</v>
      </c>
      <c r="Q234" s="521" t="s">
        <v>805</v>
      </c>
      <c r="R234" s="133"/>
      <c r="S234" s="133"/>
      <c r="T234" s="133"/>
      <c r="U234" s="133"/>
      <c r="V234" s="133"/>
      <c r="W234" s="133"/>
      <c r="X234" s="133"/>
      <c r="Y234" s="133"/>
      <c r="Z234" s="133"/>
      <c r="AJ234" s="283"/>
      <c r="AK234" s="283"/>
      <c r="AL234" s="283"/>
      <c r="AM234" s="283"/>
      <c r="AN234" s="283"/>
    </row>
    <row r="235" spans="1:40" x14ac:dyDescent="0.3">
      <c r="A235" s="861"/>
      <c r="B235" s="334" t="s">
        <v>1065</v>
      </c>
      <c r="C235" s="846">
        <f>'Inputs and eligible population'!F117</f>
        <v>0</v>
      </c>
      <c r="D235" s="128">
        <f>Summary!$C$16*'Capacity (local prices)'!$C235*'Inputs and eligible population'!$E$50</f>
        <v>0</v>
      </c>
      <c r="E235" s="128">
        <f>Summary!$D$16*'Capacity (local prices)'!$C235*'Inputs and eligible population'!$E$50</f>
        <v>0</v>
      </c>
      <c r="F235" s="128">
        <f>Summary!E$16*'Capacity (local prices)'!$C235*'Inputs and eligible population'!$E$50</f>
        <v>0</v>
      </c>
      <c r="G235" s="128">
        <f>Summary!F$16*'Capacity (local prices)'!$C235*'Inputs and eligible population'!$E$50</f>
        <v>0</v>
      </c>
      <c r="H235" s="128">
        <f>Summary!G$16*'Capacity (local prices)'!$C235*'Inputs and eligible population'!$E$50</f>
        <v>0</v>
      </c>
      <c r="I235" s="128">
        <f>Summary!H$16*'Capacity (local prices)'!$C235*'Inputs and eligible population'!$E$50</f>
        <v>0</v>
      </c>
      <c r="J235" s="862"/>
      <c r="K235" s="544">
        <f>'Unit costs'!N$142</f>
        <v>270.02999999999997</v>
      </c>
      <c r="L235" s="546">
        <f>$K235/1000*D235</f>
        <v>0</v>
      </c>
      <c r="M235" s="546">
        <f t="shared" ref="M235:Q245" si="93">$K235/1000*E235</f>
        <v>0</v>
      </c>
      <c r="N235" s="546">
        <f t="shared" si="93"/>
        <v>0</v>
      </c>
      <c r="O235" s="546">
        <f t="shared" si="93"/>
        <v>0</v>
      </c>
      <c r="P235" s="546">
        <f t="shared" si="93"/>
        <v>0</v>
      </c>
      <c r="Q235" s="546">
        <f t="shared" si="93"/>
        <v>0</v>
      </c>
      <c r="R235" s="133"/>
      <c r="S235" s="133"/>
      <c r="T235" s="133"/>
      <c r="U235" s="133"/>
      <c r="V235" s="133"/>
      <c r="W235" s="133"/>
      <c r="X235" s="133"/>
      <c r="Y235" s="133"/>
      <c r="Z235" s="133"/>
      <c r="AJ235" s="283"/>
      <c r="AK235" s="283"/>
      <c r="AL235" s="283"/>
      <c r="AM235" s="283"/>
      <c r="AN235" s="283"/>
    </row>
    <row r="236" spans="1:40" x14ac:dyDescent="0.3">
      <c r="A236" s="861"/>
      <c r="B236" s="334" t="s">
        <v>1064</v>
      </c>
      <c r="C236" s="149">
        <f>'Inputs and eligible population'!G117</f>
        <v>0.44</v>
      </c>
      <c r="D236" s="128">
        <f>Summary!C$16*'Capacity (local prices)'!$C236*'Inputs and eligible population'!$E$51</f>
        <v>0</v>
      </c>
      <c r="E236" s="128">
        <f>Summary!D$16*'Capacity (local prices)'!$C236*'Inputs and eligible population'!$E$51</f>
        <v>0</v>
      </c>
      <c r="F236" s="128">
        <f>Summary!E$16*'Capacity (local prices)'!$C236*'Inputs and eligible population'!$E$51</f>
        <v>0</v>
      </c>
      <c r="G236" s="128">
        <f>Summary!F$16*'Capacity (local prices)'!$C236*'Inputs and eligible population'!$E$51</f>
        <v>0</v>
      </c>
      <c r="H236" s="128">
        <f>Summary!G$16*'Capacity (local prices)'!$C236*'Inputs and eligible population'!$E$51</f>
        <v>0</v>
      </c>
      <c r="I236" s="128">
        <f>Summary!H$16*'Capacity (local prices)'!$C236*'Inputs and eligible population'!$E$51</f>
        <v>0</v>
      </c>
      <c r="J236" s="862"/>
      <c r="K236" s="544">
        <f>'Unit costs'!N$142</f>
        <v>270.02999999999997</v>
      </c>
      <c r="L236" s="546">
        <f t="shared" ref="L236:L245" si="94">$K236/1000*D236</f>
        <v>0</v>
      </c>
      <c r="M236" s="546">
        <f t="shared" si="93"/>
        <v>0</v>
      </c>
      <c r="N236" s="546">
        <f t="shared" si="93"/>
        <v>0</v>
      </c>
      <c r="O236" s="546">
        <f t="shared" si="93"/>
        <v>0</v>
      </c>
      <c r="P236" s="546">
        <f t="shared" si="93"/>
        <v>0</v>
      </c>
      <c r="Q236" s="546">
        <f t="shared" si="93"/>
        <v>0</v>
      </c>
      <c r="R236" s="133"/>
      <c r="S236" s="133"/>
      <c r="T236" s="133"/>
      <c r="U236" s="133"/>
      <c r="V236" s="133"/>
      <c r="W236" s="133"/>
      <c r="X236" s="133"/>
      <c r="Y236" s="133"/>
      <c r="Z236" s="133"/>
      <c r="AJ236" s="283"/>
      <c r="AK236" s="283"/>
      <c r="AL236" s="283"/>
      <c r="AM236" s="283"/>
      <c r="AN236" s="283"/>
    </row>
    <row r="237" spans="1:40" x14ac:dyDescent="0.3">
      <c r="A237" s="861"/>
      <c r="B237" s="334" t="s">
        <v>1162</v>
      </c>
      <c r="C237" s="149">
        <f>'Inputs and eligible population'!H$117</f>
        <v>0</v>
      </c>
      <c r="D237" s="128">
        <f>'Inputs and eligible population'!$E$52*'Inputs and eligible population'!$L$84*'Capacity (local prices)'!$C$33</f>
        <v>0</v>
      </c>
      <c r="E237" s="128">
        <f>'Inputs and eligible population'!$E$52*'Inputs and eligible population'!$M$84*'Capacity (local prices)'!$C237</f>
        <v>0</v>
      </c>
      <c r="F237" s="128">
        <f>'Inputs and eligible population'!$E$52*'Inputs and eligible population'!$N$84*'Capacity (local prices)'!$C237</f>
        <v>0</v>
      </c>
      <c r="G237" s="128">
        <f>'Inputs and eligible population'!$E$52*'Inputs and eligible population'!$O$84*'Capacity (local prices)'!$C237</f>
        <v>0</v>
      </c>
      <c r="H237" s="128">
        <f>'Inputs and eligible population'!$E$52*'Inputs and eligible population'!$P$84*'Capacity (local prices)'!$C237</f>
        <v>0</v>
      </c>
      <c r="I237" s="128">
        <f>'Inputs and eligible population'!$E$52*'Inputs and eligible population'!$Q$84*'Capacity (local prices)'!$C237</f>
        <v>0</v>
      </c>
      <c r="J237" s="862"/>
      <c r="K237" s="544">
        <f>'Unit costs'!N$142</f>
        <v>270.02999999999997</v>
      </c>
      <c r="L237" s="546">
        <f t="shared" si="94"/>
        <v>0</v>
      </c>
      <c r="M237" s="546">
        <f t="shared" si="93"/>
        <v>0</v>
      </c>
      <c r="N237" s="546">
        <f t="shared" si="93"/>
        <v>0</v>
      </c>
      <c r="O237" s="546">
        <f t="shared" si="93"/>
        <v>0</v>
      </c>
      <c r="P237" s="546">
        <f t="shared" si="93"/>
        <v>0</v>
      </c>
      <c r="Q237" s="546">
        <f t="shared" si="93"/>
        <v>0</v>
      </c>
      <c r="R237" s="133"/>
      <c r="S237" s="133"/>
      <c r="T237" s="133"/>
      <c r="U237" s="133"/>
      <c r="V237" s="133"/>
      <c r="W237" s="133"/>
      <c r="X237" s="133"/>
      <c r="Y237" s="133"/>
      <c r="Z237" s="133"/>
      <c r="AJ237" s="283"/>
      <c r="AK237" s="283"/>
      <c r="AL237" s="283"/>
      <c r="AM237" s="283"/>
      <c r="AN237" s="283"/>
    </row>
    <row r="238" spans="1:40" x14ac:dyDescent="0.3">
      <c r="A238" s="861"/>
      <c r="B238" s="334" t="s">
        <v>1163</v>
      </c>
      <c r="C238" s="149">
        <f>'Inputs and eligible population'!H$117</f>
        <v>0</v>
      </c>
      <c r="D238" s="128">
        <f>'Inputs and eligible population'!$F$52*'Inputs and eligible population'!$L$84*'Capacity (local prices)'!$C238</f>
        <v>0</v>
      </c>
      <c r="E238" s="128">
        <f>'Inputs and eligible population'!$F$52*'Inputs and eligible population'!$L$84*'Capacity (local prices)'!$C238</f>
        <v>0</v>
      </c>
      <c r="F238" s="128">
        <f>'Inputs and eligible population'!$F$52*'Inputs and eligible population'!$M$84*'Capacity (local prices)'!$C238</f>
        <v>0</v>
      </c>
      <c r="G238" s="128">
        <f>'Inputs and eligible population'!$F$52*'Inputs and eligible population'!$N$84*'Capacity (local prices)'!$C238</f>
        <v>0</v>
      </c>
      <c r="H238" s="128">
        <f>'Inputs and eligible population'!$F$52*'Inputs and eligible population'!$O$84*'Capacity (local prices)'!$C238</f>
        <v>0</v>
      </c>
      <c r="I238" s="128">
        <f>'Inputs and eligible population'!$F$52*'Inputs and eligible population'!$P$84*'Capacity (local prices)'!$C238</f>
        <v>0</v>
      </c>
      <c r="J238" s="862"/>
      <c r="K238" s="544">
        <f>'Unit costs'!N$142</f>
        <v>270.02999999999997</v>
      </c>
      <c r="L238" s="546">
        <f t="shared" si="94"/>
        <v>0</v>
      </c>
      <c r="M238" s="546">
        <f t="shared" si="93"/>
        <v>0</v>
      </c>
      <c r="N238" s="546">
        <f t="shared" si="93"/>
        <v>0</v>
      </c>
      <c r="O238" s="546">
        <f t="shared" si="93"/>
        <v>0</v>
      </c>
      <c r="P238" s="546">
        <f t="shared" si="93"/>
        <v>0</v>
      </c>
      <c r="Q238" s="546">
        <f t="shared" si="93"/>
        <v>0</v>
      </c>
      <c r="R238" s="133"/>
      <c r="S238" s="133"/>
      <c r="T238" s="133"/>
      <c r="U238" s="133"/>
      <c r="V238" s="133"/>
      <c r="W238" s="133"/>
      <c r="X238" s="133"/>
      <c r="Y238" s="133"/>
      <c r="Z238" s="133"/>
      <c r="AJ238" s="283"/>
      <c r="AK238" s="283"/>
      <c r="AL238" s="283"/>
      <c r="AM238" s="283"/>
      <c r="AN238" s="283"/>
    </row>
    <row r="239" spans="1:40" x14ac:dyDescent="0.3">
      <c r="A239" s="861"/>
      <c r="B239" s="334" t="s">
        <v>1164</v>
      </c>
      <c r="C239" s="149">
        <f>'Inputs and eligible population'!H$117</f>
        <v>0</v>
      </c>
      <c r="D239" s="128">
        <f>'Inputs and eligible population'!$G$52*'Inputs and eligible population'!$L$84*'Capacity (local prices)'!$C239</f>
        <v>0</v>
      </c>
      <c r="E239" s="128">
        <f>'Inputs and eligible population'!$G$52*'Inputs and eligible population'!$L$84*'Capacity (local prices)'!$C239</f>
        <v>0</v>
      </c>
      <c r="F239" s="128">
        <f>'Inputs and eligible population'!$G$52*'Inputs and eligible population'!$L$84*'Capacity (local prices)'!$C239</f>
        <v>0</v>
      </c>
      <c r="G239" s="128">
        <f>'Inputs and eligible population'!$G$52*'Inputs and eligible population'!$M$84*'Capacity (local prices)'!$C239</f>
        <v>0</v>
      </c>
      <c r="H239" s="128">
        <f>'Inputs and eligible population'!$G$52*'Inputs and eligible population'!$N$84*'Capacity (local prices)'!$C239</f>
        <v>0</v>
      </c>
      <c r="I239" s="128">
        <f>'Inputs and eligible population'!$G$52*'Inputs and eligible population'!$O$84*'Capacity (local prices)'!$C239</f>
        <v>0</v>
      </c>
      <c r="J239" s="862"/>
      <c r="K239" s="544">
        <f>'Unit costs'!N$142</f>
        <v>270.02999999999997</v>
      </c>
      <c r="L239" s="546">
        <f t="shared" si="94"/>
        <v>0</v>
      </c>
      <c r="M239" s="546">
        <f t="shared" si="93"/>
        <v>0</v>
      </c>
      <c r="N239" s="546">
        <f t="shared" si="93"/>
        <v>0</v>
      </c>
      <c r="O239" s="546">
        <f t="shared" si="93"/>
        <v>0</v>
      </c>
      <c r="P239" s="546">
        <f t="shared" si="93"/>
        <v>0</v>
      </c>
      <c r="Q239" s="546">
        <f t="shared" si="93"/>
        <v>0</v>
      </c>
      <c r="R239" s="133"/>
      <c r="S239" s="133"/>
      <c r="T239" s="133"/>
      <c r="U239" s="133"/>
      <c r="V239" s="133"/>
      <c r="W239" s="133"/>
      <c r="X239" s="133"/>
      <c r="Y239" s="133"/>
      <c r="Z239" s="133"/>
      <c r="AJ239" s="283"/>
      <c r="AK239" s="283"/>
      <c r="AL239" s="283"/>
      <c r="AM239" s="283"/>
      <c r="AN239" s="283"/>
    </row>
    <row r="240" spans="1:40" x14ac:dyDescent="0.3">
      <c r="A240" s="861"/>
      <c r="B240" s="334" t="s">
        <v>1066</v>
      </c>
      <c r="C240" s="846">
        <f>'Inputs and eligible population'!I117</f>
        <v>0</v>
      </c>
      <c r="D240" s="128">
        <f>'Financial impact (cash)'!D$15*$C240*'Inputs and eligible population'!$E$53</f>
        <v>0</v>
      </c>
      <c r="E240" s="128">
        <f>'Financial impact (cash)'!E$15*$C240*'Inputs and eligible population'!$E$53</f>
        <v>0</v>
      </c>
      <c r="F240" s="128">
        <f>'Financial impact (cash)'!F$15*$C240*'Inputs and eligible population'!$E$53</f>
        <v>0</v>
      </c>
      <c r="G240" s="128">
        <f>'Financial impact (cash)'!G$15*$C240*'Inputs and eligible population'!$E$53</f>
        <v>0</v>
      </c>
      <c r="H240" s="128">
        <f>'Financial impact (cash)'!H$15*$C240*'Inputs and eligible population'!$E$53</f>
        <v>0</v>
      </c>
      <c r="I240" s="128">
        <f>'Financial impact (cash)'!I$15*$C240*'Inputs and eligible population'!$E$53</f>
        <v>0</v>
      </c>
      <c r="J240" s="862"/>
      <c r="K240" s="544">
        <f>'Unit costs'!N$142</f>
        <v>270.02999999999997</v>
      </c>
      <c r="L240" s="546">
        <f t="shared" si="94"/>
        <v>0</v>
      </c>
      <c r="M240" s="546">
        <f t="shared" si="93"/>
        <v>0</v>
      </c>
      <c r="N240" s="546">
        <f t="shared" si="93"/>
        <v>0</v>
      </c>
      <c r="O240" s="546">
        <f t="shared" si="93"/>
        <v>0</v>
      </c>
      <c r="P240" s="546">
        <f t="shared" si="93"/>
        <v>0</v>
      </c>
      <c r="Q240" s="546">
        <f t="shared" si="93"/>
        <v>0</v>
      </c>
      <c r="R240" s="133"/>
      <c r="S240" s="133"/>
      <c r="T240" s="133"/>
      <c r="U240" s="133"/>
      <c r="V240" s="133"/>
      <c r="W240" s="133"/>
      <c r="X240" s="133"/>
      <c r="Y240" s="133"/>
      <c r="Z240" s="133"/>
      <c r="AJ240" s="283"/>
      <c r="AK240" s="283"/>
      <c r="AL240" s="283"/>
      <c r="AM240" s="283"/>
      <c r="AN240" s="283"/>
    </row>
    <row r="241" spans="1:40" x14ac:dyDescent="0.3">
      <c r="A241" s="861"/>
      <c r="B241" s="334" t="s">
        <v>1067</v>
      </c>
      <c r="C241" s="149">
        <f>'Inputs and eligible population'!J117</f>
        <v>0.44</v>
      </c>
      <c r="D241" s="128">
        <f>'Financial impact (cash)'!D$15*$C241*'Inputs and eligible population'!$E$54</f>
        <v>0</v>
      </c>
      <c r="E241" s="128">
        <f>'Financial impact (cash)'!E$15*$C241*'Inputs and eligible population'!$E$54</f>
        <v>0</v>
      </c>
      <c r="F241" s="128">
        <f>'Financial impact (cash)'!F$15*$C241*'Inputs and eligible population'!$E$54</f>
        <v>0</v>
      </c>
      <c r="G241" s="128">
        <f>'Financial impact (cash)'!G$15*$C241*'Inputs and eligible population'!$E$54</f>
        <v>0</v>
      </c>
      <c r="H241" s="128">
        <f>'Financial impact (cash)'!H$15*$C241*'Inputs and eligible population'!$E$54</f>
        <v>0</v>
      </c>
      <c r="I241" s="128">
        <f>'Financial impact (cash)'!I$15*$C241*'Inputs and eligible population'!$E$54</f>
        <v>0</v>
      </c>
      <c r="J241" s="862"/>
      <c r="K241" s="544">
        <f>'Unit costs'!N$142</f>
        <v>270.02999999999997</v>
      </c>
      <c r="L241" s="546">
        <f t="shared" si="94"/>
        <v>0</v>
      </c>
      <c r="M241" s="546">
        <f t="shared" si="93"/>
        <v>0</v>
      </c>
      <c r="N241" s="546">
        <f t="shared" si="93"/>
        <v>0</v>
      </c>
      <c r="O241" s="546">
        <f t="shared" si="93"/>
        <v>0</v>
      </c>
      <c r="P241" s="546">
        <f t="shared" si="93"/>
        <v>0</v>
      </c>
      <c r="Q241" s="546">
        <f t="shared" si="93"/>
        <v>0</v>
      </c>
      <c r="R241" s="133"/>
      <c r="S241" s="133"/>
      <c r="T241" s="133"/>
      <c r="U241" s="133"/>
      <c r="V241" s="133"/>
      <c r="W241" s="133"/>
      <c r="X241" s="133"/>
      <c r="Y241" s="133"/>
      <c r="Z241" s="133"/>
      <c r="AJ241" s="283"/>
      <c r="AK241" s="283"/>
      <c r="AL241" s="283"/>
      <c r="AM241" s="283"/>
      <c r="AN241" s="283"/>
    </row>
    <row r="242" spans="1:40" x14ac:dyDescent="0.3">
      <c r="A242" s="861"/>
      <c r="B242" s="334" t="s">
        <v>1165</v>
      </c>
      <c r="C242" s="149">
        <f>'Inputs and eligible population'!K$117</f>
        <v>0</v>
      </c>
      <c r="D242" s="128">
        <f>Summary!$C$17*'Capacity (local prices)'!$C242*'Inputs and eligible population'!$E$55</f>
        <v>0</v>
      </c>
      <c r="E242" s="128">
        <f>(Summary!$D$17*'Capacity (local prices)'!$C242*'Inputs and eligible population'!$E$55)</f>
        <v>0</v>
      </c>
      <c r="F242" s="128">
        <f>(Summary!$E$17*'Capacity (local prices)'!$C242*'Inputs and eligible population'!$E$55)</f>
        <v>0</v>
      </c>
      <c r="G242" s="128">
        <f>(Summary!$F$17*'Capacity (local prices)'!$C242*'Inputs and eligible population'!$E$55)</f>
        <v>0</v>
      </c>
      <c r="H242" s="128">
        <f>(Summary!$G$17*'Capacity (local prices)'!$C242*'Inputs and eligible population'!$E$55)</f>
        <v>0</v>
      </c>
      <c r="I242" s="128">
        <f>(Summary!$H$17*'Capacity (local prices)'!$C242*'Inputs and eligible population'!$E$55)</f>
        <v>0</v>
      </c>
      <c r="J242" s="862"/>
      <c r="K242" s="544">
        <f>'Unit costs'!N$142</f>
        <v>270.02999999999997</v>
      </c>
      <c r="L242" s="546">
        <f t="shared" si="94"/>
        <v>0</v>
      </c>
      <c r="M242" s="546">
        <f t="shared" si="93"/>
        <v>0</v>
      </c>
      <c r="N242" s="546">
        <f t="shared" si="93"/>
        <v>0</v>
      </c>
      <c r="O242" s="546">
        <f t="shared" si="93"/>
        <v>0</v>
      </c>
      <c r="P242" s="546">
        <f t="shared" si="93"/>
        <v>0</v>
      </c>
      <c r="Q242" s="546">
        <f t="shared" si="93"/>
        <v>0</v>
      </c>
      <c r="R242" s="133"/>
      <c r="S242" s="133"/>
      <c r="T242" s="133"/>
      <c r="U242" s="133"/>
      <c r="V242" s="133"/>
      <c r="W242" s="133"/>
      <c r="X242" s="133"/>
      <c r="Y242" s="133"/>
      <c r="Z242" s="133"/>
      <c r="AJ242" s="283"/>
      <c r="AK242" s="283"/>
      <c r="AL242" s="283"/>
      <c r="AM242" s="283"/>
      <c r="AN242" s="283"/>
    </row>
    <row r="243" spans="1:40" x14ac:dyDescent="0.3">
      <c r="A243" s="861"/>
      <c r="B243" s="334" t="s">
        <v>1166</v>
      </c>
      <c r="C243" s="149">
        <f>'Inputs and eligible population'!K$117</f>
        <v>0</v>
      </c>
      <c r="D243" s="128">
        <f>Summary!$C$17*'Capacity (local prices)'!$C242*'Inputs and eligible population'!$F$55</f>
        <v>0</v>
      </c>
      <c r="E243" s="128">
        <f>Summary!$C$17*'Capacity (local prices)'!$C242*'Inputs and eligible population'!$F$55</f>
        <v>0</v>
      </c>
      <c r="F243" s="128">
        <f>(Summary!$D$17*'Capacity (local prices)'!$C242*'Inputs and eligible population'!$F$55)</f>
        <v>0</v>
      </c>
      <c r="G243" s="128">
        <f>(Summary!$E$17*'Capacity (local prices)'!$C242*'Inputs and eligible population'!$F$55)</f>
        <v>0</v>
      </c>
      <c r="H243" s="128">
        <f>(Summary!$F$17*'Capacity (local prices)'!$C242*'Inputs and eligible population'!$F$55)</f>
        <v>0</v>
      </c>
      <c r="I243" s="128">
        <f>(Summary!$G$17*'Capacity (local prices)'!$C242*'Inputs and eligible population'!$F$55)</f>
        <v>0</v>
      </c>
      <c r="J243" s="862"/>
      <c r="K243" s="544">
        <f>'Unit costs'!N$142</f>
        <v>270.02999999999997</v>
      </c>
      <c r="L243" s="546">
        <f t="shared" si="94"/>
        <v>0</v>
      </c>
      <c r="M243" s="546">
        <f t="shared" si="93"/>
        <v>0</v>
      </c>
      <c r="N243" s="546">
        <f t="shared" si="93"/>
        <v>0</v>
      </c>
      <c r="O243" s="546">
        <f t="shared" si="93"/>
        <v>0</v>
      </c>
      <c r="P243" s="546">
        <f t="shared" si="93"/>
        <v>0</v>
      </c>
      <c r="Q243" s="546">
        <f t="shared" si="93"/>
        <v>0</v>
      </c>
      <c r="R243" s="133"/>
      <c r="S243" s="133"/>
      <c r="T243" s="133"/>
      <c r="U243" s="133"/>
      <c r="V243" s="133"/>
      <c r="W243" s="133"/>
      <c r="X243" s="133"/>
      <c r="Y243" s="133"/>
      <c r="Z243" s="133"/>
      <c r="AJ243" s="283"/>
      <c r="AK243" s="283"/>
      <c r="AL243" s="283"/>
      <c r="AM243" s="283"/>
      <c r="AN243" s="283"/>
    </row>
    <row r="244" spans="1:40" x14ac:dyDescent="0.3">
      <c r="A244" s="861"/>
      <c r="B244" s="334" t="s">
        <v>1167</v>
      </c>
      <c r="C244" s="149">
        <f>'Inputs and eligible population'!K$117</f>
        <v>0</v>
      </c>
      <c r="D244" s="128">
        <f>Summary!$C$17*'Capacity (local prices)'!$C242*'Inputs and eligible population'!$G$55</f>
        <v>0</v>
      </c>
      <c r="E244" s="128">
        <f>Summary!$C$17*'Capacity (local prices)'!$C242*'Inputs and eligible population'!$G$55</f>
        <v>0</v>
      </c>
      <c r="F244" s="128">
        <f>Summary!$C$17*'Capacity (local prices)'!$C242*'Inputs and eligible population'!$G$55</f>
        <v>0</v>
      </c>
      <c r="G244" s="128">
        <f>(Summary!$D$17*'Capacity (local prices)'!$C242*'Inputs and eligible population'!$G$55)</f>
        <v>0</v>
      </c>
      <c r="H244" s="128">
        <f>(Summary!$E$17*'Capacity (local prices)'!$C242*'Inputs and eligible population'!$G$55)</f>
        <v>0</v>
      </c>
      <c r="I244" s="128">
        <f>(Summary!$F$17*'Capacity (local prices)'!$C242*'Inputs and eligible population'!$G$55)</f>
        <v>0</v>
      </c>
      <c r="J244" s="862"/>
      <c r="K244" s="544">
        <f>'Unit costs'!N$142</f>
        <v>270.02999999999997</v>
      </c>
      <c r="L244" s="546">
        <f t="shared" si="94"/>
        <v>0</v>
      </c>
      <c r="M244" s="546">
        <f t="shared" si="93"/>
        <v>0</v>
      </c>
      <c r="N244" s="546">
        <f t="shared" si="93"/>
        <v>0</v>
      </c>
      <c r="O244" s="546">
        <f t="shared" si="93"/>
        <v>0</v>
      </c>
      <c r="P244" s="546">
        <f t="shared" si="93"/>
        <v>0</v>
      </c>
      <c r="Q244" s="546">
        <f t="shared" si="93"/>
        <v>0</v>
      </c>
      <c r="R244" s="133"/>
      <c r="S244" s="133"/>
      <c r="T244" s="133"/>
      <c r="U244" s="133"/>
      <c r="V244" s="133"/>
      <c r="W244" s="133"/>
      <c r="X244" s="133"/>
      <c r="Y244" s="133"/>
      <c r="Z244" s="133"/>
      <c r="AJ244" s="283"/>
      <c r="AK244" s="283"/>
      <c r="AL244" s="283"/>
      <c r="AM244" s="283"/>
      <c r="AN244" s="283"/>
    </row>
    <row r="245" spans="1:40" x14ac:dyDescent="0.3">
      <c r="A245" s="861"/>
      <c r="B245" s="832" t="s">
        <v>1069</v>
      </c>
      <c r="C245" s="149">
        <f>'Inputs and eligible population'!L117</f>
        <v>0</v>
      </c>
      <c r="D245" s="128">
        <f>Summary!C$18*'Capacity (local prices)'!$C245*'Inputs and eligible population'!$E$56</f>
        <v>0</v>
      </c>
      <c r="E245" s="128">
        <f>Summary!D$18*'Capacity (local prices)'!$C245*'Inputs and eligible population'!$E$56</f>
        <v>0</v>
      </c>
      <c r="F245" s="128">
        <f>Summary!E$18*'Capacity (local prices)'!$C245*'Inputs and eligible population'!$E$56</f>
        <v>0</v>
      </c>
      <c r="G245" s="128">
        <f>Summary!F$18*'Capacity (local prices)'!$C245*'Inputs and eligible population'!$E$56</f>
        <v>0</v>
      </c>
      <c r="H245" s="128">
        <f>Summary!G$18*'Capacity (local prices)'!$C245*'Inputs and eligible population'!$E$56</f>
        <v>0</v>
      </c>
      <c r="I245" s="128">
        <f>Summary!H$18*'Capacity (local prices)'!$C245*'Inputs and eligible population'!$E$56</f>
        <v>0</v>
      </c>
      <c r="J245" s="862"/>
      <c r="K245" s="544">
        <f>'Unit costs'!N$142</f>
        <v>270.02999999999997</v>
      </c>
      <c r="L245" s="546">
        <f t="shared" si="94"/>
        <v>0</v>
      </c>
      <c r="M245" s="546">
        <f t="shared" si="93"/>
        <v>0</v>
      </c>
      <c r="N245" s="546">
        <f t="shared" si="93"/>
        <v>0</v>
      </c>
      <c r="O245" s="546">
        <f t="shared" si="93"/>
        <v>0</v>
      </c>
      <c r="P245" s="546">
        <f t="shared" si="93"/>
        <v>0</v>
      </c>
      <c r="Q245" s="546">
        <f t="shared" si="93"/>
        <v>0</v>
      </c>
      <c r="R245" s="133"/>
      <c r="S245" s="133"/>
      <c r="T245" s="133"/>
      <c r="U245" s="133"/>
      <c r="V245" s="133"/>
      <c r="W245" s="133"/>
      <c r="X245" s="133"/>
      <c r="Y245" s="133"/>
      <c r="Z245" s="133"/>
      <c r="AJ245" s="283"/>
      <c r="AK245" s="283"/>
      <c r="AL245" s="283"/>
      <c r="AM245" s="283"/>
      <c r="AN245" s="283"/>
    </row>
    <row r="246" spans="1:40" x14ac:dyDescent="0.3">
      <c r="A246" s="861"/>
      <c r="B246" s="504"/>
      <c r="C246" s="280"/>
      <c r="D246" s="186">
        <f>SUM(D235:D245)</f>
        <v>0</v>
      </c>
      <c r="E246" s="186">
        <f t="shared" ref="E246:I246" si="95">SUM(E235:E245)</f>
        <v>0</v>
      </c>
      <c r="F246" s="186">
        <f t="shared" si="95"/>
        <v>0</v>
      </c>
      <c r="G246" s="186">
        <f>SUM(G235:G245)</f>
        <v>0</v>
      </c>
      <c r="H246" s="186">
        <f t="shared" si="95"/>
        <v>0</v>
      </c>
      <c r="I246" s="186">
        <f t="shared" si="95"/>
        <v>0</v>
      </c>
      <c r="J246" s="862"/>
      <c r="K246" s="856"/>
      <c r="L246" s="290">
        <f>SUM(L235:L245)</f>
        <v>0</v>
      </c>
      <c r="M246" s="290">
        <f t="shared" ref="M246:Q246" si="96">SUM(M235:M245)</f>
        <v>0</v>
      </c>
      <c r="N246" s="290">
        <f>SUM(N235:N245)</f>
        <v>0</v>
      </c>
      <c r="O246" s="290">
        <f t="shared" si="96"/>
        <v>0</v>
      </c>
      <c r="P246" s="290">
        <f t="shared" si="96"/>
        <v>0</v>
      </c>
      <c r="Q246" s="290">
        <f t="shared" si="96"/>
        <v>0</v>
      </c>
      <c r="R246" s="133"/>
      <c r="S246" s="133"/>
      <c r="T246" s="133"/>
      <c r="U246" s="133"/>
      <c r="V246" s="133"/>
      <c r="W246" s="133"/>
      <c r="X246" s="133"/>
      <c r="Y246" s="133"/>
      <c r="Z246" s="133"/>
      <c r="AJ246" s="283"/>
      <c r="AK246" s="283"/>
      <c r="AL246" s="283"/>
      <c r="AM246" s="283"/>
      <c r="AN246" s="283"/>
    </row>
    <row r="247" spans="1:40" x14ac:dyDescent="0.3">
      <c r="A247" s="861"/>
      <c r="B247" s="255"/>
      <c r="C247" s="255"/>
      <c r="D247" s="282" t="s">
        <v>841</v>
      </c>
      <c r="E247" s="186">
        <f>E246-$D$246</f>
        <v>0</v>
      </c>
      <c r="F247" s="186">
        <f t="shared" ref="F247:I247" si="97">F246-$D$246</f>
        <v>0</v>
      </c>
      <c r="G247" s="186">
        <f t="shared" si="97"/>
        <v>0</v>
      </c>
      <c r="H247" s="186">
        <f t="shared" si="97"/>
        <v>0</v>
      </c>
      <c r="I247" s="186">
        <f t="shared" si="97"/>
        <v>0</v>
      </c>
      <c r="J247" s="862"/>
      <c r="K247" s="856"/>
      <c r="L247" s="856"/>
      <c r="M247" s="290">
        <f>M246-$L246</f>
        <v>0</v>
      </c>
      <c r="N247" s="290">
        <f t="shared" ref="N247:Q247" si="98">N246-$L246</f>
        <v>0</v>
      </c>
      <c r="O247" s="290">
        <f t="shared" si="98"/>
        <v>0</v>
      </c>
      <c r="P247" s="290">
        <f t="shared" si="98"/>
        <v>0</v>
      </c>
      <c r="Q247" s="290">
        <f t="shared" si="98"/>
        <v>0</v>
      </c>
      <c r="R247" s="133"/>
      <c r="S247" s="133"/>
      <c r="T247" s="133"/>
      <c r="U247" s="133"/>
      <c r="V247" s="133"/>
      <c r="W247" s="133"/>
      <c r="X247" s="133"/>
      <c r="Y247" s="133"/>
      <c r="Z247" s="133"/>
      <c r="AJ247" s="283"/>
      <c r="AK247" s="283"/>
      <c r="AL247" s="283"/>
      <c r="AM247" s="283"/>
      <c r="AN247" s="283"/>
    </row>
    <row r="248" spans="1:40" x14ac:dyDescent="0.3">
      <c r="A248" s="849"/>
      <c r="B248" s="849"/>
      <c r="C248" s="856"/>
      <c r="D248" s="849"/>
      <c r="E248" s="849"/>
      <c r="F248" s="849"/>
      <c r="G248" s="849"/>
      <c r="H248" s="849"/>
      <c r="I248" s="856"/>
      <c r="J248" s="856"/>
      <c r="K248" s="856"/>
      <c r="L248" s="856"/>
      <c r="M248" s="856"/>
      <c r="N248" s="856"/>
      <c r="O248" s="856"/>
      <c r="P248" s="856"/>
      <c r="Q248" s="856"/>
      <c r="V248" s="133"/>
    </row>
    <row r="249" spans="1:40" x14ac:dyDescent="0.3">
      <c r="A249" s="849"/>
      <c r="B249" s="850" t="s">
        <v>1113</v>
      </c>
      <c r="C249" s="851"/>
      <c r="D249" s="852"/>
      <c r="E249" s="853"/>
      <c r="F249" s="854"/>
      <c r="G249" s="854"/>
      <c r="H249" s="854"/>
      <c r="I249" s="855"/>
      <c r="J249" s="849"/>
      <c r="K249" s="849"/>
      <c r="L249" s="849"/>
      <c r="M249" s="849"/>
      <c r="N249" s="849"/>
      <c r="O249" s="849"/>
      <c r="P249" s="849"/>
      <c r="Q249" s="856"/>
      <c r="R249" s="133"/>
      <c r="S249" s="133"/>
      <c r="T249" s="133"/>
      <c r="U249" s="133"/>
      <c r="V249" s="133"/>
      <c r="W249" s="133"/>
      <c r="X249" s="133"/>
      <c r="Y249" s="133"/>
      <c r="Z249" s="133"/>
      <c r="AJ249" s="283"/>
      <c r="AK249" s="283"/>
      <c r="AL249" s="283"/>
      <c r="AM249" s="283"/>
      <c r="AN249" s="283"/>
    </row>
    <row r="250" spans="1:40" x14ac:dyDescent="0.3">
      <c r="A250" s="849"/>
      <c r="B250" s="857" t="s">
        <v>1086</v>
      </c>
      <c r="C250" s="858"/>
      <c r="D250" s="858"/>
      <c r="E250" s="858"/>
      <c r="F250" s="858"/>
      <c r="G250" s="858"/>
      <c r="H250" s="858"/>
      <c r="I250" s="859"/>
      <c r="J250" s="856"/>
      <c r="K250" s="856"/>
      <c r="L250" s="860"/>
      <c r="M250" s="860"/>
      <c r="N250" s="860"/>
      <c r="O250" s="860"/>
      <c r="P250" s="860"/>
      <c r="Q250" s="860"/>
      <c r="R250" s="133"/>
      <c r="S250" s="133"/>
      <c r="T250" s="133"/>
      <c r="U250" s="133"/>
      <c r="V250" s="133"/>
      <c r="W250" s="133"/>
      <c r="X250" s="133"/>
      <c r="Y250" s="133"/>
      <c r="Z250" s="133"/>
      <c r="AJ250" s="283"/>
      <c r="AK250" s="283"/>
      <c r="AL250" s="283"/>
      <c r="AM250" s="283"/>
      <c r="AN250" s="283"/>
    </row>
    <row r="251" spans="1:40" ht="43.2" x14ac:dyDescent="0.3">
      <c r="A251" s="861"/>
      <c r="B251" s="306" t="s">
        <v>766</v>
      </c>
      <c r="C251" s="166" t="s">
        <v>1099</v>
      </c>
      <c r="D251" s="402" t="s">
        <v>831</v>
      </c>
      <c r="E251" s="254" t="s">
        <v>676</v>
      </c>
      <c r="F251" s="254" t="s">
        <v>677</v>
      </c>
      <c r="G251" s="165" t="s">
        <v>803</v>
      </c>
      <c r="H251" s="165" t="s">
        <v>804</v>
      </c>
      <c r="I251" s="254" t="s">
        <v>805</v>
      </c>
      <c r="J251" s="862"/>
      <c r="K251" s="531" t="s">
        <v>1100</v>
      </c>
      <c r="L251" s="402" t="s">
        <v>831</v>
      </c>
      <c r="M251" s="521" t="s">
        <v>676</v>
      </c>
      <c r="N251" s="521" t="s">
        <v>677</v>
      </c>
      <c r="O251" s="403" t="s">
        <v>803</v>
      </c>
      <c r="P251" s="403" t="s">
        <v>804</v>
      </c>
      <c r="Q251" s="521" t="s">
        <v>805</v>
      </c>
      <c r="R251" s="133"/>
      <c r="S251" s="133"/>
      <c r="T251" s="133"/>
      <c r="U251" s="133"/>
      <c r="V251" s="133"/>
      <c r="W251" s="133"/>
      <c r="X251" s="133"/>
      <c r="Y251" s="133"/>
      <c r="Z251" s="133"/>
      <c r="AJ251" s="283"/>
      <c r="AK251" s="283"/>
      <c r="AL251" s="283"/>
      <c r="AM251" s="283"/>
      <c r="AN251" s="283"/>
    </row>
    <row r="252" spans="1:40" x14ac:dyDescent="0.3">
      <c r="A252" s="861"/>
      <c r="B252" s="334" t="s">
        <v>1065</v>
      </c>
      <c r="C252" s="846">
        <f>'Inputs and eligible population'!F119</f>
        <v>0</v>
      </c>
      <c r="D252" s="128">
        <f>Summary!$C$16*'Capacity (local prices)'!$C252*'Inputs and eligible population'!$E$50</f>
        <v>0</v>
      </c>
      <c r="E252" s="128">
        <f>Summary!$D$16*'Capacity (local prices)'!$C252*'Inputs and eligible population'!$E$50</f>
        <v>0</v>
      </c>
      <c r="F252" s="128">
        <f>Summary!E$16*'Capacity (local prices)'!$C252*'Inputs and eligible population'!$E$50</f>
        <v>0</v>
      </c>
      <c r="G252" s="128">
        <f>Summary!F$16*'Capacity (local prices)'!$C252*'Inputs and eligible population'!$E$50</f>
        <v>0</v>
      </c>
      <c r="H252" s="128">
        <f>Summary!G$16*'Capacity (local prices)'!$C252*'Inputs and eligible population'!$E$50</f>
        <v>0</v>
      </c>
      <c r="I252" s="128">
        <f>Summary!H$16*'Capacity (local prices)'!$C252*'Inputs and eligible population'!$E$50</f>
        <v>0</v>
      </c>
      <c r="J252" s="862"/>
      <c r="K252" s="544">
        <f>'Unit costs'!$N$142</f>
        <v>270.02999999999997</v>
      </c>
      <c r="L252" s="546">
        <f>$K252/1000*D252</f>
        <v>0</v>
      </c>
      <c r="M252" s="546">
        <f t="shared" ref="M252:Q262" si="99">$K252/1000*E252</f>
        <v>0</v>
      </c>
      <c r="N252" s="546">
        <f t="shared" si="99"/>
        <v>0</v>
      </c>
      <c r="O252" s="546">
        <f t="shared" si="99"/>
        <v>0</v>
      </c>
      <c r="P252" s="546">
        <f t="shared" si="99"/>
        <v>0</v>
      </c>
      <c r="Q252" s="546">
        <f t="shared" si="99"/>
        <v>0</v>
      </c>
      <c r="R252" s="133"/>
      <c r="S252" s="133"/>
      <c r="T252" s="133"/>
      <c r="U252" s="133"/>
      <c r="V252" s="133"/>
      <c r="W252" s="133"/>
      <c r="X252" s="133"/>
      <c r="Y252" s="133"/>
      <c r="Z252" s="133"/>
      <c r="AJ252" s="283"/>
      <c r="AK252" s="283"/>
      <c r="AL252" s="283"/>
      <c r="AM252" s="283"/>
      <c r="AN252" s="283"/>
    </row>
    <row r="253" spans="1:40" x14ac:dyDescent="0.3">
      <c r="A253" s="861"/>
      <c r="B253" s="334" t="s">
        <v>1064</v>
      </c>
      <c r="C253" s="149">
        <f>'Inputs and eligible population'!G119</f>
        <v>0.32</v>
      </c>
      <c r="D253" s="128">
        <f>Summary!C$16*'Capacity (local prices)'!$C253*'Inputs and eligible population'!$E$51</f>
        <v>0</v>
      </c>
      <c r="E253" s="128">
        <f>Summary!D$16*'Capacity (local prices)'!$C253*'Inputs and eligible population'!$E$51</f>
        <v>0</v>
      </c>
      <c r="F253" s="128">
        <f>Summary!E$16*'Capacity (local prices)'!$C253*'Inputs and eligible population'!$E$51</f>
        <v>0</v>
      </c>
      <c r="G253" s="128">
        <f>Summary!F$16*'Capacity (local prices)'!$C253*'Inputs and eligible population'!$E$51</f>
        <v>0</v>
      </c>
      <c r="H253" s="128">
        <f>Summary!G$16*'Capacity (local prices)'!$C253*'Inputs and eligible population'!$E$51</f>
        <v>0</v>
      </c>
      <c r="I253" s="128">
        <f>Summary!H$16*'Capacity (local prices)'!$C253*'Inputs and eligible population'!$E$51</f>
        <v>0</v>
      </c>
      <c r="J253" s="862"/>
      <c r="K253" s="544">
        <f>'Unit costs'!$N$142</f>
        <v>270.02999999999997</v>
      </c>
      <c r="L253" s="546">
        <f t="shared" ref="L253:L262" si="100">$K253/1000*D253</f>
        <v>0</v>
      </c>
      <c r="M253" s="546">
        <f t="shared" si="99"/>
        <v>0</v>
      </c>
      <c r="N253" s="546">
        <f t="shared" si="99"/>
        <v>0</v>
      </c>
      <c r="O253" s="546">
        <f t="shared" si="99"/>
        <v>0</v>
      </c>
      <c r="P253" s="546">
        <f t="shared" si="99"/>
        <v>0</v>
      </c>
      <c r="Q253" s="546">
        <f t="shared" si="99"/>
        <v>0</v>
      </c>
      <c r="R253" s="133"/>
      <c r="S253" s="133"/>
      <c r="T253" s="133"/>
      <c r="U253" s="133"/>
      <c r="V253" s="133"/>
      <c r="W253" s="133"/>
      <c r="X253" s="133"/>
      <c r="Y253" s="133"/>
      <c r="Z253" s="133"/>
      <c r="AJ253" s="283"/>
      <c r="AK253" s="283"/>
      <c r="AL253" s="283"/>
      <c r="AM253" s="283"/>
      <c r="AN253" s="283"/>
    </row>
    <row r="254" spans="1:40" x14ac:dyDescent="0.3">
      <c r="A254" s="861"/>
      <c r="B254" s="334" t="s">
        <v>1162</v>
      </c>
      <c r="C254" s="149">
        <f>'Inputs and eligible population'!H$119</f>
        <v>0</v>
      </c>
      <c r="D254" s="128">
        <f>'Inputs and eligible population'!$E$52*'Inputs and eligible population'!$L$84*'Capacity (local prices)'!$C$33</f>
        <v>0</v>
      </c>
      <c r="E254" s="128">
        <f>'Inputs and eligible population'!$E$52*'Inputs and eligible population'!$M$84*'Capacity (local prices)'!$C254</f>
        <v>0</v>
      </c>
      <c r="F254" s="128">
        <f>'Inputs and eligible population'!$E$52*'Inputs and eligible population'!$N$84*'Capacity (local prices)'!$C254</f>
        <v>0</v>
      </c>
      <c r="G254" s="128">
        <f>'Inputs and eligible population'!$E$52*'Inputs and eligible population'!$O$84*'Capacity (local prices)'!$C254</f>
        <v>0</v>
      </c>
      <c r="H254" s="128">
        <f>'Inputs and eligible population'!$E$52*'Inputs and eligible population'!$P$84*'Capacity (local prices)'!$C254</f>
        <v>0</v>
      </c>
      <c r="I254" s="128">
        <f>'Inputs and eligible population'!$E$52*'Inputs and eligible population'!$Q$84*'Capacity (local prices)'!$C254</f>
        <v>0</v>
      </c>
      <c r="J254" s="862"/>
      <c r="K254" s="544">
        <f>'Unit costs'!$N$142</f>
        <v>270.02999999999997</v>
      </c>
      <c r="L254" s="546">
        <f t="shared" si="100"/>
        <v>0</v>
      </c>
      <c r="M254" s="546">
        <f t="shared" si="99"/>
        <v>0</v>
      </c>
      <c r="N254" s="546">
        <f t="shared" si="99"/>
        <v>0</v>
      </c>
      <c r="O254" s="546">
        <f t="shared" si="99"/>
        <v>0</v>
      </c>
      <c r="P254" s="546">
        <f t="shared" si="99"/>
        <v>0</v>
      </c>
      <c r="Q254" s="546">
        <f t="shared" si="99"/>
        <v>0</v>
      </c>
      <c r="R254" s="133"/>
      <c r="S254" s="133"/>
      <c r="T254" s="133"/>
      <c r="U254" s="133"/>
      <c r="V254" s="133"/>
      <c r="W254" s="133"/>
      <c r="X254" s="133"/>
      <c r="Y254" s="133"/>
      <c r="Z254" s="133"/>
      <c r="AJ254" s="283"/>
      <c r="AK254" s="283"/>
      <c r="AL254" s="283"/>
      <c r="AM254" s="283"/>
      <c r="AN254" s="283"/>
    </row>
    <row r="255" spans="1:40" x14ac:dyDescent="0.3">
      <c r="A255" s="861"/>
      <c r="B255" s="334" t="s">
        <v>1163</v>
      </c>
      <c r="C255" s="149">
        <f>'Inputs and eligible population'!H$119</f>
        <v>0</v>
      </c>
      <c r="D255" s="128">
        <f>'Inputs and eligible population'!$F$52*'Inputs and eligible population'!$L$84*'Capacity (local prices)'!$C255</f>
        <v>0</v>
      </c>
      <c r="E255" s="128">
        <f>'Inputs and eligible population'!$F$52*'Inputs and eligible population'!$L$84*'Capacity (local prices)'!$C255</f>
        <v>0</v>
      </c>
      <c r="F255" s="128">
        <f>'Inputs and eligible population'!$F$52*'Inputs and eligible population'!$M$84*'Capacity (local prices)'!$C255</f>
        <v>0</v>
      </c>
      <c r="G255" s="128">
        <f>'Inputs and eligible population'!$F$52*'Inputs and eligible population'!$N$84*'Capacity (local prices)'!$C255</f>
        <v>0</v>
      </c>
      <c r="H255" s="128">
        <f>'Inputs and eligible population'!$F$52*'Inputs and eligible population'!$O$84*'Capacity (local prices)'!$C255</f>
        <v>0</v>
      </c>
      <c r="I255" s="128">
        <f>'Inputs and eligible population'!$F$52*'Inputs and eligible population'!$P$84*'Capacity (local prices)'!$C255</f>
        <v>0</v>
      </c>
      <c r="J255" s="862"/>
      <c r="K255" s="544">
        <f>'Unit costs'!$N$142</f>
        <v>270.02999999999997</v>
      </c>
      <c r="L255" s="546">
        <f t="shared" si="100"/>
        <v>0</v>
      </c>
      <c r="M255" s="546">
        <f t="shared" si="99"/>
        <v>0</v>
      </c>
      <c r="N255" s="546">
        <f t="shared" si="99"/>
        <v>0</v>
      </c>
      <c r="O255" s="546">
        <f t="shared" si="99"/>
        <v>0</v>
      </c>
      <c r="P255" s="546">
        <f t="shared" si="99"/>
        <v>0</v>
      </c>
      <c r="Q255" s="546">
        <f t="shared" si="99"/>
        <v>0</v>
      </c>
      <c r="R255" s="133"/>
      <c r="S255" s="133"/>
      <c r="T255" s="133"/>
      <c r="U255" s="133"/>
      <c r="V255" s="133"/>
      <c r="W255" s="133"/>
      <c r="X255" s="133"/>
      <c r="Y255" s="133"/>
      <c r="Z255" s="133"/>
      <c r="AJ255" s="283"/>
      <c r="AK255" s="283"/>
      <c r="AL255" s="283"/>
      <c r="AM255" s="283"/>
      <c r="AN255" s="283"/>
    </row>
    <row r="256" spans="1:40" x14ac:dyDescent="0.3">
      <c r="A256" s="861"/>
      <c r="B256" s="334" t="s">
        <v>1164</v>
      </c>
      <c r="C256" s="149">
        <f>'Inputs and eligible population'!H$119</f>
        <v>0</v>
      </c>
      <c r="D256" s="128">
        <f>'Inputs and eligible population'!$G$52*'Inputs and eligible population'!$L$84*'Capacity (local prices)'!$C256</f>
        <v>0</v>
      </c>
      <c r="E256" s="128">
        <f>'Inputs and eligible population'!$G$52*'Inputs and eligible population'!$L$84*'Capacity (local prices)'!$C256</f>
        <v>0</v>
      </c>
      <c r="F256" s="128">
        <f>'Inputs and eligible population'!$G$52*'Inputs and eligible population'!$L$84*'Capacity (local prices)'!$C256</f>
        <v>0</v>
      </c>
      <c r="G256" s="128">
        <f>'Inputs and eligible population'!$G$52*'Inputs and eligible population'!$M$84*'Capacity (local prices)'!$C256</f>
        <v>0</v>
      </c>
      <c r="H256" s="128">
        <f>'Inputs and eligible population'!$G$52*'Inputs and eligible population'!$N$84*'Capacity (local prices)'!$C256</f>
        <v>0</v>
      </c>
      <c r="I256" s="128">
        <f>'Inputs and eligible population'!$G$52*'Inputs and eligible population'!$O$84*'Capacity (local prices)'!$C256</f>
        <v>0</v>
      </c>
      <c r="J256" s="862"/>
      <c r="K256" s="544">
        <f>'Unit costs'!$N$142</f>
        <v>270.02999999999997</v>
      </c>
      <c r="L256" s="546">
        <f t="shared" si="100"/>
        <v>0</v>
      </c>
      <c r="M256" s="546">
        <f t="shared" si="99"/>
        <v>0</v>
      </c>
      <c r="N256" s="546">
        <f t="shared" si="99"/>
        <v>0</v>
      </c>
      <c r="O256" s="546">
        <f t="shared" si="99"/>
        <v>0</v>
      </c>
      <c r="P256" s="546">
        <f t="shared" si="99"/>
        <v>0</v>
      </c>
      <c r="Q256" s="546">
        <f t="shared" si="99"/>
        <v>0</v>
      </c>
      <c r="R256" s="133"/>
      <c r="S256" s="133"/>
      <c r="T256" s="133"/>
      <c r="U256" s="133"/>
      <c r="V256" s="133"/>
      <c r="W256" s="133"/>
      <c r="X256" s="133"/>
      <c r="Y256" s="133"/>
      <c r="Z256" s="133"/>
      <c r="AJ256" s="283"/>
      <c r="AK256" s="283"/>
      <c r="AL256" s="283"/>
      <c r="AM256" s="283"/>
      <c r="AN256" s="283"/>
    </row>
    <row r="257" spans="1:40" x14ac:dyDescent="0.3">
      <c r="A257" s="861"/>
      <c r="B257" s="334" t="s">
        <v>1066</v>
      </c>
      <c r="C257" s="846">
        <f>'Inputs and eligible population'!I119</f>
        <v>0</v>
      </c>
      <c r="D257" s="128">
        <f>'Financial impact (cash)'!D$15*$C257*'Inputs and eligible population'!$E$53</f>
        <v>0</v>
      </c>
      <c r="E257" s="128">
        <f>'Financial impact (cash)'!E$15*$C257*'Inputs and eligible population'!$E$53</f>
        <v>0</v>
      </c>
      <c r="F257" s="128">
        <f>'Financial impact (cash)'!F$15*$C257*'Inputs and eligible population'!$E$53</f>
        <v>0</v>
      </c>
      <c r="G257" s="128">
        <f>'Financial impact (cash)'!G$15*$C257*'Inputs and eligible population'!$E$53</f>
        <v>0</v>
      </c>
      <c r="H257" s="128">
        <f>'Financial impact (cash)'!H$15*$C257*'Inputs and eligible population'!$E$53</f>
        <v>0</v>
      </c>
      <c r="I257" s="128">
        <f>'Financial impact (cash)'!I$15*$C257*'Inputs and eligible population'!$E$53</f>
        <v>0</v>
      </c>
      <c r="J257" s="862"/>
      <c r="K257" s="544">
        <f>'Unit costs'!$N$142</f>
        <v>270.02999999999997</v>
      </c>
      <c r="L257" s="546">
        <f t="shared" si="100"/>
        <v>0</v>
      </c>
      <c r="M257" s="546">
        <f t="shared" si="99"/>
        <v>0</v>
      </c>
      <c r="N257" s="546">
        <f t="shared" si="99"/>
        <v>0</v>
      </c>
      <c r="O257" s="546">
        <f t="shared" si="99"/>
        <v>0</v>
      </c>
      <c r="P257" s="546">
        <f t="shared" si="99"/>
        <v>0</v>
      </c>
      <c r="Q257" s="546">
        <f t="shared" si="99"/>
        <v>0</v>
      </c>
      <c r="R257" s="133"/>
      <c r="S257" s="133"/>
      <c r="T257" s="133"/>
      <c r="U257" s="133"/>
      <c r="V257" s="133"/>
      <c r="W257" s="133"/>
      <c r="X257" s="133"/>
      <c r="Y257" s="133"/>
      <c r="Z257" s="133"/>
      <c r="AJ257" s="283"/>
      <c r="AK257" s="283"/>
      <c r="AL257" s="283"/>
      <c r="AM257" s="283"/>
      <c r="AN257" s="283"/>
    </row>
    <row r="258" spans="1:40" x14ac:dyDescent="0.3">
      <c r="A258" s="861"/>
      <c r="B258" s="334" t="s">
        <v>1067</v>
      </c>
      <c r="C258" s="149">
        <f>'Inputs and eligible population'!J119</f>
        <v>0.32</v>
      </c>
      <c r="D258" s="128">
        <f>'Financial impact (cash)'!D$15*$C258*'Inputs and eligible population'!$E$54</f>
        <v>0</v>
      </c>
      <c r="E258" s="128">
        <f>'Financial impact (cash)'!E$15*$C258*'Inputs and eligible population'!$E$54</f>
        <v>0</v>
      </c>
      <c r="F258" s="128">
        <f>'Financial impact (cash)'!F$15*$C258*'Inputs and eligible population'!$E$54</f>
        <v>0</v>
      </c>
      <c r="G258" s="128">
        <f>'Financial impact (cash)'!G$15*$C258*'Inputs and eligible population'!$E$54</f>
        <v>0</v>
      </c>
      <c r="H258" s="128">
        <f>'Financial impact (cash)'!H$15*$C258*'Inputs and eligible population'!$E$54</f>
        <v>0</v>
      </c>
      <c r="I258" s="128">
        <f>'Financial impact (cash)'!I$15*$C258*'Inputs and eligible population'!$E$54</f>
        <v>0</v>
      </c>
      <c r="J258" s="862"/>
      <c r="K258" s="544">
        <f>'Unit costs'!$N$142</f>
        <v>270.02999999999997</v>
      </c>
      <c r="L258" s="546">
        <f t="shared" si="100"/>
        <v>0</v>
      </c>
      <c r="M258" s="546">
        <f t="shared" si="99"/>
        <v>0</v>
      </c>
      <c r="N258" s="546">
        <f t="shared" si="99"/>
        <v>0</v>
      </c>
      <c r="O258" s="546">
        <f t="shared" si="99"/>
        <v>0</v>
      </c>
      <c r="P258" s="546">
        <f t="shared" si="99"/>
        <v>0</v>
      </c>
      <c r="Q258" s="546">
        <f t="shared" si="99"/>
        <v>0</v>
      </c>
      <c r="R258" s="133"/>
      <c r="S258" s="133"/>
      <c r="T258" s="133"/>
      <c r="U258" s="133"/>
      <c r="V258" s="133"/>
      <c r="W258" s="133"/>
      <c r="X258" s="133"/>
      <c r="Y258" s="133"/>
      <c r="Z258" s="133"/>
      <c r="AJ258" s="283"/>
      <c r="AK258" s="283"/>
      <c r="AL258" s="283"/>
      <c r="AM258" s="283"/>
      <c r="AN258" s="283"/>
    </row>
    <row r="259" spans="1:40" x14ac:dyDescent="0.3">
      <c r="A259" s="861"/>
      <c r="B259" s="334" t="s">
        <v>1165</v>
      </c>
      <c r="C259" s="149">
        <f>'Inputs and eligible population'!K$119</f>
        <v>0</v>
      </c>
      <c r="D259" s="128">
        <f>Summary!$C$17*'Capacity (local prices)'!$C259*'Inputs and eligible population'!$E$55</f>
        <v>0</v>
      </c>
      <c r="E259" s="128">
        <f>(Summary!$D$17*'Capacity (local prices)'!$C259*'Inputs and eligible population'!$E$55)</f>
        <v>0</v>
      </c>
      <c r="F259" s="128">
        <f>(Summary!$E$17*'Capacity (local prices)'!$C259*'Inputs and eligible population'!$E$55)</f>
        <v>0</v>
      </c>
      <c r="G259" s="128">
        <f>(Summary!$F$17*'Capacity (local prices)'!$C259*'Inputs and eligible population'!$E$55)</f>
        <v>0</v>
      </c>
      <c r="H259" s="128">
        <f>(Summary!$G$17*'Capacity (local prices)'!$C259*'Inputs and eligible population'!$E$55)</f>
        <v>0</v>
      </c>
      <c r="I259" s="128">
        <f>(Summary!$H$17*'Capacity (local prices)'!$C259*'Inputs and eligible population'!$E$55)</f>
        <v>0</v>
      </c>
      <c r="J259" s="862"/>
      <c r="K259" s="544">
        <f>'Unit costs'!$N$142</f>
        <v>270.02999999999997</v>
      </c>
      <c r="L259" s="546">
        <f t="shared" si="100"/>
        <v>0</v>
      </c>
      <c r="M259" s="546">
        <f t="shared" si="99"/>
        <v>0</v>
      </c>
      <c r="N259" s="546">
        <f t="shared" si="99"/>
        <v>0</v>
      </c>
      <c r="O259" s="546">
        <f t="shared" si="99"/>
        <v>0</v>
      </c>
      <c r="P259" s="546">
        <f t="shared" si="99"/>
        <v>0</v>
      </c>
      <c r="Q259" s="546">
        <f t="shared" si="99"/>
        <v>0</v>
      </c>
      <c r="R259" s="133"/>
      <c r="S259" s="133"/>
      <c r="T259" s="133"/>
      <c r="U259" s="133"/>
      <c r="V259" s="133"/>
      <c r="W259" s="133"/>
      <c r="X259" s="133"/>
      <c r="Y259" s="133"/>
      <c r="Z259" s="133"/>
      <c r="AJ259" s="283"/>
      <c r="AK259" s="283"/>
      <c r="AL259" s="283"/>
      <c r="AM259" s="283"/>
      <c r="AN259" s="283"/>
    </row>
    <row r="260" spans="1:40" x14ac:dyDescent="0.3">
      <c r="A260" s="861"/>
      <c r="B260" s="334" t="s">
        <v>1166</v>
      </c>
      <c r="C260" s="149">
        <f>'Inputs and eligible population'!K$119</f>
        <v>0</v>
      </c>
      <c r="D260" s="128">
        <f>Summary!$C$17*'Capacity (local prices)'!$C259*'Inputs and eligible population'!$F$55</f>
        <v>0</v>
      </c>
      <c r="E260" s="128">
        <f>Summary!$C$17*'Capacity (local prices)'!$C259*'Inputs and eligible population'!$F$55</f>
        <v>0</v>
      </c>
      <c r="F260" s="128">
        <f>(Summary!$D$17*'Capacity (local prices)'!$C259*'Inputs and eligible population'!$F$55)</f>
        <v>0</v>
      </c>
      <c r="G260" s="128">
        <f>(Summary!$E$17*'Capacity (local prices)'!$C259*'Inputs and eligible population'!$F$55)</f>
        <v>0</v>
      </c>
      <c r="H260" s="128">
        <f>(Summary!$F$17*'Capacity (local prices)'!$C259*'Inputs and eligible population'!$F$55)</f>
        <v>0</v>
      </c>
      <c r="I260" s="128">
        <f>(Summary!$G$17*'Capacity (local prices)'!$C259*'Inputs and eligible population'!$F$55)</f>
        <v>0</v>
      </c>
      <c r="J260" s="862"/>
      <c r="K260" s="544">
        <f>'Unit costs'!$N$142</f>
        <v>270.02999999999997</v>
      </c>
      <c r="L260" s="546">
        <f t="shared" si="100"/>
        <v>0</v>
      </c>
      <c r="M260" s="546">
        <f t="shared" si="99"/>
        <v>0</v>
      </c>
      <c r="N260" s="546">
        <f t="shared" si="99"/>
        <v>0</v>
      </c>
      <c r="O260" s="546">
        <f t="shared" si="99"/>
        <v>0</v>
      </c>
      <c r="P260" s="546">
        <f t="shared" si="99"/>
        <v>0</v>
      </c>
      <c r="Q260" s="546">
        <f t="shared" si="99"/>
        <v>0</v>
      </c>
      <c r="R260" s="133"/>
      <c r="S260" s="133"/>
      <c r="T260" s="133"/>
      <c r="U260" s="133"/>
      <c r="V260" s="133"/>
      <c r="W260" s="133"/>
      <c r="X260" s="133"/>
      <c r="Y260" s="133"/>
      <c r="Z260" s="133"/>
      <c r="AJ260" s="283"/>
      <c r="AK260" s="283"/>
      <c r="AL260" s="283"/>
      <c r="AM260" s="283"/>
      <c r="AN260" s="283"/>
    </row>
    <row r="261" spans="1:40" x14ac:dyDescent="0.3">
      <c r="A261" s="861"/>
      <c r="B261" s="334" t="s">
        <v>1167</v>
      </c>
      <c r="C261" s="149">
        <f>'Inputs and eligible population'!K$119</f>
        <v>0</v>
      </c>
      <c r="D261" s="128">
        <f>Summary!$C$17*'Capacity (local prices)'!$C259*'Inputs and eligible population'!$G$55</f>
        <v>0</v>
      </c>
      <c r="E261" s="128">
        <f>Summary!$C$17*'Capacity (local prices)'!$C259*'Inputs and eligible population'!$G$55</f>
        <v>0</v>
      </c>
      <c r="F261" s="128">
        <f>Summary!$C$17*'Capacity (local prices)'!$C259*'Inputs and eligible population'!$G$55</f>
        <v>0</v>
      </c>
      <c r="G261" s="128">
        <f>(Summary!$D$17*'Capacity (local prices)'!$C259*'Inputs and eligible population'!$G$55)</f>
        <v>0</v>
      </c>
      <c r="H261" s="128">
        <f>(Summary!$E$17*'Capacity (local prices)'!$C259*'Inputs and eligible population'!$G$55)</f>
        <v>0</v>
      </c>
      <c r="I261" s="128">
        <f>(Summary!$F$17*'Capacity (local prices)'!$C259*'Inputs and eligible population'!$G$55)</f>
        <v>0</v>
      </c>
      <c r="J261" s="862"/>
      <c r="K261" s="544">
        <f>'Unit costs'!$N$142</f>
        <v>270.02999999999997</v>
      </c>
      <c r="L261" s="546">
        <f t="shared" si="100"/>
        <v>0</v>
      </c>
      <c r="M261" s="546">
        <f t="shared" si="99"/>
        <v>0</v>
      </c>
      <c r="N261" s="546">
        <f t="shared" si="99"/>
        <v>0</v>
      </c>
      <c r="O261" s="546">
        <f t="shared" si="99"/>
        <v>0</v>
      </c>
      <c r="P261" s="546">
        <f t="shared" si="99"/>
        <v>0</v>
      </c>
      <c r="Q261" s="546">
        <f t="shared" si="99"/>
        <v>0</v>
      </c>
      <c r="R261" s="133"/>
      <c r="S261" s="133"/>
      <c r="T261" s="133"/>
      <c r="U261" s="133"/>
      <c r="V261" s="133"/>
      <c r="W261" s="133"/>
      <c r="X261" s="133"/>
      <c r="Y261" s="133"/>
      <c r="Z261" s="133"/>
      <c r="AJ261" s="283"/>
      <c r="AK261" s="283"/>
      <c r="AL261" s="283"/>
      <c r="AM261" s="283"/>
      <c r="AN261" s="283"/>
    </row>
    <row r="262" spans="1:40" x14ac:dyDescent="0.3">
      <c r="A262" s="861"/>
      <c r="B262" s="832" t="s">
        <v>1069</v>
      </c>
      <c r="C262" s="149">
        <f>'Inputs and eligible population'!L119</f>
        <v>0</v>
      </c>
      <c r="D262" s="128">
        <f>Summary!C$18*'Capacity (local prices)'!$C262*'Inputs and eligible population'!$E$56</f>
        <v>0</v>
      </c>
      <c r="E262" s="128">
        <f>Summary!D$18*'Capacity (local prices)'!$C262*'Inputs and eligible population'!$E$56</f>
        <v>0</v>
      </c>
      <c r="F262" s="128">
        <f>Summary!E$18*'Capacity (local prices)'!$C262*'Inputs and eligible population'!$E$56</f>
        <v>0</v>
      </c>
      <c r="G262" s="128">
        <f>Summary!F$18*'Capacity (local prices)'!$C262*'Inputs and eligible population'!$E$56</f>
        <v>0</v>
      </c>
      <c r="H262" s="128">
        <f>Summary!G$18*'Capacity (local prices)'!$C262*'Inputs and eligible population'!$E$56</f>
        <v>0</v>
      </c>
      <c r="I262" s="128">
        <f>Summary!H$18*'Capacity (local prices)'!$C262*'Inputs and eligible population'!$E$56</f>
        <v>0</v>
      </c>
      <c r="J262" s="862"/>
      <c r="K262" s="544">
        <f>'Unit costs'!$N$142</f>
        <v>270.02999999999997</v>
      </c>
      <c r="L262" s="546">
        <f t="shared" si="100"/>
        <v>0</v>
      </c>
      <c r="M262" s="546">
        <f t="shared" si="99"/>
        <v>0</v>
      </c>
      <c r="N262" s="546">
        <f t="shared" si="99"/>
        <v>0</v>
      </c>
      <c r="O262" s="546">
        <f t="shared" si="99"/>
        <v>0</v>
      </c>
      <c r="P262" s="546">
        <f t="shared" si="99"/>
        <v>0</v>
      </c>
      <c r="Q262" s="546">
        <f t="shared" si="99"/>
        <v>0</v>
      </c>
      <c r="R262" s="133"/>
      <c r="S262" s="133"/>
      <c r="T262" s="133"/>
      <c r="U262" s="133"/>
      <c r="V262" s="133"/>
      <c r="W262" s="133"/>
      <c r="X262" s="133"/>
      <c r="Y262" s="133"/>
      <c r="Z262" s="133"/>
      <c r="AJ262" s="283"/>
      <c r="AK262" s="283"/>
      <c r="AL262" s="283"/>
      <c r="AM262" s="283"/>
      <c r="AN262" s="283"/>
    </row>
    <row r="263" spans="1:40" x14ac:dyDescent="0.3">
      <c r="A263" s="861"/>
      <c r="B263" s="504"/>
      <c r="C263" s="280"/>
      <c r="D263" s="186">
        <f>SUM(D252:D262)</f>
        <v>0</v>
      </c>
      <c r="E263" s="186">
        <f t="shared" ref="E263:I263" si="101">SUM(E252:E262)</f>
        <v>0</v>
      </c>
      <c r="F263" s="186">
        <f t="shared" si="101"/>
        <v>0</v>
      </c>
      <c r="G263" s="186">
        <f t="shared" si="101"/>
        <v>0</v>
      </c>
      <c r="H263" s="186">
        <f t="shared" si="101"/>
        <v>0</v>
      </c>
      <c r="I263" s="186">
        <f t="shared" si="101"/>
        <v>0</v>
      </c>
      <c r="J263" s="862"/>
      <c r="K263" s="856"/>
      <c r="L263" s="290">
        <f>SUM(L252:L262)</f>
        <v>0</v>
      </c>
      <c r="M263" s="290">
        <f t="shared" ref="M263:Q263" si="102">SUM(M252:M262)</f>
        <v>0</v>
      </c>
      <c r="N263" s="290">
        <f t="shared" si="102"/>
        <v>0</v>
      </c>
      <c r="O263" s="290">
        <f t="shared" si="102"/>
        <v>0</v>
      </c>
      <c r="P263" s="290">
        <f t="shared" si="102"/>
        <v>0</v>
      </c>
      <c r="Q263" s="290">
        <f t="shared" si="102"/>
        <v>0</v>
      </c>
      <c r="R263" s="133"/>
      <c r="S263" s="133"/>
      <c r="T263" s="133"/>
      <c r="U263" s="133"/>
      <c r="V263" s="133"/>
      <c r="W263" s="133"/>
      <c r="X263" s="133"/>
      <c r="Y263" s="133"/>
      <c r="Z263" s="133"/>
      <c r="AJ263" s="283"/>
      <c r="AK263" s="283"/>
      <c r="AL263" s="283"/>
      <c r="AM263" s="283"/>
      <c r="AN263" s="283"/>
    </row>
    <row r="264" spans="1:40" x14ac:dyDescent="0.3">
      <c r="A264" s="861"/>
      <c r="B264" s="255"/>
      <c r="C264" s="255"/>
      <c r="D264" s="282" t="s">
        <v>841</v>
      </c>
      <c r="E264" s="186">
        <f>E263-$D$263</f>
        <v>0</v>
      </c>
      <c r="F264" s="186">
        <f t="shared" ref="F264:I264" si="103">F263-$D$263</f>
        <v>0</v>
      </c>
      <c r="G264" s="186">
        <f t="shared" si="103"/>
        <v>0</v>
      </c>
      <c r="H264" s="186">
        <f t="shared" si="103"/>
        <v>0</v>
      </c>
      <c r="I264" s="186">
        <f t="shared" si="103"/>
        <v>0</v>
      </c>
      <c r="J264" s="862"/>
      <c r="K264" s="856"/>
      <c r="L264" s="856"/>
      <c r="M264" s="290">
        <f>M263-$L263</f>
        <v>0</v>
      </c>
      <c r="N264" s="290">
        <f t="shared" ref="N264:Q264" si="104">N263-$L263</f>
        <v>0</v>
      </c>
      <c r="O264" s="290">
        <f t="shared" si="104"/>
        <v>0</v>
      </c>
      <c r="P264" s="290">
        <f t="shared" si="104"/>
        <v>0</v>
      </c>
      <c r="Q264" s="290">
        <f t="shared" si="104"/>
        <v>0</v>
      </c>
      <c r="R264" s="133"/>
      <c r="S264" s="133"/>
      <c r="T264" s="133"/>
      <c r="U264" s="133"/>
      <c r="V264" s="133"/>
      <c r="W264" s="133"/>
      <c r="X264" s="133"/>
      <c r="Y264" s="133"/>
      <c r="Z264" s="133"/>
      <c r="AJ264" s="283"/>
      <c r="AK264" s="283"/>
      <c r="AL264" s="283"/>
      <c r="AM264" s="283"/>
      <c r="AN264" s="283"/>
    </row>
    <row r="265" spans="1:40" x14ac:dyDescent="0.3">
      <c r="A265" s="849"/>
      <c r="B265" s="849"/>
      <c r="C265" s="856"/>
      <c r="D265" s="849"/>
      <c r="E265" s="849"/>
      <c r="F265" s="849"/>
      <c r="G265" s="849"/>
      <c r="H265" s="849"/>
      <c r="I265" s="856"/>
      <c r="J265" s="856"/>
      <c r="K265" s="856"/>
      <c r="L265" s="856"/>
      <c r="M265" s="856"/>
      <c r="N265" s="856"/>
      <c r="O265" s="856"/>
      <c r="P265" s="856"/>
      <c r="Q265" s="856"/>
      <c r="V265" s="133"/>
    </row>
    <row r="266" spans="1:40" x14ac:dyDescent="0.3">
      <c r="A266" s="288"/>
      <c r="B266" s="312" t="s">
        <v>726</v>
      </c>
      <c r="C266" s="302"/>
      <c r="D266" s="303"/>
      <c r="E266" s="304"/>
      <c r="F266" s="305"/>
      <c r="G266" s="305"/>
      <c r="H266" s="305"/>
      <c r="I266" s="411"/>
      <c r="J266" s="417"/>
      <c r="K266" s="288"/>
      <c r="L266" s="288"/>
      <c r="M266" s="288"/>
      <c r="N266" s="288"/>
      <c r="O266" s="288"/>
      <c r="P266" s="288"/>
      <c r="Q266" s="288"/>
      <c r="R266" s="133"/>
      <c r="S266" s="133"/>
      <c r="T266" s="133"/>
      <c r="U266" s="133"/>
      <c r="V266" s="133"/>
      <c r="W266" s="133"/>
      <c r="X266" s="133"/>
      <c r="Y266" s="133"/>
      <c r="Z266" s="133"/>
      <c r="AJ266" s="283"/>
      <c r="AK266" s="283"/>
      <c r="AL266" s="283"/>
      <c r="AM266" s="283"/>
      <c r="AN266" s="283"/>
    </row>
    <row r="267" spans="1:40" x14ac:dyDescent="0.3">
      <c r="A267" s="288"/>
      <c r="B267" s="383" t="s">
        <v>849</v>
      </c>
      <c r="C267" s="384"/>
      <c r="D267" s="384"/>
      <c r="E267" s="384"/>
      <c r="F267" s="384"/>
      <c r="G267" s="384"/>
      <c r="H267" s="384"/>
      <c r="I267" s="222"/>
      <c r="J267" s="415"/>
      <c r="K267" s="415"/>
      <c r="L267" s="416"/>
      <c r="M267" s="416"/>
      <c r="N267" s="416"/>
      <c r="O267" s="416"/>
      <c r="P267" s="416"/>
      <c r="Q267" s="416"/>
      <c r="R267" s="133"/>
      <c r="S267" s="133"/>
      <c r="T267" s="133"/>
      <c r="U267" s="133"/>
      <c r="V267" s="133"/>
      <c r="W267" s="133"/>
      <c r="X267" s="133"/>
      <c r="Y267" s="133"/>
      <c r="Z267" s="133"/>
      <c r="AJ267" s="283"/>
      <c r="AK267" s="283"/>
      <c r="AL267" s="283"/>
      <c r="AM267" s="283"/>
      <c r="AN267" s="283"/>
    </row>
    <row r="268" spans="1:40" ht="43.2" x14ac:dyDescent="0.3">
      <c r="A268" s="288"/>
      <c r="B268" s="276" t="s">
        <v>766</v>
      </c>
      <c r="C268" s="208"/>
      <c r="D268" s="402" t="s">
        <v>831</v>
      </c>
      <c r="E268" s="254" t="s">
        <v>676</v>
      </c>
      <c r="F268" s="254" t="s">
        <v>677</v>
      </c>
      <c r="G268" s="165" t="s">
        <v>803</v>
      </c>
      <c r="H268" s="165" t="s">
        <v>804</v>
      </c>
      <c r="I268" s="254" t="s">
        <v>805</v>
      </c>
      <c r="J268" s="288"/>
      <c r="K268" s="531" t="s">
        <v>850</v>
      </c>
      <c r="L268" s="402" t="s">
        <v>831</v>
      </c>
      <c r="M268" s="254" t="s">
        <v>676</v>
      </c>
      <c r="N268" s="254" t="s">
        <v>677</v>
      </c>
      <c r="O268" s="165" t="s">
        <v>803</v>
      </c>
      <c r="P268" s="165" t="s">
        <v>804</v>
      </c>
      <c r="Q268" s="254" t="s">
        <v>805</v>
      </c>
      <c r="R268" s="133"/>
      <c r="S268" s="133"/>
      <c r="T268" s="133"/>
      <c r="U268" s="133"/>
      <c r="V268" s="133"/>
      <c r="W268" s="133"/>
      <c r="X268" s="133"/>
      <c r="Y268" s="133"/>
      <c r="Z268" s="133"/>
      <c r="AJ268" s="283"/>
      <c r="AK268" s="283"/>
      <c r="AL268" s="283"/>
      <c r="AM268" s="283"/>
      <c r="AN268" s="283"/>
    </row>
    <row r="269" spans="1:40" x14ac:dyDescent="0.3">
      <c r="A269" s="288"/>
      <c r="B269" s="866" t="s">
        <v>1147</v>
      </c>
      <c r="C269" s="168"/>
      <c r="D269" s="128">
        <f>(Summary!C$16*'Unit costs'!$C148)+(Summary!C$17*'Unit costs'!$D148)+(Summary!C$18*'Unit costs'!$E148)</f>
        <v>233.59821621698711</v>
      </c>
      <c r="E269" s="128">
        <f>(Summary!D$16*'Unit costs'!$C148)+(Summary!D$17*'Unit costs'!$D148)+(Summary!D$18*'Unit costs'!$E148)</f>
        <v>214.51166819599376</v>
      </c>
      <c r="F269" s="128">
        <f>(Summary!E$16*'Unit costs'!$C148)+(Summary!E$17*'Unit costs'!$D148)+(Summary!E$18*'Unit costs'!$E148)</f>
        <v>214.02861392883091</v>
      </c>
      <c r="G269" s="128">
        <f>(Summary!F$16*'Unit costs'!$C148)+(Summary!F$17*'Unit costs'!$D148)+(Summary!F$18*'Unit costs'!$E148)</f>
        <v>196.91583945944336</v>
      </c>
      <c r="H269" s="128">
        <f>(Summary!G$16*'Unit costs'!$C148)+(Summary!G$17*'Unit costs'!$D148)+(Summary!G$18*'Unit costs'!$E148)</f>
        <v>198.81446407010924</v>
      </c>
      <c r="I269" s="128">
        <f>(Summary!H$16*'Unit costs'!$C148)+(Summary!H$17*'Unit costs'!$D148)+(Summary!H$18*'Unit costs'!$E148)</f>
        <v>200.7313948537174</v>
      </c>
      <c r="J269" s="288"/>
      <c r="K269" s="547">
        <f>'Unit costs'!G148</f>
        <v>490.22751893420599</v>
      </c>
      <c r="L269" s="289">
        <f>(D269*$K269)/1000</f>
        <v>114.5162739635098</v>
      </c>
      <c r="M269" s="289">
        <f t="shared" ref="M269:Q293" si="105">(E269*$K269)/1000</f>
        <v>105.15952288215964</v>
      </c>
      <c r="N269" s="289">
        <f t="shared" si="105"/>
        <v>104.92271638725782</v>
      </c>
      <c r="O269" s="289">
        <f t="shared" si="105"/>
        <v>96.533563417049336</v>
      </c>
      <c r="P269" s="289">
        <f t="shared" si="105"/>
        <v>97.464321449323492</v>
      </c>
      <c r="Q269" s="289">
        <f t="shared" si="105"/>
        <v>98.404053671340321</v>
      </c>
      <c r="R269" s="133"/>
      <c r="S269" s="133"/>
      <c r="T269" s="133"/>
      <c r="U269" s="133"/>
      <c r="V269" s="133"/>
      <c r="W269" s="133"/>
      <c r="X269" s="133"/>
      <c r="Y269" s="133"/>
      <c r="Z269" s="133"/>
      <c r="AJ269" s="283"/>
      <c r="AK269" s="283"/>
      <c r="AL269" s="283"/>
      <c r="AM269" s="283"/>
      <c r="AN269" s="283"/>
    </row>
    <row r="270" spans="1:40" x14ac:dyDescent="0.3">
      <c r="A270" s="288"/>
      <c r="B270" s="866" t="s">
        <v>1148</v>
      </c>
      <c r="C270" s="168"/>
      <c r="D270" s="128">
        <f>(Summary!C$16*'Unit costs'!$C149)+(Summary!C$17*'Unit costs'!$D149)+(Summary!C$18*'Unit costs'!$E149)</f>
        <v>39.761398505019088</v>
      </c>
      <c r="E270" s="128">
        <f>(Summary!D$16*'Unit costs'!$C149)+(Summary!D$17*'Unit costs'!$D149)+(Summary!D$18*'Unit costs'!$E149)</f>
        <v>36.512624373786174</v>
      </c>
      <c r="F270" s="128">
        <f>(Summary!E$16*'Unit costs'!$C149)+(Summary!E$17*'Unit costs'!$D149)+(Summary!E$18*'Unit costs'!$E149)</f>
        <v>36.43040237086484</v>
      </c>
      <c r="G270" s="128">
        <f>(Summary!F$16*'Unit costs'!$C149)+(Summary!F$17*'Unit costs'!$D149)+(Summary!F$18*'Unit costs'!$E149)</f>
        <v>33.517589695224402</v>
      </c>
      <c r="H270" s="128">
        <f>(Summary!G$16*'Unit costs'!$C149)+(Summary!G$17*'Unit costs'!$D149)+(Summary!G$18*'Unit costs'!$E149)</f>
        <v>33.840759841720725</v>
      </c>
      <c r="I270" s="128">
        <f>(Summary!H$16*'Unit costs'!$C149)+(Summary!H$17*'Unit costs'!$D149)+(Summary!H$18*'Unit costs'!$E149)</f>
        <v>34.167045932547651</v>
      </c>
      <c r="J270" s="288"/>
      <c r="K270" s="547">
        <f>'Unit costs'!G149</f>
        <v>516.386144759285</v>
      </c>
      <c r="L270" s="289">
        <f t="shared" ref="L270:Q294" si="106">(D270*$K270)/1000</f>
        <v>20.532235284244404</v>
      </c>
      <c r="M270" s="289">
        <f t="shared" si="105"/>
        <v>18.854613335423345</v>
      </c>
      <c r="N270" s="289">
        <f t="shared" si="105"/>
        <v>18.812155032320412</v>
      </c>
      <c r="O270" s="289">
        <f t="shared" si="105"/>
        <v>17.308018924340466</v>
      </c>
      <c r="P270" s="289">
        <f t="shared" si="105"/>
        <v>17.474899510390998</v>
      </c>
      <c r="Q270" s="289">
        <f t="shared" si="105"/>
        <v>17.64338912692169</v>
      </c>
      <c r="R270" s="133"/>
      <c r="S270" s="133"/>
      <c r="T270" s="133"/>
      <c r="U270" s="133"/>
      <c r="V270" s="133"/>
      <c r="W270" s="133"/>
      <c r="X270" s="133"/>
      <c r="Y270" s="133"/>
      <c r="Z270" s="133"/>
      <c r="AJ270" s="283"/>
      <c r="AK270" s="283"/>
      <c r="AL270" s="283"/>
      <c r="AM270" s="283"/>
      <c r="AN270" s="283"/>
    </row>
    <row r="271" spans="1:40" x14ac:dyDescent="0.3">
      <c r="A271" s="288"/>
      <c r="B271" s="866" t="s">
        <v>974</v>
      </c>
      <c r="C271" s="168"/>
      <c r="D271" s="128">
        <f>(Summary!C$16*'Unit costs'!$C150)+(Summary!C$17*'Unit costs'!$D150)+(Summary!C$18*'Unit costs'!$E150)</f>
        <v>22.720799145725191</v>
      </c>
      <c r="E271" s="128">
        <f>(Summary!D$16*'Unit costs'!$C150)+(Summary!D$17*'Unit costs'!$D150)+(Summary!D$18*'Unit costs'!$E150)</f>
        <v>20.864356785020671</v>
      </c>
      <c r="F271" s="128">
        <f>(Summary!E$16*'Unit costs'!$C150)+(Summary!E$17*'Unit costs'!$D150)+(Summary!E$18*'Unit costs'!$E150)</f>
        <v>20.817372783351335</v>
      </c>
      <c r="G271" s="128">
        <f>(Summary!F$16*'Unit costs'!$C150)+(Summary!F$17*'Unit costs'!$D150)+(Summary!F$18*'Unit costs'!$E150)</f>
        <v>19.152908397271087</v>
      </c>
      <c r="H271" s="128">
        <f>(Summary!G$16*'Unit costs'!$C150)+(Summary!G$17*'Unit costs'!$D150)+(Summary!G$18*'Unit costs'!$E150)</f>
        <v>19.337577052411842</v>
      </c>
      <c r="I271" s="128">
        <f>(Summary!H$16*'Unit costs'!$C150)+(Summary!H$17*'Unit costs'!$D150)+(Summary!H$18*'Unit costs'!$E150)</f>
        <v>19.524026247170085</v>
      </c>
      <c r="J271" s="288"/>
      <c r="K271" s="547">
        <f>'Unit costs'!G150</f>
        <v>473.90868342201799</v>
      </c>
      <c r="L271" s="289">
        <f t="shared" si="106"/>
        <v>10.767584009446736</v>
      </c>
      <c r="M271" s="289">
        <f t="shared" si="105"/>
        <v>9.8877998544363948</v>
      </c>
      <c r="N271" s="289">
        <f t="shared" si="105"/>
        <v>9.8655337280633812</v>
      </c>
      <c r="O271" s="289">
        <f t="shared" si="105"/>
        <v>9.0767296022532538</v>
      </c>
      <c r="P271" s="289">
        <f t="shared" si="105"/>
        <v>9.1642456814803221</v>
      </c>
      <c r="Q271" s="289">
        <f t="shared" si="105"/>
        <v>9.2526055738932982</v>
      </c>
      <c r="R271" s="133"/>
      <c r="S271" s="133"/>
      <c r="T271" s="133"/>
      <c r="U271" s="133"/>
      <c r="V271" s="133"/>
      <c r="W271" s="133"/>
      <c r="X271" s="133"/>
      <c r="Y271" s="133"/>
      <c r="Z271" s="133"/>
      <c r="AJ271" s="283"/>
      <c r="AK271" s="283"/>
      <c r="AL271" s="283"/>
      <c r="AM271" s="283"/>
      <c r="AN271" s="283"/>
    </row>
    <row r="272" spans="1:40" x14ac:dyDescent="0.3">
      <c r="A272" s="288"/>
      <c r="B272" s="866" t="s">
        <v>975</v>
      </c>
      <c r="C272" s="168"/>
      <c r="D272" s="128">
        <f>(Summary!C$16*'Unit costs'!$C151)+(Summary!C$17*'Unit costs'!$D151)+(Summary!C$18*'Unit costs'!$E151)</f>
        <v>205.90724225813454</v>
      </c>
      <c r="E272" s="128">
        <f>(Summary!D$16*'Unit costs'!$C151)+(Summary!D$17*'Unit costs'!$D151)+(Summary!D$18*'Unit costs'!$E151)</f>
        <v>189.08323336424982</v>
      </c>
      <c r="F272" s="128">
        <f>(Summary!E$16*'Unit costs'!$C151)+(Summary!E$17*'Unit costs'!$D151)+(Summary!E$18*'Unit costs'!$E151)</f>
        <v>188.65744084912149</v>
      </c>
      <c r="G272" s="128">
        <f>(Summary!F$16*'Unit costs'!$C151)+(Summary!F$17*'Unit costs'!$D151)+(Summary!F$18*'Unit costs'!$E151)</f>
        <v>173.57323235026922</v>
      </c>
      <c r="H272" s="128">
        <f>(Summary!G$16*'Unit costs'!$C151)+(Summary!G$17*'Unit costs'!$D151)+(Summary!G$18*'Unit costs'!$E151)</f>
        <v>175.24679203748229</v>
      </c>
      <c r="I272" s="128">
        <f>(Summary!H$16*'Unit costs'!$C151)+(Summary!H$17*'Unit costs'!$D151)+(Summary!H$18*'Unit costs'!$E151)</f>
        <v>176.93648786497889</v>
      </c>
      <c r="J272" s="288"/>
      <c r="K272" s="547">
        <f>'Unit costs'!G151</f>
        <v>3579</v>
      </c>
      <c r="L272" s="289">
        <f t="shared" si="106"/>
        <v>736.94202004186354</v>
      </c>
      <c r="M272" s="289">
        <f t="shared" si="105"/>
        <v>676.72889221065009</v>
      </c>
      <c r="N272" s="289">
        <f t="shared" si="105"/>
        <v>675.20498079900585</v>
      </c>
      <c r="O272" s="289">
        <f t="shared" si="105"/>
        <v>621.21859858161349</v>
      </c>
      <c r="P272" s="289">
        <f t="shared" si="105"/>
        <v>627.20826870214921</v>
      </c>
      <c r="Q272" s="289">
        <f t="shared" si="105"/>
        <v>633.25569006875946</v>
      </c>
      <c r="R272" s="133"/>
      <c r="S272" s="133"/>
      <c r="T272" s="133"/>
      <c r="U272" s="133"/>
      <c r="V272" s="133"/>
      <c r="W272" s="133"/>
      <c r="X272" s="133"/>
      <c r="Y272" s="133"/>
      <c r="Z272" s="133"/>
      <c r="AJ272" s="283"/>
      <c r="AK272" s="283"/>
      <c r="AL272" s="283"/>
      <c r="AM272" s="283"/>
      <c r="AN272" s="283"/>
    </row>
    <row r="273" spans="1:40" x14ac:dyDescent="0.3">
      <c r="A273" s="288"/>
      <c r="B273" s="866" t="s">
        <v>976</v>
      </c>
      <c r="C273" s="168"/>
      <c r="D273" s="128">
        <f>(Summary!C$16*'Unit costs'!$C152)+(Summary!C$17*'Unit costs'!$D152)+(Summary!C$18*'Unit costs'!$E152)</f>
        <v>17.750624332597805</v>
      </c>
      <c r="E273" s="128">
        <f>(Summary!D$16*'Unit costs'!$C152)+(Summary!D$17*'Unit costs'!$D152)+(Summary!D$18*'Unit costs'!$E152)</f>
        <v>16.300278738297401</v>
      </c>
      <c r="F273" s="128">
        <f>(Summary!E$16*'Unit costs'!$C152)+(Summary!E$17*'Unit costs'!$D152)+(Summary!E$18*'Unit costs'!$E152)</f>
        <v>16.26357248699323</v>
      </c>
      <c r="G273" s="128">
        <f>(Summary!F$16*'Unit costs'!$C152)+(Summary!F$17*'Unit costs'!$D152)+(Summary!F$18*'Unit costs'!$E152)</f>
        <v>14.963209685368037</v>
      </c>
      <c r="H273" s="128">
        <f>(Summary!G$16*'Unit costs'!$C152)+(Summary!G$17*'Unit costs'!$D152)+(Summary!G$18*'Unit costs'!$E152)</f>
        <v>15.107482072196751</v>
      </c>
      <c r="I273" s="128">
        <f>(Summary!H$16*'Unit costs'!$C152)+(Summary!H$17*'Unit costs'!$D152)+(Summary!H$18*'Unit costs'!$E152)</f>
        <v>15.253145505601628</v>
      </c>
      <c r="J273" s="288"/>
      <c r="K273" s="547">
        <f>'Unit costs'!G152</f>
        <v>816.73365353348845</v>
      </c>
      <c r="L273" s="289">
        <f t="shared" si="106"/>
        <v>14.497532263663047</v>
      </c>
      <c r="M273" s="289">
        <f t="shared" si="105"/>
        <v>13.312986207543878</v>
      </c>
      <c r="N273" s="289">
        <f t="shared" si="105"/>
        <v>13.283006976808704</v>
      </c>
      <c r="O273" s="289">
        <f t="shared" si="105"/>
        <v>12.220956914918316</v>
      </c>
      <c r="P273" s="289">
        <f t="shared" si="105"/>
        <v>12.338789028516929</v>
      </c>
      <c r="Q273" s="289">
        <f t="shared" si="105"/>
        <v>12.457757256667927</v>
      </c>
      <c r="R273" s="133"/>
      <c r="S273" s="133"/>
      <c r="T273" s="133"/>
      <c r="U273" s="133"/>
      <c r="V273" s="133"/>
      <c r="W273" s="133"/>
      <c r="X273" s="133"/>
      <c r="Y273" s="133"/>
      <c r="Z273" s="133"/>
      <c r="AJ273" s="283"/>
      <c r="AK273" s="283"/>
      <c r="AL273" s="283"/>
      <c r="AM273" s="283"/>
      <c r="AN273" s="283"/>
    </row>
    <row r="274" spans="1:40" x14ac:dyDescent="0.3">
      <c r="A274" s="288"/>
      <c r="B274" s="866" t="s">
        <v>1149</v>
      </c>
      <c r="C274" s="168"/>
      <c r="D274" s="128">
        <f>(Summary!C$16*'Unit costs'!$C153)+(Summary!C$17*'Unit costs'!$D153)+(Summary!C$18*'Unit costs'!$E153)</f>
        <v>17.040599359293889</v>
      </c>
      <c r="E274" s="128">
        <f>(Summary!D$16*'Unit costs'!$C153)+(Summary!D$17*'Unit costs'!$D153)+(Summary!D$18*'Unit costs'!$E153)</f>
        <v>15.648267588765501</v>
      </c>
      <c r="F274" s="128">
        <f>(Summary!E$16*'Unit costs'!$C153)+(Summary!E$17*'Unit costs'!$D153)+(Summary!E$18*'Unit costs'!$E153)</f>
        <v>15.613029587513498</v>
      </c>
      <c r="G274" s="128">
        <f>(Summary!F$16*'Unit costs'!$C153)+(Summary!F$17*'Unit costs'!$D153)+(Summary!F$18*'Unit costs'!$E153)</f>
        <v>14.364681297953314</v>
      </c>
      <c r="H274" s="128">
        <f>(Summary!G$16*'Unit costs'!$C153)+(Summary!G$17*'Unit costs'!$D153)+(Summary!G$18*'Unit costs'!$E153)</f>
        <v>14.503182789308878</v>
      </c>
      <c r="I274" s="128">
        <f>(Summary!H$16*'Unit costs'!$C153)+(Summary!H$17*'Unit costs'!$D153)+(Summary!H$18*'Unit costs'!$E153)</f>
        <v>14.643019685377562</v>
      </c>
      <c r="J274" s="288"/>
      <c r="K274" s="547">
        <f>'Unit costs'!G153</f>
        <v>574.68768890605156</v>
      </c>
      <c r="L274" s="289">
        <f t="shared" si="106"/>
        <v>9.793022663366548</v>
      </c>
      <c r="M274" s="289">
        <f t="shared" si="105"/>
        <v>8.9928667359711181</v>
      </c>
      <c r="N274" s="289">
        <f t="shared" si="105"/>
        <v>8.9726158904699354</v>
      </c>
      <c r="O274" s="289">
        <f t="shared" si="105"/>
        <v>8.2552054969927724</v>
      </c>
      <c r="P274" s="289">
        <f t="shared" si="105"/>
        <v>8.3348005989699416</v>
      </c>
      <c r="Q274" s="289">
        <f t="shared" si="105"/>
        <v>8.4151631415954498</v>
      </c>
      <c r="R274" s="133"/>
      <c r="S274" s="133"/>
      <c r="T274" s="133"/>
      <c r="U274" s="133"/>
      <c r="V274" s="133"/>
      <c r="W274" s="133"/>
      <c r="X274" s="133"/>
      <c r="Y274" s="133"/>
      <c r="Z274" s="133"/>
      <c r="AJ274" s="283"/>
      <c r="AK274" s="283"/>
      <c r="AL274" s="283"/>
      <c r="AM274" s="283"/>
      <c r="AN274" s="283"/>
    </row>
    <row r="275" spans="1:40" x14ac:dyDescent="0.3">
      <c r="A275" s="288"/>
      <c r="B275" s="866" t="s">
        <v>1150</v>
      </c>
      <c r="C275" s="168"/>
      <c r="D275" s="128">
        <f>(Summary!C$16*'Unit costs'!$C154)+(Summary!C$17*'Unit costs'!$D154)+(Summary!C$18*'Unit costs'!$E154)</f>
        <v>34.791223691891702</v>
      </c>
      <c r="E275" s="128">
        <f>(Summary!D$16*'Unit costs'!$C154)+(Summary!D$17*'Unit costs'!$D154)+(Summary!D$18*'Unit costs'!$E154)</f>
        <v>31.948546327062903</v>
      </c>
      <c r="F275" s="128">
        <f>(Summary!E$16*'Unit costs'!$C154)+(Summary!E$17*'Unit costs'!$D154)+(Summary!E$18*'Unit costs'!$E154)</f>
        <v>31.876602074506732</v>
      </c>
      <c r="G275" s="128">
        <f>(Summary!F$16*'Unit costs'!$C154)+(Summary!F$17*'Unit costs'!$D154)+(Summary!F$18*'Unit costs'!$E154)</f>
        <v>29.327890983321353</v>
      </c>
      <c r="H275" s="128">
        <f>(Summary!G$16*'Unit costs'!$C154)+(Summary!G$17*'Unit costs'!$D154)+(Summary!G$18*'Unit costs'!$E154)</f>
        <v>29.610664861505633</v>
      </c>
      <c r="I275" s="128">
        <f>(Summary!H$16*'Unit costs'!$C154)+(Summary!H$17*'Unit costs'!$D154)+(Summary!H$18*'Unit costs'!$E154)</f>
        <v>29.896165190979193</v>
      </c>
      <c r="J275" s="288"/>
      <c r="K275" s="547">
        <f>'Unit costs'!G154</f>
        <v>574.68768890605156</v>
      </c>
      <c r="L275" s="289">
        <f t="shared" si="106"/>
        <v>19.994087937706709</v>
      </c>
      <c r="M275" s="289">
        <f t="shared" si="105"/>
        <v>18.360436252607702</v>
      </c>
      <c r="N275" s="289">
        <f t="shared" si="105"/>
        <v>18.319090776376122</v>
      </c>
      <c r="O275" s="289">
        <f t="shared" si="105"/>
        <v>16.854377889693577</v>
      </c>
      <c r="P275" s="289">
        <f t="shared" si="105"/>
        <v>17.016884556230302</v>
      </c>
      <c r="Q275" s="289">
        <f t="shared" si="105"/>
        <v>17.180958080757378</v>
      </c>
      <c r="R275" s="133"/>
      <c r="S275" s="133"/>
      <c r="T275" s="133"/>
      <c r="U275" s="133"/>
      <c r="V275" s="133"/>
      <c r="W275" s="133"/>
      <c r="X275" s="133"/>
      <c r="Y275" s="133"/>
      <c r="Z275" s="133"/>
      <c r="AJ275" s="283"/>
      <c r="AK275" s="283"/>
      <c r="AL275" s="283"/>
      <c r="AM275" s="283"/>
      <c r="AN275" s="283"/>
    </row>
    <row r="276" spans="1:40" x14ac:dyDescent="0.3">
      <c r="A276" s="288"/>
      <c r="B276" s="866" t="s">
        <v>977</v>
      </c>
      <c r="C276" s="168"/>
      <c r="D276" s="128">
        <f>(Summary!C$16*'Unit costs'!$C155)+(Summary!C$17*'Unit costs'!$D155)+(Summary!C$18*'Unit costs'!$E155)</f>
        <v>22.010774172421275</v>
      </c>
      <c r="E276" s="128">
        <f>(Summary!D$16*'Unit costs'!$C155)+(Summary!D$17*'Unit costs'!$D155)+(Summary!D$18*'Unit costs'!$E155)</f>
        <v>20.212345635488774</v>
      </c>
      <c r="F276" s="128">
        <f>(Summary!E$16*'Unit costs'!$C155)+(Summary!E$17*'Unit costs'!$D155)+(Summary!E$18*'Unit costs'!$E155)</f>
        <v>20.166829883871603</v>
      </c>
      <c r="G276" s="128">
        <f>(Summary!F$16*'Unit costs'!$C155)+(Summary!F$17*'Unit costs'!$D155)+(Summary!F$18*'Unit costs'!$E155)</f>
        <v>18.554380009856363</v>
      </c>
      <c r="H276" s="128">
        <f>(Summary!G$16*'Unit costs'!$C155)+(Summary!G$17*'Unit costs'!$D155)+(Summary!G$18*'Unit costs'!$E155)</f>
        <v>18.733277769523969</v>
      </c>
      <c r="I276" s="128">
        <f>(Summary!H$16*'Unit costs'!$C155)+(Summary!H$17*'Unit costs'!$D155)+(Summary!H$18*'Unit costs'!$E155)</f>
        <v>18.913900426946018</v>
      </c>
      <c r="J276" s="288"/>
      <c r="K276" s="547">
        <f>'Unit costs'!G155</f>
        <v>574.68768890605156</v>
      </c>
      <c r="L276" s="289">
        <f t="shared" si="106"/>
        <v>12.649320940181793</v>
      </c>
      <c r="M276" s="289">
        <f t="shared" si="105"/>
        <v>11.615786200629362</v>
      </c>
      <c r="N276" s="289">
        <f t="shared" si="105"/>
        <v>11.589628858523668</v>
      </c>
      <c r="O276" s="289">
        <f t="shared" si="105"/>
        <v>10.662973766948996</v>
      </c>
      <c r="P276" s="289">
        <f t="shared" si="105"/>
        <v>10.765784107002842</v>
      </c>
      <c r="Q276" s="289">
        <f t="shared" si="105"/>
        <v>10.869585724560789</v>
      </c>
      <c r="R276" s="133"/>
      <c r="S276" s="133"/>
      <c r="T276" s="133"/>
      <c r="U276" s="133"/>
      <c r="V276" s="133"/>
      <c r="W276" s="133"/>
      <c r="X276" s="133"/>
      <c r="Y276" s="133"/>
      <c r="Z276" s="133"/>
      <c r="AJ276" s="283"/>
      <c r="AK276" s="283"/>
      <c r="AL276" s="283"/>
      <c r="AM276" s="283"/>
      <c r="AN276" s="283"/>
    </row>
    <row r="277" spans="1:40" x14ac:dyDescent="0.3">
      <c r="A277" s="288"/>
      <c r="B277" s="866" t="s">
        <v>978</v>
      </c>
      <c r="C277" s="168"/>
      <c r="D277" s="128">
        <f>(Summary!C$16*'Unit costs'!$C156)+(Summary!C$17*'Unit costs'!$D156)+(Summary!C$18*'Unit costs'!$E156)</f>
        <v>13.490474492774331</v>
      </c>
      <c r="E277" s="128">
        <f>(Summary!D$16*'Unit costs'!$C156)+(Summary!D$17*'Unit costs'!$D156)+(Summary!D$18*'Unit costs'!$E156)</f>
        <v>12.388211841106022</v>
      </c>
      <c r="F277" s="128">
        <f>(Summary!E$16*'Unit costs'!$C156)+(Summary!E$17*'Unit costs'!$D156)+(Summary!E$18*'Unit costs'!$E156)</f>
        <v>12.360315090114854</v>
      </c>
      <c r="G277" s="128">
        <f>(Summary!F$16*'Unit costs'!$C156)+(Summary!F$17*'Unit costs'!$D156)+(Summary!F$18*'Unit costs'!$E156)</f>
        <v>11.372039360879707</v>
      </c>
      <c r="H277" s="128">
        <f>(Summary!G$16*'Unit costs'!$C156)+(Summary!G$17*'Unit costs'!$D156)+(Summary!G$18*'Unit costs'!$E156)</f>
        <v>11.481686374869529</v>
      </c>
      <c r="I277" s="128">
        <f>(Summary!H$16*'Unit costs'!$C156)+(Summary!H$17*'Unit costs'!$D156)+(Summary!H$18*'Unit costs'!$E156)</f>
        <v>11.592390584257236</v>
      </c>
      <c r="J277" s="288"/>
      <c r="K277" s="547">
        <f>'Unit costs'!G156</f>
        <v>574.68768890605156</v>
      </c>
      <c r="L277" s="289">
        <f t="shared" si="106"/>
        <v>7.7528096084985183</v>
      </c>
      <c r="M277" s="289">
        <f t="shared" si="105"/>
        <v>7.119352832643802</v>
      </c>
      <c r="N277" s="289">
        <f t="shared" si="105"/>
        <v>7.1033209132886999</v>
      </c>
      <c r="O277" s="289">
        <f t="shared" si="105"/>
        <v>6.5353710184526106</v>
      </c>
      <c r="P277" s="289">
        <f t="shared" si="105"/>
        <v>6.5983838075178713</v>
      </c>
      <c r="Q277" s="289">
        <f t="shared" si="105"/>
        <v>6.6620041537630641</v>
      </c>
      <c r="R277" s="133"/>
      <c r="S277" s="133"/>
      <c r="T277" s="133"/>
      <c r="U277" s="133"/>
      <c r="V277" s="133"/>
      <c r="W277" s="133"/>
      <c r="X277" s="133"/>
      <c r="Y277" s="133"/>
      <c r="Z277" s="133"/>
      <c r="AJ277" s="283"/>
      <c r="AK277" s="283"/>
      <c r="AL277" s="283"/>
      <c r="AM277" s="283"/>
      <c r="AN277" s="283"/>
    </row>
    <row r="278" spans="1:40" x14ac:dyDescent="0.3">
      <c r="A278" s="288"/>
      <c r="B278" s="866" t="s">
        <v>979</v>
      </c>
      <c r="C278" s="168"/>
      <c r="D278" s="128">
        <f>(Summary!C$16*'Unit costs'!$C157)+(Summary!C$17*'Unit costs'!$D157)+(Summary!C$18*'Unit costs'!$E157)</f>
        <v>31.951123798676047</v>
      </c>
      <c r="E278" s="128">
        <f>(Summary!D$16*'Unit costs'!$C157)+(Summary!D$17*'Unit costs'!$D157)+(Summary!D$18*'Unit costs'!$E157)</f>
        <v>29.340501728935315</v>
      </c>
      <c r="F278" s="128">
        <f>(Summary!E$16*'Unit costs'!$C157)+(Summary!E$17*'Unit costs'!$D157)+(Summary!E$18*'Unit costs'!$E157)</f>
        <v>29.274430476587813</v>
      </c>
      <c r="G278" s="128">
        <f>(Summary!F$16*'Unit costs'!$C157)+(Summary!F$17*'Unit costs'!$D157)+(Summary!F$18*'Unit costs'!$E157)</f>
        <v>26.933777433662467</v>
      </c>
      <c r="H278" s="128">
        <f>(Summary!G$16*'Unit costs'!$C157)+(Summary!G$17*'Unit costs'!$D157)+(Summary!G$18*'Unit costs'!$E157)</f>
        <v>27.193467729954151</v>
      </c>
      <c r="I278" s="128">
        <f>(Summary!H$16*'Unit costs'!$C157)+(Summary!H$17*'Unit costs'!$D157)+(Summary!H$18*'Unit costs'!$E157)</f>
        <v>27.455661910082927</v>
      </c>
      <c r="J278" s="288"/>
      <c r="K278" s="547">
        <f>'Unit costs'!G157</f>
        <v>816.73365353348845</v>
      </c>
      <c r="L278" s="289">
        <f t="shared" si="106"/>
        <v>26.095558074593477</v>
      </c>
      <c r="M278" s="289">
        <f t="shared" si="105"/>
        <v>23.963375173578974</v>
      </c>
      <c r="N278" s="289">
        <f t="shared" si="105"/>
        <v>23.909412558255667</v>
      </c>
      <c r="O278" s="289">
        <f t="shared" si="105"/>
        <v>21.997722446852972</v>
      </c>
      <c r="P278" s="289">
        <f t="shared" si="105"/>
        <v>22.20982025133047</v>
      </c>
      <c r="Q278" s="289">
        <f t="shared" si="105"/>
        <v>22.423963062002265</v>
      </c>
      <c r="R278" s="133"/>
      <c r="S278" s="133"/>
      <c r="T278" s="133"/>
      <c r="U278" s="133"/>
      <c r="V278" s="133"/>
      <c r="W278" s="133"/>
      <c r="X278" s="133"/>
      <c r="Y278" s="133"/>
      <c r="Z278" s="133"/>
      <c r="AJ278" s="283"/>
      <c r="AK278" s="283"/>
      <c r="AL278" s="283"/>
      <c r="AM278" s="283"/>
      <c r="AN278" s="283"/>
    </row>
    <row r="279" spans="1:40" x14ac:dyDescent="0.3">
      <c r="A279" s="288"/>
      <c r="B279" s="866" t="s">
        <v>980</v>
      </c>
      <c r="C279" s="168"/>
      <c r="D279" s="128">
        <f>(Summary!C$16*'Unit costs'!$C158)+(Summary!C$17*'Unit costs'!$D158)+(Summary!C$18*'Unit costs'!$E158)</f>
        <v>132.06464503452764</v>
      </c>
      <c r="E279" s="128">
        <f>(Summary!D$16*'Unit costs'!$C158)+(Summary!D$17*'Unit costs'!$D158)+(Summary!D$18*'Unit costs'!$E158)</f>
        <v>121.27407381293264</v>
      </c>
      <c r="F279" s="128">
        <f>(Summary!E$16*'Unit costs'!$C158)+(Summary!E$17*'Unit costs'!$D158)+(Summary!E$18*'Unit costs'!$E158)</f>
        <v>121.00097930322963</v>
      </c>
      <c r="G279" s="128">
        <f>(Summary!F$16*'Unit costs'!$C158)+(Summary!F$17*'Unit costs'!$D158)+(Summary!F$18*'Unit costs'!$E158)</f>
        <v>111.32628005913818</v>
      </c>
      <c r="H279" s="128">
        <f>(Summary!G$16*'Unit costs'!$C158)+(Summary!G$17*'Unit costs'!$D158)+(Summary!G$18*'Unit costs'!$E158)</f>
        <v>112.39966661714381</v>
      </c>
      <c r="I279" s="128">
        <f>(Summary!H$16*'Unit costs'!$C158)+(Summary!H$17*'Unit costs'!$D158)+(Summary!H$18*'Unit costs'!$E158)</f>
        <v>113.4834025616761</v>
      </c>
      <c r="J279" s="288"/>
      <c r="K279" s="547">
        <f>'Unit costs'!G158</f>
        <v>889.89221305826447</v>
      </c>
      <c r="L279" s="289">
        <f t="shared" si="106"/>
        <v>117.52329923652994</v>
      </c>
      <c r="M279" s="289">
        <f t="shared" si="105"/>
        <v>107.92085393198195</v>
      </c>
      <c r="N279" s="289">
        <f t="shared" si="105"/>
        <v>107.67782925436828</v>
      </c>
      <c r="O279" s="289">
        <f t="shared" si="105"/>
        <v>99.068389733370608</v>
      </c>
      <c r="P279" s="289">
        <f t="shared" si="105"/>
        <v>100.02358807294124</v>
      </c>
      <c r="Q279" s="289">
        <f t="shared" si="105"/>
        <v>100.98799625099187</v>
      </c>
      <c r="R279" s="133"/>
      <c r="S279" s="133"/>
      <c r="T279" s="133"/>
      <c r="U279" s="133"/>
      <c r="V279" s="133"/>
      <c r="W279" s="133"/>
      <c r="X279" s="133"/>
      <c r="Y279" s="133"/>
      <c r="Z279" s="133"/>
      <c r="AJ279" s="283"/>
      <c r="AK279" s="283"/>
      <c r="AL279" s="283"/>
      <c r="AM279" s="283"/>
      <c r="AN279" s="283"/>
    </row>
    <row r="280" spans="1:40" x14ac:dyDescent="0.3">
      <c r="A280" s="288"/>
      <c r="B280" s="866" t="s">
        <v>981</v>
      </c>
      <c r="C280" s="168"/>
      <c r="D280" s="128">
        <f>(Summary!C$16*'Unit costs'!$C159)+(Summary!C$17*'Unit costs'!$D159)+(Summary!C$18*'Unit costs'!$E159)</f>
        <v>66.032322517263822</v>
      </c>
      <c r="E280" s="128">
        <f>(Summary!D$16*'Unit costs'!$C159)+(Summary!D$17*'Unit costs'!$D159)+(Summary!D$18*'Unit costs'!$E159)</f>
        <v>60.637036906466321</v>
      </c>
      <c r="F280" s="128">
        <f>(Summary!E$16*'Unit costs'!$C159)+(Summary!E$17*'Unit costs'!$D159)+(Summary!E$18*'Unit costs'!$E159)</f>
        <v>60.500489651614814</v>
      </c>
      <c r="G280" s="128">
        <f>(Summary!F$16*'Unit costs'!$C159)+(Summary!F$17*'Unit costs'!$D159)+(Summary!F$18*'Unit costs'!$E159)</f>
        <v>55.663140029569092</v>
      </c>
      <c r="H280" s="128">
        <f>(Summary!G$16*'Unit costs'!$C159)+(Summary!G$17*'Unit costs'!$D159)+(Summary!G$18*'Unit costs'!$E159)</f>
        <v>56.199833308571904</v>
      </c>
      <c r="I280" s="128">
        <f>(Summary!H$16*'Unit costs'!$C159)+(Summary!H$17*'Unit costs'!$D159)+(Summary!H$18*'Unit costs'!$E159)</f>
        <v>56.741701280838051</v>
      </c>
      <c r="J280" s="288"/>
      <c r="K280" s="547">
        <f>'Unit costs'!G159</f>
        <v>675.74984624749516</v>
      </c>
      <c r="L280" s="289">
        <f t="shared" si="106"/>
        <v>44.621331788406039</v>
      </c>
      <c r="M280" s="289">
        <f t="shared" si="105"/>
        <v>40.975468366448311</v>
      </c>
      <c r="N280" s="289">
        <f t="shared" si="105"/>
        <v>40.883196579976882</v>
      </c>
      <c r="O280" s="289">
        <f t="shared" si="105"/>
        <v>37.614358316634103</v>
      </c>
      <c r="P280" s="289">
        <f t="shared" si="105"/>
        <v>37.97702871740232</v>
      </c>
      <c r="Q280" s="289">
        <f t="shared" si="105"/>
        <v>38.343195916347611</v>
      </c>
      <c r="R280" s="133"/>
      <c r="S280" s="133"/>
      <c r="T280" s="133"/>
      <c r="U280" s="133"/>
      <c r="V280" s="133"/>
      <c r="W280" s="133"/>
      <c r="X280" s="133"/>
      <c r="Y280" s="133"/>
      <c r="Z280" s="133"/>
      <c r="AJ280" s="283"/>
      <c r="AK280" s="283"/>
      <c r="AL280" s="283"/>
      <c r="AM280" s="283"/>
      <c r="AN280" s="283"/>
    </row>
    <row r="281" spans="1:40" x14ac:dyDescent="0.3">
      <c r="A281" s="288"/>
      <c r="B281" s="866" t="s">
        <v>982</v>
      </c>
      <c r="C281" s="168"/>
      <c r="D281" s="128">
        <f>(Summary!C$16*'Unit costs'!$C160)+(Summary!C$17*'Unit costs'!$D160)+(Summary!C$18*'Unit costs'!$E160)</f>
        <v>48.281698184666027</v>
      </c>
      <c r="E281" s="128">
        <f>(Summary!D$16*'Unit costs'!$C160)+(Summary!D$17*'Unit costs'!$D160)+(Summary!D$18*'Unit costs'!$E160)</f>
        <v>44.33675816816892</v>
      </c>
      <c r="F281" s="128">
        <f>(Summary!E$16*'Unit costs'!$C160)+(Summary!E$17*'Unit costs'!$D160)+(Summary!E$18*'Unit costs'!$E160)</f>
        <v>44.236917164621588</v>
      </c>
      <c r="G281" s="128">
        <f>(Summary!F$16*'Unit costs'!$C160)+(Summary!F$17*'Unit costs'!$D160)+(Summary!F$18*'Unit costs'!$E160)</f>
        <v>40.699930344201057</v>
      </c>
      <c r="H281" s="128">
        <f>(Summary!G$16*'Unit costs'!$C160)+(Summary!G$17*'Unit costs'!$D160)+(Summary!G$18*'Unit costs'!$E160)</f>
        <v>41.092351236375158</v>
      </c>
      <c r="I281" s="128">
        <f>(Summary!H$16*'Unit costs'!$C160)+(Summary!H$17*'Unit costs'!$D160)+(Summary!H$18*'Unit costs'!$E160)</f>
        <v>41.488555775236428</v>
      </c>
      <c r="J281" s="288"/>
      <c r="K281" s="547">
        <f>'Unit costs'!G160</f>
        <v>1404.4744787340367</v>
      </c>
      <c r="L281" s="289">
        <f t="shared" si="106"/>
        <v>67.810412890302899</v>
      </c>
      <c r="M281" s="289">
        <f t="shared" si="105"/>
        <v>62.269845316996083</v>
      </c>
      <c r="N281" s="289">
        <f t="shared" si="105"/>
        <v>62.129621175582663</v>
      </c>
      <c r="O281" s="289">
        <f t="shared" si="105"/>
        <v>57.162013454683382</v>
      </c>
      <c r="P281" s="289">
        <f t="shared" si="105"/>
        <v>57.713158582663951</v>
      </c>
      <c r="Q281" s="289">
        <f t="shared" si="105"/>
        <v>58.269617745853189</v>
      </c>
      <c r="R281" s="133"/>
      <c r="S281" s="133"/>
      <c r="T281" s="133"/>
      <c r="U281" s="133"/>
      <c r="V281" s="133"/>
      <c r="W281" s="133"/>
      <c r="X281" s="133"/>
      <c r="Y281" s="133"/>
      <c r="Z281" s="133"/>
      <c r="AJ281" s="283"/>
      <c r="AK281" s="283"/>
      <c r="AL281" s="283"/>
      <c r="AM281" s="283"/>
      <c r="AN281" s="283"/>
    </row>
    <row r="282" spans="1:40" x14ac:dyDescent="0.3">
      <c r="A282" s="288"/>
      <c r="B282" s="866" t="s">
        <v>983</v>
      </c>
      <c r="C282" s="168"/>
      <c r="D282" s="128">
        <f>(Summary!C$16*'Unit costs'!$C161)+(Summary!C$17*'Unit costs'!$D161)+(Summary!C$18*'Unit costs'!$E161)</f>
        <v>15.620549412686069</v>
      </c>
      <c r="E282" s="128">
        <f>(Summary!D$16*'Unit costs'!$C161)+(Summary!D$17*'Unit costs'!$D161)+(Summary!D$18*'Unit costs'!$E161)</f>
        <v>14.344245289701711</v>
      </c>
      <c r="F282" s="128">
        <f>(Summary!E$16*'Unit costs'!$C161)+(Summary!E$17*'Unit costs'!$D161)+(Summary!E$18*'Unit costs'!$E161)</f>
        <v>14.311943788554043</v>
      </c>
      <c r="G282" s="128">
        <f>(Summary!F$16*'Unit costs'!$C161)+(Summary!F$17*'Unit costs'!$D161)+(Summary!F$18*'Unit costs'!$E161)</f>
        <v>13.167624523123873</v>
      </c>
      <c r="H282" s="128">
        <f>(Summary!G$16*'Unit costs'!$C161)+(Summary!G$17*'Unit costs'!$D161)+(Summary!G$18*'Unit costs'!$E161)</f>
        <v>13.294584223533141</v>
      </c>
      <c r="I282" s="128">
        <f>(Summary!H$16*'Unit costs'!$C161)+(Summary!H$17*'Unit costs'!$D161)+(Summary!H$18*'Unit costs'!$E161)</f>
        <v>13.422768044929432</v>
      </c>
      <c r="J282" s="288"/>
      <c r="K282" s="547">
        <f>'Unit costs'!G161</f>
        <v>473.90868342201799</v>
      </c>
      <c r="L282" s="289">
        <f t="shared" si="106"/>
        <v>7.402714006494632</v>
      </c>
      <c r="M282" s="289">
        <f t="shared" si="105"/>
        <v>6.7978623999250205</v>
      </c>
      <c r="N282" s="289">
        <f t="shared" si="105"/>
        <v>6.7825544380435749</v>
      </c>
      <c r="O282" s="289">
        <f t="shared" si="105"/>
        <v>6.2402516015491116</v>
      </c>
      <c r="P282" s="289">
        <f t="shared" si="105"/>
        <v>6.3004189060177227</v>
      </c>
      <c r="Q282" s="289">
        <f t="shared" si="105"/>
        <v>6.3611663320516421</v>
      </c>
      <c r="R282" s="133"/>
      <c r="S282" s="133"/>
      <c r="T282" s="133"/>
      <c r="U282" s="133"/>
      <c r="V282" s="133"/>
      <c r="W282" s="133"/>
      <c r="X282" s="133"/>
      <c r="Y282" s="133"/>
      <c r="Z282" s="133"/>
      <c r="AJ282" s="283"/>
      <c r="AK282" s="283"/>
      <c r="AL282" s="283"/>
      <c r="AM282" s="283"/>
      <c r="AN282" s="283"/>
    </row>
    <row r="283" spans="1:40" x14ac:dyDescent="0.3">
      <c r="A283" s="288"/>
      <c r="B283" s="866" t="s">
        <v>984</v>
      </c>
      <c r="C283" s="168"/>
      <c r="D283" s="128">
        <f>(Summary!C$16*'Unit costs'!$C162)+(Summary!C$17*'Unit costs'!$D162)+(Summary!C$18*'Unit costs'!$E162)</f>
        <v>14.200499466078243</v>
      </c>
      <c r="E283" s="128">
        <f>(Summary!D$16*'Unit costs'!$C162)+(Summary!D$17*'Unit costs'!$D162)+(Summary!D$18*'Unit costs'!$E162)</f>
        <v>13.040222990637918</v>
      </c>
      <c r="F283" s="128">
        <f>(Summary!E$16*'Unit costs'!$C162)+(Summary!E$17*'Unit costs'!$D162)+(Summary!E$18*'Unit costs'!$E162)</f>
        <v>13.010857989594584</v>
      </c>
      <c r="G283" s="128">
        <f>(Summary!F$16*'Unit costs'!$C162)+(Summary!F$17*'Unit costs'!$D162)+(Summary!F$18*'Unit costs'!$E162)</f>
        <v>11.97056774829443</v>
      </c>
      <c r="H283" s="128">
        <f>(Summary!G$16*'Unit costs'!$C162)+(Summary!G$17*'Unit costs'!$D162)+(Summary!G$18*'Unit costs'!$E162)</f>
        <v>12.0859856577574</v>
      </c>
      <c r="I283" s="128">
        <f>(Summary!H$16*'Unit costs'!$C162)+(Summary!H$17*'Unit costs'!$D162)+(Summary!H$18*'Unit costs'!$E162)</f>
        <v>12.202516404481303</v>
      </c>
      <c r="J283" s="288"/>
      <c r="K283" s="547">
        <f>'Unit costs'!G162</f>
        <v>473.90868342201799</v>
      </c>
      <c r="L283" s="289">
        <f t="shared" si="106"/>
        <v>6.7297400059042092</v>
      </c>
      <c r="M283" s="289">
        <f t="shared" si="105"/>
        <v>6.1798749090227458</v>
      </c>
      <c r="N283" s="289">
        <f t="shared" si="105"/>
        <v>6.1659585800396126</v>
      </c>
      <c r="O283" s="289">
        <f t="shared" si="105"/>
        <v>5.6729560014082834</v>
      </c>
      <c r="P283" s="289">
        <f t="shared" si="105"/>
        <v>5.7276535509252016</v>
      </c>
      <c r="Q283" s="289">
        <f t="shared" si="105"/>
        <v>5.7828784836833114</v>
      </c>
      <c r="R283" s="133"/>
      <c r="S283" s="133"/>
      <c r="T283" s="133"/>
      <c r="U283" s="133"/>
      <c r="V283" s="133"/>
      <c r="W283" s="133"/>
      <c r="X283" s="133"/>
      <c r="Y283" s="133"/>
      <c r="Z283" s="133"/>
      <c r="AJ283" s="283"/>
      <c r="AK283" s="283"/>
      <c r="AL283" s="283"/>
      <c r="AM283" s="283"/>
      <c r="AN283" s="283"/>
    </row>
    <row r="284" spans="1:40" x14ac:dyDescent="0.3">
      <c r="A284" s="288"/>
      <c r="B284" s="866" t="s">
        <v>985</v>
      </c>
      <c r="C284" s="168"/>
      <c r="D284" s="128">
        <f>(Summary!C$16*'Unit costs'!$C163)+(Summary!C$17*'Unit costs'!$D163)+(Summary!C$18*'Unit costs'!$E163)</f>
        <v>239.9884409767223</v>
      </c>
      <c r="E284" s="128">
        <f>(Summary!D$16*'Unit costs'!$C163)+(Summary!D$17*'Unit costs'!$D163)+(Summary!D$18*'Unit costs'!$E163)</f>
        <v>220.37976854178081</v>
      </c>
      <c r="F284" s="128">
        <f>(Summary!E$16*'Unit costs'!$C163)+(Summary!E$17*'Unit costs'!$D163)+(Summary!E$18*'Unit costs'!$E163)</f>
        <v>219.88350002414845</v>
      </c>
      <c r="G284" s="128">
        <f>(Summary!F$16*'Unit costs'!$C163)+(Summary!F$17*'Unit costs'!$D163)+(Summary!F$18*'Unit costs'!$E163)</f>
        <v>202.30259494617584</v>
      </c>
      <c r="H284" s="128">
        <f>(Summary!G$16*'Unit costs'!$C163)+(Summary!G$17*'Unit costs'!$D163)+(Summary!G$18*'Unit costs'!$E163)</f>
        <v>204.25315761610005</v>
      </c>
      <c r="I284" s="128">
        <f>(Summary!H$16*'Unit costs'!$C163)+(Summary!H$17*'Unit costs'!$D163)+(Summary!H$18*'Unit costs'!$E163)</f>
        <v>206.22252723573399</v>
      </c>
      <c r="J284" s="288"/>
      <c r="K284" s="547">
        <f>'Unit costs'!G163</f>
        <v>473.90868342201799</v>
      </c>
      <c r="L284" s="289">
        <f t="shared" si="106"/>
        <v>113.73260609978114</v>
      </c>
      <c r="M284" s="289">
        <f t="shared" si="105"/>
        <v>104.43988596248441</v>
      </c>
      <c r="N284" s="289">
        <f t="shared" si="105"/>
        <v>104.20470000266944</v>
      </c>
      <c r="O284" s="289">
        <f t="shared" si="105"/>
        <v>95.872956423799991</v>
      </c>
      <c r="P284" s="289">
        <f t="shared" si="105"/>
        <v>96.797345010635908</v>
      </c>
      <c r="Q284" s="289">
        <f t="shared" si="105"/>
        <v>97.730646374247939</v>
      </c>
      <c r="R284" s="133"/>
      <c r="S284" s="133"/>
      <c r="T284" s="133"/>
      <c r="U284" s="133"/>
      <c r="V284" s="133"/>
      <c r="W284" s="133"/>
      <c r="X284" s="133"/>
      <c r="Y284" s="133"/>
      <c r="Z284" s="133"/>
      <c r="AJ284" s="283"/>
      <c r="AK284" s="283"/>
      <c r="AL284" s="283"/>
      <c r="AM284" s="283"/>
      <c r="AN284" s="283"/>
    </row>
    <row r="285" spans="1:40" x14ac:dyDescent="0.3">
      <c r="A285" s="288"/>
      <c r="B285" s="866" t="s">
        <v>986</v>
      </c>
      <c r="C285" s="168"/>
      <c r="D285" s="128">
        <f>(Summary!C$16*'Unit costs'!$C164)+(Summary!C$17*'Unit costs'!$D164)+(Summary!C$18*'Unit costs'!$E164)</f>
        <v>33.371173745283869</v>
      </c>
      <c r="E285" s="128">
        <f>(Summary!D$16*'Unit costs'!$C164)+(Summary!D$17*'Unit costs'!$D164)+(Summary!D$18*'Unit costs'!$E164)</f>
        <v>30.644524027999108</v>
      </c>
      <c r="F285" s="128">
        <f>(Summary!E$16*'Unit costs'!$C164)+(Summary!E$17*'Unit costs'!$D164)+(Summary!E$18*'Unit costs'!$E164)</f>
        <v>30.575516275547269</v>
      </c>
      <c r="G285" s="128">
        <f>(Summary!F$16*'Unit costs'!$C164)+(Summary!F$17*'Unit costs'!$D164)+(Summary!F$18*'Unit costs'!$E164)</f>
        <v>28.130834208491908</v>
      </c>
      <c r="H285" s="128">
        <f>(Summary!G$16*'Unit costs'!$C164)+(Summary!G$17*'Unit costs'!$D164)+(Summary!G$18*'Unit costs'!$E164)</f>
        <v>28.402066295729888</v>
      </c>
      <c r="I285" s="128">
        <f>(Summary!H$16*'Unit costs'!$C164)+(Summary!H$17*'Unit costs'!$D164)+(Summary!H$18*'Unit costs'!$E164)</f>
        <v>28.675913550531057</v>
      </c>
      <c r="J285" s="288"/>
      <c r="K285" s="547">
        <f>'Unit costs'!G164</f>
        <v>473.90868342201799</v>
      </c>
      <c r="L285" s="289">
        <f t="shared" si="106"/>
        <v>15.814889013874891</v>
      </c>
      <c r="M285" s="289">
        <f t="shared" si="105"/>
        <v>14.522706036203452</v>
      </c>
      <c r="N285" s="289">
        <f t="shared" si="105"/>
        <v>14.49000266309309</v>
      </c>
      <c r="O285" s="289">
        <f t="shared" si="105"/>
        <v>13.331446603309464</v>
      </c>
      <c r="P285" s="289">
        <f t="shared" si="105"/>
        <v>13.459985844674222</v>
      </c>
      <c r="Q285" s="289">
        <f t="shared" si="105"/>
        <v>13.589764436655777</v>
      </c>
      <c r="R285" s="133"/>
      <c r="S285" s="133"/>
      <c r="T285" s="133"/>
      <c r="U285" s="133"/>
      <c r="V285" s="133"/>
      <c r="W285" s="133"/>
      <c r="X285" s="133"/>
      <c r="Y285" s="133"/>
      <c r="Z285" s="133"/>
      <c r="AJ285" s="283"/>
      <c r="AK285" s="283"/>
      <c r="AL285" s="283"/>
      <c r="AM285" s="283"/>
      <c r="AN285" s="283"/>
    </row>
    <row r="286" spans="1:40" x14ac:dyDescent="0.3">
      <c r="A286" s="288"/>
      <c r="B286" s="866" t="s">
        <v>987</v>
      </c>
      <c r="C286" s="168"/>
      <c r="D286" s="128">
        <f>(Summary!C$16*'Unit costs'!$C165)+(Summary!C$17*'Unit costs'!$D165)+(Summary!C$18*'Unit costs'!$E165)</f>
        <v>19.880699252509544</v>
      </c>
      <c r="E286" s="128">
        <f>(Summary!D$16*'Unit costs'!$C165)+(Summary!D$17*'Unit costs'!$D165)+(Summary!D$18*'Unit costs'!$E165)</f>
        <v>18.256312186893087</v>
      </c>
      <c r="F286" s="128">
        <f>(Summary!E$16*'Unit costs'!$C165)+(Summary!E$17*'Unit costs'!$D165)+(Summary!E$18*'Unit costs'!$E165)</f>
        <v>18.21520118543242</v>
      </c>
      <c r="G286" s="128">
        <f>(Summary!F$16*'Unit costs'!$C165)+(Summary!F$17*'Unit costs'!$D165)+(Summary!F$18*'Unit costs'!$E165)</f>
        <v>16.758794847612201</v>
      </c>
      <c r="H286" s="128">
        <f>(Summary!G$16*'Unit costs'!$C165)+(Summary!G$17*'Unit costs'!$D165)+(Summary!G$18*'Unit costs'!$E165)</f>
        <v>16.920379920860363</v>
      </c>
      <c r="I286" s="128">
        <f>(Summary!H$16*'Unit costs'!$C165)+(Summary!H$17*'Unit costs'!$D165)+(Summary!H$18*'Unit costs'!$E165)</f>
        <v>17.083522966273826</v>
      </c>
      <c r="J286" s="288"/>
      <c r="K286" s="547">
        <f>'Unit costs'!G165</f>
        <v>655.45281720014054</v>
      </c>
      <c r="L286" s="289">
        <f t="shared" si="106"/>
        <v>13.030860332966109</v>
      </c>
      <c r="M286" s="289">
        <f t="shared" si="105"/>
        <v>11.966151254584332</v>
      </c>
      <c r="N286" s="289">
        <f t="shared" si="105"/>
        <v>11.93920493285902</v>
      </c>
      <c r="O286" s="289">
        <f t="shared" si="105"/>
        <v>10.984599295746618</v>
      </c>
      <c r="P286" s="289">
        <f t="shared" si="105"/>
        <v>11.090510687224617</v>
      </c>
      <c r="Q286" s="289">
        <f t="shared" si="105"/>
        <v>11.19744325594748</v>
      </c>
      <c r="R286" s="133"/>
      <c r="S286" s="133"/>
      <c r="T286" s="133"/>
      <c r="U286" s="133"/>
      <c r="V286" s="133"/>
      <c r="W286" s="133"/>
      <c r="X286" s="133"/>
      <c r="Y286" s="133"/>
      <c r="Z286" s="133"/>
      <c r="AJ286" s="283"/>
      <c r="AK286" s="283"/>
      <c r="AL286" s="283"/>
      <c r="AM286" s="283"/>
      <c r="AN286" s="283"/>
    </row>
    <row r="287" spans="1:40" x14ac:dyDescent="0.3">
      <c r="A287" s="288"/>
      <c r="B287" s="866" t="s">
        <v>988</v>
      </c>
      <c r="C287" s="168"/>
      <c r="D287" s="128">
        <f>(Summary!C$16*'Unit costs'!$C166)+(Summary!C$17*'Unit costs'!$D166)+(Summary!C$18*'Unit costs'!$E166)</f>
        <v>35.501248665195611</v>
      </c>
      <c r="E287" s="128">
        <f>(Summary!D$16*'Unit costs'!$C166)+(Summary!D$17*'Unit costs'!$D166)+(Summary!D$18*'Unit costs'!$E166)</f>
        <v>32.600557476594801</v>
      </c>
      <c r="F287" s="128">
        <f>(Summary!E$16*'Unit costs'!$C166)+(Summary!E$17*'Unit costs'!$D166)+(Summary!E$18*'Unit costs'!$E166)</f>
        <v>32.527144973986459</v>
      </c>
      <c r="G287" s="128">
        <f>(Summary!F$16*'Unit costs'!$C166)+(Summary!F$17*'Unit costs'!$D166)+(Summary!F$18*'Unit costs'!$E166)</f>
        <v>29.926419370736074</v>
      </c>
      <c r="H287" s="128">
        <f>(Summary!G$16*'Unit costs'!$C166)+(Summary!G$17*'Unit costs'!$D166)+(Summary!G$18*'Unit costs'!$E166)</f>
        <v>30.214964144393502</v>
      </c>
      <c r="I287" s="128">
        <f>(Summary!H$16*'Unit costs'!$C166)+(Summary!H$17*'Unit costs'!$D166)+(Summary!H$18*'Unit costs'!$E166)</f>
        <v>30.506291011203256</v>
      </c>
      <c r="J287" s="288"/>
      <c r="K287" s="547">
        <f>'Unit costs'!G166</f>
        <v>602.15171603748888</v>
      </c>
      <c r="L287" s="289">
        <f t="shared" si="106"/>
        <v>21.377137805221146</v>
      </c>
      <c r="M287" s="289">
        <f t="shared" si="105"/>
        <v>19.630481628310346</v>
      </c>
      <c r="N287" s="289">
        <f t="shared" si="105"/>
        <v>19.586276163886126</v>
      </c>
      <c r="O287" s="289">
        <f t="shared" si="105"/>
        <v>18.020244778946275</v>
      </c>
      <c r="P287" s="289">
        <f t="shared" si="105"/>
        <v>18.193992509557745</v>
      </c>
      <c r="Q287" s="289">
        <f t="shared" si="105"/>
        <v>18.369415482335061</v>
      </c>
      <c r="R287" s="133"/>
      <c r="S287" s="133"/>
      <c r="T287" s="133"/>
      <c r="U287" s="133"/>
      <c r="V287" s="133"/>
      <c r="W287" s="133"/>
      <c r="X287" s="133"/>
      <c r="Y287" s="133"/>
      <c r="Z287" s="133"/>
      <c r="AJ287" s="283"/>
      <c r="AK287" s="283"/>
      <c r="AL287" s="283"/>
      <c r="AM287" s="283"/>
      <c r="AN287" s="283"/>
    </row>
    <row r="288" spans="1:40" x14ac:dyDescent="0.3">
      <c r="A288" s="288"/>
      <c r="B288" s="866" t="s">
        <v>989</v>
      </c>
      <c r="C288" s="168"/>
      <c r="D288" s="128">
        <f>(Summary!C$16*'Unit costs'!$C167)+(Summary!C$17*'Unit costs'!$D167)+(Summary!C$18*'Unit costs'!$E167)</f>
        <v>245.66864076315363</v>
      </c>
      <c r="E288" s="128">
        <f>(Summary!D$16*'Unit costs'!$C167)+(Summary!D$17*'Unit costs'!$D167)+(Summary!D$18*'Unit costs'!$E167)</f>
        <v>225.59585773803602</v>
      </c>
      <c r="F288" s="128">
        <f>(Summary!E$16*'Unit costs'!$C167)+(Summary!E$17*'Unit costs'!$D167)+(Summary!E$18*'Unit costs'!$E167)</f>
        <v>225.0878432199863</v>
      </c>
      <c r="G288" s="128">
        <f>(Summary!F$16*'Unit costs'!$C167)+(Summary!F$17*'Unit costs'!$D167)+(Summary!F$18*'Unit costs'!$E167)</f>
        <v>207.09082204549364</v>
      </c>
      <c r="H288" s="128">
        <f>(Summary!G$16*'Unit costs'!$C167)+(Summary!G$17*'Unit costs'!$D167)+(Summary!G$18*'Unit costs'!$E167)</f>
        <v>209.08755187920303</v>
      </c>
      <c r="I288" s="128">
        <f>(Summary!H$16*'Unit costs'!$C167)+(Summary!H$17*'Unit costs'!$D167)+(Summary!H$18*'Unit costs'!$E167)</f>
        <v>211.10353379752652</v>
      </c>
      <c r="J288" s="288"/>
      <c r="K288" s="547">
        <f>'Unit costs'!G167</f>
        <v>683.02467699238503</v>
      </c>
      <c r="L288" s="289">
        <f t="shared" si="106"/>
        <v>167.79774400441127</v>
      </c>
      <c r="M288" s="289">
        <f t="shared" si="105"/>
        <v>154.08753786234209</v>
      </c>
      <c r="N288" s="289">
        <f t="shared" si="105"/>
        <v>153.74055141024374</v>
      </c>
      <c r="O288" s="289">
        <f t="shared" si="105"/>
        <v>141.4481418357108</v>
      </c>
      <c r="P288" s="289">
        <f t="shared" si="105"/>
        <v>142.8119575854212</v>
      </c>
      <c r="Q288" s="289">
        <f t="shared" si="105"/>
        <v>144.18892298400658</v>
      </c>
      <c r="R288" s="133"/>
      <c r="S288" s="133"/>
      <c r="T288" s="133"/>
      <c r="U288" s="133"/>
      <c r="V288" s="133"/>
      <c r="W288" s="133"/>
      <c r="X288" s="133"/>
      <c r="Y288" s="133"/>
      <c r="Z288" s="133"/>
      <c r="AJ288" s="283"/>
      <c r="AK288" s="283"/>
      <c r="AL288" s="283"/>
      <c r="AM288" s="283"/>
      <c r="AN288" s="283"/>
    </row>
    <row r="289" spans="1:40" x14ac:dyDescent="0.3">
      <c r="A289" s="288"/>
      <c r="B289" s="866" t="s">
        <v>990</v>
      </c>
      <c r="C289" s="168"/>
      <c r="D289" s="128">
        <f>(Summary!C$16*'Unit costs'!$C168)+(Summary!C$17*'Unit costs'!$D168)+(Summary!C$18*'Unit costs'!$E168)</f>
        <v>98.302957553926646</v>
      </c>
      <c r="E289" s="128">
        <f>(Summary!D$16*'Unit costs'!$C168)+(Summary!D$17*'Unit costs'!$D168)+(Summary!D$18*'Unit costs'!$E168)</f>
        <v>90.270943652691003</v>
      </c>
      <c r="F289" s="128">
        <f>(Summary!E$16*'Unit costs'!$C168)+(Summary!E$17*'Unit costs'!$D168)+(Summary!E$18*'Unit costs'!$E168)</f>
        <v>90.067664432968513</v>
      </c>
      <c r="G289" s="128">
        <f>(Summary!F$16*'Unit costs'!$C168)+(Summary!F$17*'Unit costs'!$D168)+(Summary!F$18*'Unit costs'!$E168)</f>
        <v>82.866255237568197</v>
      </c>
      <c r="H289" s="128">
        <f>(Summary!G$16*'Unit costs'!$C168)+(Summary!G$17*'Unit costs'!$D168)+(Summary!G$18*'Unit costs'!$E168)</f>
        <v>83.665235715825602</v>
      </c>
      <c r="I289" s="128">
        <f>(Summary!H$16*'Unit costs'!$C168)+(Summary!H$17*'Unit costs'!$D168)+(Summary!H$18*'Unit costs'!$E168)</f>
        <v>84.471919810021816</v>
      </c>
      <c r="J289" s="288"/>
      <c r="K289" s="547">
        <f>'Unit costs'!G168</f>
        <v>55145</v>
      </c>
      <c r="L289" s="289">
        <f t="shared" si="106"/>
        <v>5420.9165943112848</v>
      </c>
      <c r="M289" s="289">
        <f t="shared" si="105"/>
        <v>4977.9911877276454</v>
      </c>
      <c r="N289" s="289">
        <f t="shared" si="105"/>
        <v>4966.7813551560484</v>
      </c>
      <c r="O289" s="289">
        <f t="shared" si="105"/>
        <v>4569.6596450756988</v>
      </c>
      <c r="P289" s="289">
        <f t="shared" si="105"/>
        <v>4613.7194235492034</v>
      </c>
      <c r="Q289" s="289">
        <f t="shared" si="105"/>
        <v>4658.2040179236528</v>
      </c>
      <c r="R289" s="133"/>
      <c r="S289" s="133"/>
      <c r="T289" s="133"/>
      <c r="U289" s="133"/>
      <c r="V289" s="133"/>
      <c r="W289" s="133"/>
      <c r="X289" s="133"/>
      <c r="Y289" s="133"/>
      <c r="Z289" s="133"/>
      <c r="AJ289" s="283"/>
      <c r="AK289" s="283"/>
      <c r="AL289" s="283"/>
      <c r="AM289" s="283"/>
      <c r="AN289" s="283"/>
    </row>
    <row r="290" spans="1:40" x14ac:dyDescent="0.3">
      <c r="A290" s="288"/>
      <c r="B290" s="866" t="s">
        <v>991</v>
      </c>
      <c r="C290" s="168"/>
      <c r="D290" s="128">
        <f>(Summary!C$16*'Unit costs'!$C169)+(Summary!C$17*'Unit costs'!$D169)+(Summary!C$18*'Unit costs'!$E169)</f>
        <v>0</v>
      </c>
      <c r="E290" s="128">
        <f>(Summary!D$16*'Unit costs'!$C169)+(Summary!D$17*'Unit costs'!$D169)+(Summary!D$18*'Unit costs'!$E169)</f>
        <v>0</v>
      </c>
      <c r="F290" s="128">
        <f>(Summary!E$16*'Unit costs'!$C169)+(Summary!E$17*'Unit costs'!$D169)+(Summary!E$18*'Unit costs'!$E169)</f>
        <v>0</v>
      </c>
      <c r="G290" s="128">
        <f>(Summary!F$16*'Unit costs'!$C169)+(Summary!F$17*'Unit costs'!$D169)+(Summary!F$18*'Unit costs'!$E169)</f>
        <v>0</v>
      </c>
      <c r="H290" s="128">
        <f>(Summary!G$16*'Unit costs'!$C169)+(Summary!G$17*'Unit costs'!$D169)+(Summary!G$18*'Unit costs'!$E169)</f>
        <v>0</v>
      </c>
      <c r="I290" s="128">
        <f>(Summary!H$16*'Unit costs'!$C169)+(Summary!H$17*'Unit costs'!$D169)+(Summary!H$18*'Unit costs'!$E169)</f>
        <v>0</v>
      </c>
      <c r="J290" s="288"/>
      <c r="K290" s="547">
        <f>'Unit costs'!G169</f>
        <v>675.74984624749516</v>
      </c>
      <c r="L290" s="289">
        <f t="shared" si="106"/>
        <v>0</v>
      </c>
      <c r="M290" s="289">
        <f t="shared" si="105"/>
        <v>0</v>
      </c>
      <c r="N290" s="289">
        <f t="shared" si="105"/>
        <v>0</v>
      </c>
      <c r="O290" s="289">
        <f t="shared" si="105"/>
        <v>0</v>
      </c>
      <c r="P290" s="289">
        <f t="shared" si="105"/>
        <v>0</v>
      </c>
      <c r="Q290" s="289">
        <f t="shared" si="105"/>
        <v>0</v>
      </c>
      <c r="R290" s="133"/>
      <c r="S290" s="133"/>
      <c r="T290" s="133"/>
      <c r="U290" s="133"/>
      <c r="V290" s="133"/>
      <c r="W290" s="133"/>
      <c r="X290" s="133"/>
      <c r="Y290" s="133"/>
      <c r="Z290" s="133"/>
      <c r="AJ290" s="283"/>
      <c r="AK290" s="283"/>
      <c r="AL290" s="283"/>
      <c r="AM290" s="283"/>
      <c r="AN290" s="283"/>
    </row>
    <row r="291" spans="1:40" x14ac:dyDescent="0.3">
      <c r="A291" s="288"/>
      <c r="B291" s="866" t="s">
        <v>992</v>
      </c>
      <c r="C291" s="168"/>
      <c r="D291" s="128">
        <f>(Summary!C$16*'Unit costs'!$C170)+(Summary!C$17*'Unit costs'!$D170)+(Summary!C$18*'Unit costs'!$E170)</f>
        <v>0</v>
      </c>
      <c r="E291" s="128">
        <f>(Summary!D$16*'Unit costs'!$C170)+(Summary!D$17*'Unit costs'!$D170)+(Summary!D$18*'Unit costs'!$E170)</f>
        <v>0</v>
      </c>
      <c r="F291" s="128">
        <f>(Summary!E$16*'Unit costs'!$C170)+(Summary!E$17*'Unit costs'!$D170)+(Summary!E$18*'Unit costs'!$E170)</f>
        <v>0</v>
      </c>
      <c r="G291" s="128">
        <f>(Summary!F$16*'Unit costs'!$C170)+(Summary!F$17*'Unit costs'!$D170)+(Summary!F$18*'Unit costs'!$E170)</f>
        <v>0</v>
      </c>
      <c r="H291" s="128">
        <f>(Summary!G$16*'Unit costs'!$C170)+(Summary!G$17*'Unit costs'!$D170)+(Summary!G$18*'Unit costs'!$E170)</f>
        <v>0</v>
      </c>
      <c r="I291" s="128">
        <f>(Summary!H$16*'Unit costs'!$C170)+(Summary!H$17*'Unit costs'!$D170)+(Summary!H$18*'Unit costs'!$E170)</f>
        <v>0</v>
      </c>
      <c r="J291" s="288"/>
      <c r="K291" s="547">
        <f>'Unit costs'!G170</f>
        <v>731.46201098864708</v>
      </c>
      <c r="L291" s="289">
        <f t="shared" si="106"/>
        <v>0</v>
      </c>
      <c r="M291" s="289">
        <f t="shared" si="105"/>
        <v>0</v>
      </c>
      <c r="N291" s="289">
        <f t="shared" si="105"/>
        <v>0</v>
      </c>
      <c r="O291" s="289">
        <f t="shared" si="105"/>
        <v>0</v>
      </c>
      <c r="P291" s="289">
        <f t="shared" si="105"/>
        <v>0</v>
      </c>
      <c r="Q291" s="289">
        <f t="shared" si="105"/>
        <v>0</v>
      </c>
      <c r="R291" s="133"/>
      <c r="S291" s="133"/>
      <c r="T291" s="133"/>
      <c r="U291" s="133"/>
      <c r="V291" s="133"/>
      <c r="W291" s="133"/>
      <c r="X291" s="133"/>
      <c r="Y291" s="133"/>
      <c r="Z291" s="133"/>
      <c r="AJ291" s="283"/>
      <c r="AK291" s="283"/>
      <c r="AL291" s="283"/>
      <c r="AM291" s="283"/>
      <c r="AN291" s="283"/>
    </row>
    <row r="292" spans="1:40" x14ac:dyDescent="0.3">
      <c r="A292" s="288"/>
      <c r="B292" s="866" t="s">
        <v>993</v>
      </c>
      <c r="C292" s="168"/>
      <c r="D292" s="128">
        <f>(Summary!C$16*'Unit costs'!$C171)+(Summary!C$17*'Unit costs'!$D171)+(Summary!C$18*'Unit costs'!$E171)</f>
        <v>0</v>
      </c>
      <c r="E292" s="128">
        <f>(Summary!D$16*'Unit costs'!$C171)+(Summary!D$17*'Unit costs'!$D171)+(Summary!D$18*'Unit costs'!$E171)</f>
        <v>0</v>
      </c>
      <c r="F292" s="128">
        <f>(Summary!E$16*'Unit costs'!$C171)+(Summary!E$17*'Unit costs'!$D171)+(Summary!E$18*'Unit costs'!$E171)</f>
        <v>0</v>
      </c>
      <c r="G292" s="128">
        <f>(Summary!F$16*'Unit costs'!$C171)+(Summary!F$17*'Unit costs'!$D171)+(Summary!F$18*'Unit costs'!$E171)</f>
        <v>0</v>
      </c>
      <c r="H292" s="128">
        <f>(Summary!G$16*'Unit costs'!$C171)+(Summary!G$17*'Unit costs'!$D171)+(Summary!G$18*'Unit costs'!$E171)</f>
        <v>0</v>
      </c>
      <c r="I292" s="128">
        <f>(Summary!H$16*'Unit costs'!$C171)+(Summary!H$17*'Unit costs'!$D171)+(Summary!H$18*'Unit costs'!$E171)</f>
        <v>0</v>
      </c>
      <c r="J292" s="288"/>
      <c r="K292" s="547">
        <f>'Unit costs'!G171</f>
        <v>816.73365353348845</v>
      </c>
      <c r="L292" s="289">
        <f t="shared" si="106"/>
        <v>0</v>
      </c>
      <c r="M292" s="289">
        <f t="shared" si="105"/>
        <v>0</v>
      </c>
      <c r="N292" s="289">
        <f t="shared" si="105"/>
        <v>0</v>
      </c>
      <c r="O292" s="289">
        <f t="shared" si="105"/>
        <v>0</v>
      </c>
      <c r="P292" s="289">
        <f t="shared" si="105"/>
        <v>0</v>
      </c>
      <c r="Q292" s="289">
        <f t="shared" si="105"/>
        <v>0</v>
      </c>
      <c r="R292" s="133"/>
      <c r="S292" s="133"/>
      <c r="T292" s="133"/>
      <c r="U292" s="133"/>
      <c r="V292" s="133"/>
      <c r="W292" s="133"/>
      <c r="X292" s="133"/>
      <c r="Y292" s="133"/>
      <c r="Z292" s="133"/>
      <c r="AJ292" s="283"/>
      <c r="AK292" s="283"/>
      <c r="AL292" s="283"/>
      <c r="AM292" s="283"/>
      <c r="AN292" s="283"/>
    </row>
    <row r="293" spans="1:40" x14ac:dyDescent="0.3">
      <c r="A293" s="288"/>
      <c r="B293" s="866" t="s">
        <v>994</v>
      </c>
      <c r="C293" s="168"/>
      <c r="D293" s="128">
        <f>(Summary!C$16*'Unit costs'!$C172)+(Summary!C$17*'Unit costs'!$D172)+(Summary!C$18*'Unit costs'!$E172)</f>
        <v>0</v>
      </c>
      <c r="E293" s="128">
        <f>(Summary!D$16*'Unit costs'!$C172)+(Summary!D$17*'Unit costs'!$D172)+(Summary!D$18*'Unit costs'!$E172)</f>
        <v>0</v>
      </c>
      <c r="F293" s="128">
        <f>(Summary!E$16*'Unit costs'!$C172)+(Summary!E$17*'Unit costs'!$D172)+(Summary!E$18*'Unit costs'!$E172)</f>
        <v>0</v>
      </c>
      <c r="G293" s="128">
        <f>(Summary!F$16*'Unit costs'!$C172)+(Summary!F$17*'Unit costs'!$D172)+(Summary!F$18*'Unit costs'!$E172)</f>
        <v>0</v>
      </c>
      <c r="H293" s="128">
        <f>(Summary!G$16*'Unit costs'!$C172)+(Summary!G$17*'Unit costs'!$D172)+(Summary!G$18*'Unit costs'!$E172)</f>
        <v>0</v>
      </c>
      <c r="I293" s="128">
        <f>(Summary!H$16*'Unit costs'!$C172)+(Summary!H$17*'Unit costs'!$D172)+(Summary!H$18*'Unit costs'!$E172)</f>
        <v>0</v>
      </c>
      <c r="J293" s="288"/>
      <c r="K293" s="547">
        <f>'Unit costs'!G172</f>
        <v>675.74984624749516</v>
      </c>
      <c r="L293" s="289">
        <f t="shared" si="106"/>
        <v>0</v>
      </c>
      <c r="M293" s="289">
        <f t="shared" si="105"/>
        <v>0</v>
      </c>
      <c r="N293" s="289">
        <f t="shared" si="105"/>
        <v>0</v>
      </c>
      <c r="O293" s="289">
        <f t="shared" si="105"/>
        <v>0</v>
      </c>
      <c r="P293" s="289">
        <f t="shared" si="105"/>
        <v>0</v>
      </c>
      <c r="Q293" s="289">
        <f t="shared" si="105"/>
        <v>0</v>
      </c>
      <c r="R293" s="133"/>
      <c r="S293" s="133"/>
      <c r="T293" s="133"/>
      <c r="U293" s="133"/>
      <c r="V293" s="133"/>
      <c r="W293" s="133"/>
      <c r="X293" s="133"/>
      <c r="Y293" s="133"/>
      <c r="Z293" s="133"/>
      <c r="AJ293" s="283"/>
      <c r="AK293" s="283"/>
      <c r="AL293" s="283"/>
      <c r="AM293" s="283"/>
      <c r="AN293" s="283"/>
    </row>
    <row r="294" spans="1:40" x14ac:dyDescent="0.3">
      <c r="A294" s="288"/>
      <c r="B294" s="866" t="s">
        <v>995</v>
      </c>
      <c r="C294" s="168"/>
      <c r="D294" s="128">
        <f>(Summary!C$16*'Unit costs'!$C173)+(Summary!C$17*'Unit costs'!$D173)+(Summary!C$18*'Unit costs'!$E173)</f>
        <v>0</v>
      </c>
      <c r="E294" s="128">
        <f>(Summary!D$16*'Unit costs'!$C173)+(Summary!D$17*'Unit costs'!$D173)+(Summary!D$18*'Unit costs'!$E173)</f>
        <v>0</v>
      </c>
      <c r="F294" s="128">
        <f>(Summary!E$16*'Unit costs'!$C173)+(Summary!E$17*'Unit costs'!$D173)+(Summary!E$18*'Unit costs'!$E173)</f>
        <v>0</v>
      </c>
      <c r="G294" s="128">
        <f>(Summary!F$16*'Unit costs'!$C173)+(Summary!F$17*'Unit costs'!$D173)+(Summary!F$18*'Unit costs'!$E173)</f>
        <v>0</v>
      </c>
      <c r="H294" s="128">
        <f>(Summary!G$16*'Unit costs'!$C173)+(Summary!G$17*'Unit costs'!$D173)+(Summary!G$18*'Unit costs'!$E173)</f>
        <v>0</v>
      </c>
      <c r="I294" s="128">
        <f>(Summary!H$16*'Unit costs'!$C173)+(Summary!H$17*'Unit costs'!$D173)+(Summary!H$18*'Unit costs'!$E173)</f>
        <v>0</v>
      </c>
      <c r="J294" s="288"/>
      <c r="K294" s="547">
        <f>'Unit costs'!G173</f>
        <v>424.59978620815002</v>
      </c>
      <c r="L294" s="289">
        <f t="shared" si="106"/>
        <v>0</v>
      </c>
      <c r="M294" s="289">
        <f t="shared" si="106"/>
        <v>0</v>
      </c>
      <c r="N294" s="289">
        <f t="shared" si="106"/>
        <v>0</v>
      </c>
      <c r="O294" s="289">
        <f t="shared" si="106"/>
        <v>0</v>
      </c>
      <c r="P294" s="289">
        <f t="shared" si="106"/>
        <v>0</v>
      </c>
      <c r="Q294" s="289">
        <f t="shared" si="106"/>
        <v>0</v>
      </c>
      <c r="R294" s="133"/>
      <c r="S294" s="133"/>
      <c r="T294" s="133"/>
      <c r="U294" s="133"/>
      <c r="V294" s="133"/>
      <c r="W294" s="133"/>
      <c r="X294" s="133"/>
      <c r="Y294" s="133"/>
      <c r="Z294" s="133"/>
      <c r="AJ294" s="283"/>
      <c r="AK294" s="283"/>
      <c r="AL294" s="283"/>
      <c r="AM294" s="283"/>
      <c r="AN294" s="283"/>
    </row>
    <row r="295" spans="1:40" x14ac:dyDescent="0.3">
      <c r="A295" s="288"/>
      <c r="C295" s="867"/>
      <c r="D295" s="186">
        <f>SUM(D269:D294)</f>
        <v>1587.9353515455343</v>
      </c>
      <c r="E295" s="186">
        <f t="shared" ref="E295:I295" si="107">SUM(E269:E294)</f>
        <v>1458.1903353706086</v>
      </c>
      <c r="F295" s="186">
        <f t="shared" si="107"/>
        <v>1454.9066675414404</v>
      </c>
      <c r="G295" s="186">
        <f t="shared" si="107"/>
        <v>1338.5788120336538</v>
      </c>
      <c r="H295" s="186">
        <f t="shared" si="107"/>
        <v>1351.4851312145772</v>
      </c>
      <c r="I295" s="186">
        <f t="shared" si="107"/>
        <v>1364.5158906401105</v>
      </c>
      <c r="J295" s="288"/>
      <c r="K295" s="288"/>
      <c r="L295" s="290">
        <f>SUM(L269:L294)</f>
        <v>6970.2977742822513</v>
      </c>
      <c r="M295" s="290">
        <f t="shared" ref="M295:Q295" si="108">SUM(M269:M294)</f>
        <v>6400.7774870815883</v>
      </c>
      <c r="N295" s="290">
        <f t="shared" si="108"/>
        <v>6386.3637122771815</v>
      </c>
      <c r="O295" s="290">
        <f t="shared" si="108"/>
        <v>5875.7385211799728</v>
      </c>
      <c r="P295" s="290">
        <f t="shared" si="108"/>
        <v>5932.3912607095799</v>
      </c>
      <c r="Q295" s="290">
        <f t="shared" si="108"/>
        <v>5989.5902350460346</v>
      </c>
      <c r="R295" s="133"/>
      <c r="S295" s="133"/>
      <c r="T295" s="133"/>
      <c r="U295" s="133"/>
      <c r="V295" s="133"/>
      <c r="W295" s="133"/>
      <c r="X295" s="133"/>
      <c r="Y295" s="133"/>
      <c r="Z295" s="133"/>
      <c r="AJ295" s="283"/>
      <c r="AK295" s="283"/>
      <c r="AL295" s="283"/>
      <c r="AM295" s="283"/>
      <c r="AN295" s="283"/>
    </row>
    <row r="296" spans="1:40" x14ac:dyDescent="0.3">
      <c r="A296" s="288"/>
      <c r="B296" s="296"/>
      <c r="C296" s="208"/>
      <c r="D296" s="282" t="s">
        <v>851</v>
      </c>
      <c r="E296" s="186">
        <f>E295-$D$295</f>
        <v>-129.74501617492569</v>
      </c>
      <c r="F296" s="186">
        <f>F295-$D$295</f>
        <v>-133.02868400409398</v>
      </c>
      <c r="G296" s="186">
        <f>G295-$D$295</f>
        <v>-249.35653951188056</v>
      </c>
      <c r="H296" s="186">
        <f>H295-$D$295</f>
        <v>-236.45022033095711</v>
      </c>
      <c r="I296" s="186">
        <f>I295-$D$295</f>
        <v>-223.41946090542388</v>
      </c>
      <c r="J296" s="288"/>
      <c r="K296" s="288"/>
      <c r="L296" s="522"/>
      <c r="M296" s="290">
        <f>M295-$L$295</f>
        <v>-569.52028720066301</v>
      </c>
      <c r="N296" s="290">
        <f t="shared" ref="N296:Q296" si="109">N295-$L$295</f>
        <v>-583.93406200506979</v>
      </c>
      <c r="O296" s="290">
        <f t="shared" si="109"/>
        <v>-1094.5592531022785</v>
      </c>
      <c r="P296" s="290">
        <f t="shared" si="109"/>
        <v>-1037.9065135726714</v>
      </c>
      <c r="Q296" s="290">
        <f t="shared" si="109"/>
        <v>-980.70753923621669</v>
      </c>
    </row>
    <row r="297" spans="1:40" x14ac:dyDescent="0.3">
      <c r="A297" s="288"/>
      <c r="B297" s="288"/>
      <c r="C297" s="288"/>
      <c r="D297" s="288"/>
      <c r="E297" s="288"/>
      <c r="F297" s="288"/>
      <c r="G297" s="288"/>
      <c r="H297" s="288"/>
      <c r="I297" s="288"/>
      <c r="J297" s="288"/>
      <c r="K297" s="288"/>
      <c r="L297" s="288"/>
      <c r="M297" s="288"/>
      <c r="N297" s="288"/>
      <c r="O297" s="288"/>
      <c r="P297" s="288"/>
      <c r="Q297" s="288"/>
    </row>
  </sheetData>
  <sheetProtection algorithmName="SHA-512" hashValue="mUgL9lV+jTCiuvZ1NxEB1KQK+YyaA+SWf7+b9fxE1rP1h0MRbIXtCMx36+Suw8Z8yT+Ow7KyE9FzlZvcsD+pdA==" saltValue="FAcB89SYhhan+D472f7WIw==" spinCount="100000" sheet="1" objects="1" scenarios="1"/>
  <protectedRanges>
    <protectedRange sqref="B269:B294" name="Range1_2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98" min="1"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546875" defaultRowHeight="14.4" x14ac:dyDescent="0.3"/>
  <cols>
    <col min="1" max="1" width="13.5546875" customWidth="1"/>
    <col min="2" max="2" width="32.5546875" customWidth="1"/>
    <col min="3" max="4" width="12.77734375" customWidth="1"/>
    <col min="5" max="6" width="11.77734375" customWidth="1"/>
    <col min="7" max="7" width="10.33203125" style="467" customWidth="1"/>
    <col min="8" max="8" width="11.77734375" customWidth="1"/>
    <col min="9" max="9" width="12.5546875" customWidth="1"/>
    <col min="10" max="10" width="10.21875" customWidth="1"/>
    <col min="11" max="13" width="9" customWidth="1"/>
    <col min="14" max="14" width="8.33203125" customWidth="1"/>
    <col min="15" max="15" width="15.33203125" hidden="1" customWidth="1"/>
    <col min="16" max="16" width="13.33203125" hidden="1" customWidth="1"/>
    <col min="17" max="17" width="14.33203125" hidden="1" customWidth="1"/>
    <col min="18" max="18" width="10.33203125" hidden="1" customWidth="1"/>
    <col min="19" max="21" width="8.5546875" hidden="1" customWidth="1"/>
    <col min="22" max="22" width="47.21875" bestFit="1" customWidth="1"/>
    <col min="23" max="23" width="10" customWidth="1"/>
  </cols>
  <sheetData>
    <row r="1" spans="1:24" ht="21" customHeight="1" x14ac:dyDescent="0.3">
      <c r="A1" s="695" t="s">
        <v>909</v>
      </c>
      <c r="B1" s="695"/>
      <c r="C1" s="695"/>
      <c r="D1" s="695"/>
      <c r="E1" s="695"/>
      <c r="F1" s="695"/>
      <c r="G1" s="695"/>
      <c r="H1" s="695"/>
      <c r="I1" s="695"/>
      <c r="J1" s="695"/>
      <c r="K1" s="695"/>
      <c r="L1" s="695"/>
      <c r="M1" s="695"/>
    </row>
    <row r="2" spans="1:24" ht="14.55" customHeight="1" thickBot="1" x14ac:dyDescent="0.35">
      <c r="A2" s="129"/>
      <c r="B2" s="129"/>
      <c r="C2" s="129"/>
      <c r="D2" s="129"/>
      <c r="E2" s="129"/>
      <c r="F2" s="129"/>
      <c r="G2" s="129"/>
      <c r="H2" s="129"/>
      <c r="I2" s="129"/>
      <c r="J2" s="129"/>
      <c r="K2" s="129"/>
      <c r="L2" s="129"/>
      <c r="M2" s="129"/>
    </row>
    <row r="3" spans="1:24" ht="14.55" customHeight="1" x14ac:dyDescent="0.3">
      <c r="A3" s="129"/>
      <c r="B3" s="703" t="s">
        <v>41</v>
      </c>
      <c r="C3" s="704"/>
      <c r="D3" s="129"/>
      <c r="E3" s="129"/>
      <c r="F3" s="129"/>
      <c r="G3" s="129"/>
      <c r="H3" s="129"/>
      <c r="I3" s="129"/>
      <c r="J3" s="129"/>
      <c r="K3" s="129"/>
      <c r="L3" s="129"/>
      <c r="M3" s="129"/>
    </row>
    <row r="4" spans="1:24" ht="14.55" customHeight="1" x14ac:dyDescent="0.3">
      <c r="A4" s="129"/>
      <c r="B4" s="705" t="s">
        <v>914</v>
      </c>
      <c r="C4" s="905" t="s">
        <v>915</v>
      </c>
      <c r="D4" s="706" t="s">
        <v>916</v>
      </c>
      <c r="E4" s="129"/>
      <c r="F4" s="129"/>
      <c r="G4" s="129"/>
      <c r="H4" s="129"/>
      <c r="I4" s="129"/>
      <c r="J4" s="129"/>
      <c r="K4" s="129"/>
      <c r="L4" s="129"/>
      <c r="M4" s="129"/>
    </row>
    <row r="5" spans="1:24" ht="14.55" customHeight="1" x14ac:dyDescent="0.3">
      <c r="A5" s="129"/>
      <c r="B5" s="705" t="s">
        <v>917</v>
      </c>
      <c r="C5" s="906">
        <v>9100</v>
      </c>
      <c r="D5" s="129"/>
      <c r="E5" s="129"/>
      <c r="F5" s="129"/>
      <c r="G5" s="129"/>
      <c r="H5" s="129"/>
      <c r="I5" s="129"/>
      <c r="J5" s="129"/>
      <c r="K5" s="129"/>
      <c r="L5" s="129"/>
      <c r="M5" s="129"/>
    </row>
    <row r="6" spans="1:24" ht="14.55" customHeight="1" x14ac:dyDescent="0.3">
      <c r="A6" s="129"/>
      <c r="B6" s="705" t="s">
        <v>918</v>
      </c>
      <c r="C6" s="907">
        <v>0.13800000000000001</v>
      </c>
      <c r="D6" s="129"/>
      <c r="E6" s="129"/>
      <c r="F6" s="129"/>
      <c r="G6" s="129"/>
      <c r="H6" s="129"/>
      <c r="I6" s="129"/>
      <c r="J6" s="129"/>
      <c r="K6" s="129"/>
      <c r="L6" s="129"/>
      <c r="M6" s="129"/>
    </row>
    <row r="7" spans="1:24" ht="14.55" customHeight="1" x14ac:dyDescent="0.3">
      <c r="A7" s="129"/>
      <c r="B7" s="705" t="s">
        <v>919</v>
      </c>
      <c r="C7" s="907">
        <v>0.23780000000000001</v>
      </c>
      <c r="D7" s="129"/>
      <c r="E7" s="129"/>
      <c r="F7" s="129"/>
      <c r="G7" s="129"/>
      <c r="H7" s="129"/>
      <c r="I7" s="129"/>
      <c r="J7" s="129"/>
      <c r="K7" s="129"/>
      <c r="L7" s="129"/>
      <c r="M7" s="129"/>
    </row>
    <row r="8" spans="1:24" ht="14.55" customHeight="1" x14ac:dyDescent="0.3">
      <c r="A8" s="129"/>
      <c r="B8" s="705" t="s">
        <v>920</v>
      </c>
      <c r="C8" s="907">
        <v>5.0000000000000001E-3</v>
      </c>
      <c r="D8" s="129"/>
      <c r="E8" s="129"/>
      <c r="F8" s="129"/>
      <c r="G8" s="129"/>
      <c r="H8" s="129"/>
      <c r="I8" s="129"/>
      <c r="J8" s="129"/>
      <c r="K8" s="129"/>
      <c r="L8" s="129"/>
      <c r="M8" s="129"/>
    </row>
    <row r="9" spans="1:24" ht="14.55" customHeight="1" thickBot="1" x14ac:dyDescent="0.35">
      <c r="A9" s="129"/>
      <c r="B9" s="707" t="s">
        <v>921</v>
      </c>
      <c r="C9" s="908">
        <v>0</v>
      </c>
      <c r="D9" s="129"/>
      <c r="E9" s="129"/>
      <c r="F9" s="129"/>
      <c r="G9" s="129"/>
      <c r="H9" s="129"/>
      <c r="I9" s="129"/>
      <c r="J9" s="129"/>
      <c r="K9" s="129"/>
      <c r="L9" s="129"/>
      <c r="M9" s="129"/>
      <c r="R9" s="708"/>
    </row>
    <row r="10" spans="1:24" ht="15" thickBot="1" x14ac:dyDescent="0.35">
      <c r="P10" s="709"/>
      <c r="R10" s="709"/>
    </row>
    <row r="11" spans="1:24" ht="109.5" customHeight="1" thickBot="1" x14ac:dyDescent="0.35">
      <c r="A11" s="710" t="s">
        <v>854</v>
      </c>
      <c r="B11" s="711" t="s">
        <v>922</v>
      </c>
      <c r="C11" s="712" t="s">
        <v>923</v>
      </c>
      <c r="D11" s="712" t="s">
        <v>924</v>
      </c>
      <c r="E11" s="712" t="s">
        <v>925</v>
      </c>
      <c r="F11" s="712" t="s">
        <v>937</v>
      </c>
      <c r="G11" s="713" t="s">
        <v>926</v>
      </c>
      <c r="H11" s="712" t="s">
        <v>927</v>
      </c>
      <c r="I11" s="714" t="s">
        <v>928</v>
      </c>
      <c r="J11" s="715" t="s">
        <v>929</v>
      </c>
      <c r="K11" s="716" t="s">
        <v>840</v>
      </c>
      <c r="L11" s="717" t="s">
        <v>855</v>
      </c>
      <c r="M11" s="718" t="s">
        <v>856</v>
      </c>
      <c r="O11" t="s">
        <v>915</v>
      </c>
      <c r="P11" t="s">
        <v>930</v>
      </c>
      <c r="Q11" t="s">
        <v>931</v>
      </c>
      <c r="R11" t="s">
        <v>932</v>
      </c>
    </row>
    <row r="12" spans="1:24" x14ac:dyDescent="0.3">
      <c r="A12" s="719">
        <v>2</v>
      </c>
      <c r="B12" s="720" t="s">
        <v>857</v>
      </c>
      <c r="C12" s="721">
        <f>HLOOKUP($C$4,$O$11:$R$41,2,FALSE)</f>
        <v>23615</v>
      </c>
      <c r="D12" s="721">
        <f>C12*$C$9</f>
        <v>0</v>
      </c>
      <c r="E12" s="721">
        <f>C12*(100%+$C$9)</f>
        <v>23615</v>
      </c>
      <c r="F12" s="721">
        <f>(E12-$C$5)*$C$6</f>
        <v>2003.0700000000002</v>
      </c>
      <c r="G12" s="722">
        <f>E12*$C$8</f>
        <v>118.075</v>
      </c>
      <c r="H12" s="721">
        <f>E12*$C$7</f>
        <v>5615.6469999999999</v>
      </c>
      <c r="I12" s="723">
        <f>SUM(E12:H12)</f>
        <v>31351.792000000001</v>
      </c>
      <c r="J12" s="729">
        <v>1560</v>
      </c>
      <c r="K12" s="909">
        <f>ROUND(I12/J12,2)</f>
        <v>20.100000000000001</v>
      </c>
      <c r="L12" s="724">
        <v>0.41</v>
      </c>
      <c r="M12" s="725">
        <v>0.83</v>
      </c>
      <c r="O12" s="708">
        <v>23615</v>
      </c>
      <c r="P12" s="283">
        <v>29029</v>
      </c>
      <c r="Q12">
        <v>28166</v>
      </c>
      <c r="R12">
        <v>24873</v>
      </c>
      <c r="V12" s="172"/>
      <c r="W12" s="313"/>
      <c r="X12" s="157"/>
    </row>
    <row r="13" spans="1:24" x14ac:dyDescent="0.3">
      <c r="A13" s="480">
        <v>2</v>
      </c>
      <c r="B13" s="471" t="s">
        <v>858</v>
      </c>
      <c r="C13" s="468">
        <f>HLOOKUP($C$4,$O$11:$R$41,3,FALSE)</f>
        <v>23615</v>
      </c>
      <c r="D13" s="468">
        <f t="shared" ref="D13:D47" si="0">C13*$C$9</f>
        <v>0</v>
      </c>
      <c r="E13" s="468">
        <f t="shared" ref="E13:E47" si="1">C13*(100%+$C$9)</f>
        <v>23615</v>
      </c>
      <c r="F13" s="468">
        <f t="shared" ref="F13:F47" si="2">(E13-$C$5)*$C$6</f>
        <v>2003.0700000000002</v>
      </c>
      <c r="G13" s="472">
        <f t="shared" ref="G13:G47" si="3">E13*$C$8</f>
        <v>118.075</v>
      </c>
      <c r="H13" s="468">
        <f t="shared" ref="H13:H47" si="4">E13*$C$7</f>
        <v>5615.6469999999999</v>
      </c>
      <c r="I13" s="723">
        <f t="shared" ref="I13:I47" si="5">SUM(E13:H13)</f>
        <v>31351.792000000001</v>
      </c>
      <c r="J13" s="128">
        <v>1560</v>
      </c>
      <c r="K13" s="909">
        <f t="shared" ref="K13:K47" si="6">ROUND(I13/J13,2)</f>
        <v>20.100000000000001</v>
      </c>
      <c r="L13" s="469">
        <v>0.41</v>
      </c>
      <c r="M13" s="691">
        <v>0.83</v>
      </c>
      <c r="O13" s="708">
        <v>23615</v>
      </c>
      <c r="P13" s="283">
        <v>29029</v>
      </c>
      <c r="Q13">
        <v>28166</v>
      </c>
      <c r="R13">
        <v>24873</v>
      </c>
      <c r="V13" s="524" t="s">
        <v>888</v>
      </c>
      <c r="X13" s="159"/>
    </row>
    <row r="14" spans="1:24" x14ac:dyDescent="0.3">
      <c r="A14" s="480">
        <v>3</v>
      </c>
      <c r="B14" s="471" t="s">
        <v>859</v>
      </c>
      <c r="C14" s="468">
        <f>HLOOKUP($C$4,$O$11:$R$41,4,FALSE)</f>
        <v>24071</v>
      </c>
      <c r="D14" s="468">
        <f t="shared" si="0"/>
        <v>0</v>
      </c>
      <c r="E14" s="468">
        <f t="shared" si="1"/>
        <v>24071</v>
      </c>
      <c r="F14" s="468">
        <f t="shared" si="2"/>
        <v>2065.998</v>
      </c>
      <c r="G14" s="472">
        <f t="shared" si="3"/>
        <v>120.355</v>
      </c>
      <c r="H14" s="468">
        <f t="shared" si="4"/>
        <v>5724.0838000000003</v>
      </c>
      <c r="I14" s="723">
        <f t="shared" si="5"/>
        <v>31981.436799999999</v>
      </c>
      <c r="J14" s="128">
        <v>1560</v>
      </c>
      <c r="K14" s="909">
        <f t="shared" si="6"/>
        <v>20.5</v>
      </c>
      <c r="L14" s="469">
        <v>0.35</v>
      </c>
      <c r="M14" s="691">
        <v>0.69</v>
      </c>
      <c r="O14" s="708">
        <v>24071</v>
      </c>
      <c r="P14" s="283">
        <v>29485</v>
      </c>
      <c r="Q14">
        <v>28622</v>
      </c>
      <c r="R14">
        <v>25329</v>
      </c>
      <c r="S14" t="s">
        <v>915</v>
      </c>
      <c r="V14" s="525" t="s">
        <v>889</v>
      </c>
      <c r="W14">
        <v>260</v>
      </c>
      <c r="X14" s="159"/>
    </row>
    <row r="15" spans="1:24" x14ac:dyDescent="0.3">
      <c r="A15" s="480">
        <v>3</v>
      </c>
      <c r="B15" s="471" t="s">
        <v>860</v>
      </c>
      <c r="C15" s="468">
        <f>HLOOKUP($C$4,$O$11:$R$41,5,FALSE)</f>
        <v>25674</v>
      </c>
      <c r="D15" s="468">
        <f t="shared" si="0"/>
        <v>0</v>
      </c>
      <c r="E15" s="468">
        <f t="shared" si="1"/>
        <v>25674</v>
      </c>
      <c r="F15" s="468">
        <f t="shared" si="2"/>
        <v>2287.212</v>
      </c>
      <c r="G15" s="472">
        <f t="shared" si="3"/>
        <v>128.37</v>
      </c>
      <c r="H15" s="468">
        <f t="shared" si="4"/>
        <v>6105.2772000000004</v>
      </c>
      <c r="I15" s="723">
        <f t="shared" si="5"/>
        <v>34194.859199999999</v>
      </c>
      <c r="J15" s="128">
        <v>1560</v>
      </c>
      <c r="K15" s="909">
        <f t="shared" si="6"/>
        <v>21.92</v>
      </c>
      <c r="L15" s="469">
        <v>0.35</v>
      </c>
      <c r="M15" s="691">
        <v>0.69</v>
      </c>
      <c r="O15" s="708">
        <v>25674</v>
      </c>
      <c r="P15" s="283">
        <v>31088</v>
      </c>
      <c r="Q15">
        <v>30225</v>
      </c>
      <c r="R15">
        <v>26958</v>
      </c>
      <c r="S15" t="s">
        <v>933</v>
      </c>
      <c r="V15" s="525" t="s">
        <v>890</v>
      </c>
      <c r="W15">
        <v>-40</v>
      </c>
      <c r="X15" s="159"/>
    </row>
    <row r="16" spans="1:24" x14ac:dyDescent="0.3">
      <c r="A16" s="480">
        <v>4</v>
      </c>
      <c r="B16" s="471" t="s">
        <v>861</v>
      </c>
      <c r="C16" s="468">
        <f>HLOOKUP($C$4,$O$11:$R$41,6,FALSE)</f>
        <v>26530</v>
      </c>
      <c r="D16" s="468">
        <f t="shared" si="0"/>
        <v>0</v>
      </c>
      <c r="E16" s="468">
        <f t="shared" si="1"/>
        <v>26530</v>
      </c>
      <c r="F16" s="468">
        <f t="shared" si="2"/>
        <v>2405.34</v>
      </c>
      <c r="G16" s="472">
        <f t="shared" si="3"/>
        <v>132.65</v>
      </c>
      <c r="H16" s="468">
        <f t="shared" si="4"/>
        <v>6308.8340000000007</v>
      </c>
      <c r="I16" s="723">
        <f t="shared" si="5"/>
        <v>35376.824000000001</v>
      </c>
      <c r="J16" s="128">
        <v>1560</v>
      </c>
      <c r="K16" s="909">
        <f t="shared" si="6"/>
        <v>22.68</v>
      </c>
      <c r="L16" s="469">
        <v>0.3</v>
      </c>
      <c r="M16" s="691">
        <v>0.6</v>
      </c>
      <c r="O16" s="708">
        <v>26530</v>
      </c>
      <c r="P16" s="283">
        <v>31944</v>
      </c>
      <c r="Q16">
        <v>31081</v>
      </c>
      <c r="R16">
        <v>27857</v>
      </c>
      <c r="S16" t="s">
        <v>934</v>
      </c>
      <c r="V16" s="525" t="s">
        <v>891</v>
      </c>
      <c r="W16">
        <v>-2</v>
      </c>
      <c r="X16" s="159"/>
    </row>
    <row r="17" spans="1:24" x14ac:dyDescent="0.3">
      <c r="A17" s="480">
        <v>4</v>
      </c>
      <c r="B17" s="471" t="s">
        <v>862</v>
      </c>
      <c r="C17" s="468">
        <f>HLOOKUP($C$4,$O$11:$R$41,7,FALSE)</f>
        <v>29114</v>
      </c>
      <c r="D17" s="468">
        <f t="shared" si="0"/>
        <v>0</v>
      </c>
      <c r="E17" s="468">
        <f t="shared" si="1"/>
        <v>29114</v>
      </c>
      <c r="F17" s="468">
        <f t="shared" si="2"/>
        <v>2761.9320000000002</v>
      </c>
      <c r="G17" s="472">
        <f t="shared" si="3"/>
        <v>145.57</v>
      </c>
      <c r="H17" s="468">
        <f t="shared" si="4"/>
        <v>6923.3092000000006</v>
      </c>
      <c r="I17" s="723">
        <f t="shared" si="5"/>
        <v>38944.811200000004</v>
      </c>
      <c r="J17" s="128">
        <v>1560</v>
      </c>
      <c r="K17" s="909">
        <f t="shared" si="6"/>
        <v>24.96</v>
      </c>
      <c r="L17" s="469">
        <v>0.3</v>
      </c>
      <c r="M17" s="691">
        <v>0.6</v>
      </c>
      <c r="O17" s="708">
        <v>29114</v>
      </c>
      <c r="P17" s="283">
        <v>34937</v>
      </c>
      <c r="Q17">
        <v>33665</v>
      </c>
      <c r="R17">
        <v>30570</v>
      </c>
      <c r="S17" t="s">
        <v>935</v>
      </c>
      <c r="V17" s="525" t="s">
        <v>892</v>
      </c>
      <c r="W17">
        <v>-10</v>
      </c>
      <c r="X17" s="159"/>
    </row>
    <row r="18" spans="1:24" x14ac:dyDescent="0.3">
      <c r="A18" s="480">
        <v>5</v>
      </c>
      <c r="B18" s="471" t="s">
        <v>863</v>
      </c>
      <c r="C18" s="468">
        <f>HLOOKUP($C$4,$O$11:$R$41,8,FALSE)</f>
        <v>29970</v>
      </c>
      <c r="D18" s="468">
        <f t="shared" si="0"/>
        <v>0</v>
      </c>
      <c r="E18" s="468">
        <f t="shared" si="1"/>
        <v>29970</v>
      </c>
      <c r="F18" s="468">
        <f t="shared" si="2"/>
        <v>2880.0600000000004</v>
      </c>
      <c r="G18" s="472">
        <f t="shared" si="3"/>
        <v>149.85</v>
      </c>
      <c r="H18" s="468">
        <f t="shared" si="4"/>
        <v>7126.866</v>
      </c>
      <c r="I18" s="723">
        <f t="shared" si="5"/>
        <v>40126.775999999998</v>
      </c>
      <c r="J18" s="128">
        <v>1560</v>
      </c>
      <c r="K18" s="909">
        <f t="shared" si="6"/>
        <v>25.72</v>
      </c>
      <c r="L18" s="469">
        <v>0.3</v>
      </c>
      <c r="M18" s="691">
        <v>0.6</v>
      </c>
      <c r="O18" s="708">
        <v>29970</v>
      </c>
      <c r="P18" s="283">
        <v>35964</v>
      </c>
      <c r="Q18">
        <v>34521</v>
      </c>
      <c r="R18">
        <v>31469</v>
      </c>
      <c r="V18" s="525"/>
      <c r="W18" s="313">
        <v>208</v>
      </c>
      <c r="X18" s="159"/>
    </row>
    <row r="19" spans="1:24" x14ac:dyDescent="0.3">
      <c r="A19" s="480">
        <v>5</v>
      </c>
      <c r="B19" s="471" t="s">
        <v>864</v>
      </c>
      <c r="C19" s="468">
        <f>HLOOKUP($C$4,$O$11:$R$41,9,FALSE)</f>
        <v>32324</v>
      </c>
      <c r="D19" s="468">
        <f t="shared" si="0"/>
        <v>0</v>
      </c>
      <c r="E19" s="468">
        <f t="shared" si="1"/>
        <v>32324</v>
      </c>
      <c r="F19" s="468">
        <f t="shared" si="2"/>
        <v>3204.9120000000003</v>
      </c>
      <c r="G19" s="472">
        <f t="shared" si="3"/>
        <v>161.62</v>
      </c>
      <c r="H19" s="468">
        <f t="shared" si="4"/>
        <v>7686.6472000000003</v>
      </c>
      <c r="I19" s="723">
        <f t="shared" si="5"/>
        <v>43377.179199999999</v>
      </c>
      <c r="J19" s="128">
        <v>1560</v>
      </c>
      <c r="K19" s="909">
        <f t="shared" si="6"/>
        <v>27.81</v>
      </c>
      <c r="L19" s="469">
        <v>0.3</v>
      </c>
      <c r="M19" s="691">
        <v>0.6</v>
      </c>
      <c r="O19" s="708">
        <v>32324</v>
      </c>
      <c r="P19" s="283">
        <v>38789</v>
      </c>
      <c r="Q19">
        <v>37173</v>
      </c>
      <c r="R19">
        <v>33941</v>
      </c>
      <c r="V19" s="525" t="s">
        <v>894</v>
      </c>
      <c r="W19" s="346">
        <f>7.5*W18</f>
        <v>1560</v>
      </c>
      <c r="X19" s="159"/>
    </row>
    <row r="20" spans="1:24" x14ac:dyDescent="0.3">
      <c r="A20" s="480">
        <v>5</v>
      </c>
      <c r="B20" s="471" t="s">
        <v>865</v>
      </c>
      <c r="C20" s="468">
        <f>HLOOKUP($C$4,$O$11:$R$41,10,FALSE)</f>
        <v>36483</v>
      </c>
      <c r="D20" s="468">
        <f t="shared" si="0"/>
        <v>0</v>
      </c>
      <c r="E20" s="468">
        <f t="shared" si="1"/>
        <v>36483</v>
      </c>
      <c r="F20" s="468">
        <f t="shared" si="2"/>
        <v>3778.8540000000003</v>
      </c>
      <c r="G20" s="472">
        <f t="shared" si="3"/>
        <v>182.41499999999999</v>
      </c>
      <c r="H20" s="468">
        <f t="shared" si="4"/>
        <v>8675.6574000000001</v>
      </c>
      <c r="I20" s="723">
        <f t="shared" si="5"/>
        <v>49119.926399999997</v>
      </c>
      <c r="J20" s="128">
        <v>1560</v>
      </c>
      <c r="K20" s="909">
        <f t="shared" si="6"/>
        <v>31.49</v>
      </c>
      <c r="L20" s="469">
        <v>0.3</v>
      </c>
      <c r="M20" s="691">
        <v>0.6</v>
      </c>
      <c r="O20" s="708">
        <v>36483</v>
      </c>
      <c r="P20" s="283">
        <v>43780</v>
      </c>
      <c r="Q20">
        <v>41956</v>
      </c>
      <c r="R20">
        <v>38308</v>
      </c>
      <c r="V20" s="160"/>
      <c r="X20" s="159"/>
    </row>
    <row r="21" spans="1:24" x14ac:dyDescent="0.3">
      <c r="A21" s="480">
        <v>6</v>
      </c>
      <c r="B21" s="471" t="s">
        <v>866</v>
      </c>
      <c r="C21" s="468">
        <f>HLOOKUP($C$4,$O$11:$R$41,11,FALSE)</f>
        <v>37338</v>
      </c>
      <c r="D21" s="468">
        <f t="shared" si="0"/>
        <v>0</v>
      </c>
      <c r="E21" s="468">
        <f t="shared" si="1"/>
        <v>37338</v>
      </c>
      <c r="F21" s="468">
        <f t="shared" si="2"/>
        <v>3896.8440000000005</v>
      </c>
      <c r="G21" s="472">
        <f t="shared" si="3"/>
        <v>186.69</v>
      </c>
      <c r="H21" s="468">
        <f t="shared" si="4"/>
        <v>8878.9763999999996</v>
      </c>
      <c r="I21" s="723">
        <f t="shared" si="5"/>
        <v>50300.510399999999</v>
      </c>
      <c r="J21" s="128">
        <v>1560</v>
      </c>
      <c r="K21" s="909">
        <f t="shared" si="6"/>
        <v>32.24</v>
      </c>
      <c r="L21" s="469">
        <v>0.3</v>
      </c>
      <c r="M21" s="691">
        <v>0.6</v>
      </c>
      <c r="O21" s="708">
        <v>37338</v>
      </c>
      <c r="P21" s="283">
        <v>44806</v>
      </c>
      <c r="Q21">
        <v>42939</v>
      </c>
      <c r="R21">
        <v>39205</v>
      </c>
      <c r="V21" s="525"/>
      <c r="X21" s="159"/>
    </row>
    <row r="22" spans="1:24" x14ac:dyDescent="0.3">
      <c r="A22" s="480">
        <v>6</v>
      </c>
      <c r="B22" s="471" t="s">
        <v>725</v>
      </c>
      <c r="C22" s="468">
        <f>HLOOKUP($C$4,$O$11:$R$41,12,FALSE)</f>
        <v>39405</v>
      </c>
      <c r="D22" s="468">
        <f t="shared" si="0"/>
        <v>0</v>
      </c>
      <c r="E22" s="468">
        <f t="shared" si="1"/>
        <v>39405</v>
      </c>
      <c r="F22" s="468">
        <f t="shared" si="2"/>
        <v>4182.09</v>
      </c>
      <c r="G22" s="472">
        <f t="shared" si="3"/>
        <v>197.02500000000001</v>
      </c>
      <c r="H22" s="468">
        <f t="shared" si="4"/>
        <v>9370.509</v>
      </c>
      <c r="I22" s="723">
        <f t="shared" si="5"/>
        <v>53154.623999999996</v>
      </c>
      <c r="J22" s="128">
        <v>1560</v>
      </c>
      <c r="K22" s="909">
        <f t="shared" si="6"/>
        <v>34.07</v>
      </c>
      <c r="L22" s="469">
        <v>0.3</v>
      </c>
      <c r="M22" s="691">
        <v>0.6</v>
      </c>
      <c r="O22" s="708">
        <v>39405</v>
      </c>
      <c r="P22" s="283">
        <v>47286</v>
      </c>
      <c r="Q22">
        <v>45140</v>
      </c>
      <c r="R22">
        <v>41376</v>
      </c>
      <c r="V22" s="524" t="s">
        <v>884</v>
      </c>
      <c r="X22" s="159"/>
    </row>
    <row r="23" spans="1:24" x14ac:dyDescent="0.3">
      <c r="A23" s="480">
        <v>6</v>
      </c>
      <c r="B23" s="471" t="s">
        <v>867</v>
      </c>
      <c r="C23" s="468">
        <f>HLOOKUP($C$4,$O$11:$R$41,13,FALSE)</f>
        <v>44962</v>
      </c>
      <c r="D23" s="468">
        <f t="shared" si="0"/>
        <v>0</v>
      </c>
      <c r="E23" s="468">
        <f t="shared" si="1"/>
        <v>44962</v>
      </c>
      <c r="F23" s="468">
        <f t="shared" si="2"/>
        <v>4948.9560000000001</v>
      </c>
      <c r="G23" s="472">
        <f t="shared" si="3"/>
        <v>224.81</v>
      </c>
      <c r="H23" s="468">
        <f t="shared" si="4"/>
        <v>10691.963600000001</v>
      </c>
      <c r="I23" s="723">
        <f t="shared" si="5"/>
        <v>60827.729599999999</v>
      </c>
      <c r="J23" s="128">
        <v>1560</v>
      </c>
      <c r="K23" s="909">
        <f t="shared" si="6"/>
        <v>38.99</v>
      </c>
      <c r="L23" s="469">
        <v>0.3</v>
      </c>
      <c r="M23" s="691">
        <v>0.6</v>
      </c>
      <c r="O23" s="708">
        <v>44962</v>
      </c>
      <c r="P23" s="283">
        <v>53134</v>
      </c>
      <c r="Q23">
        <v>50697</v>
      </c>
      <c r="R23">
        <v>47084</v>
      </c>
      <c r="V23" s="525" t="s">
        <v>895</v>
      </c>
      <c r="W23">
        <v>43</v>
      </c>
      <c r="X23" s="159"/>
    </row>
    <row r="24" spans="1:24" x14ac:dyDescent="0.3">
      <c r="A24" s="480">
        <v>7</v>
      </c>
      <c r="B24" s="471" t="s">
        <v>868</v>
      </c>
      <c r="C24" s="468">
        <f>HLOOKUP($C$4,$O$11:$R$41,14,FALSE)</f>
        <v>46148</v>
      </c>
      <c r="D24" s="468">
        <f t="shared" si="0"/>
        <v>0</v>
      </c>
      <c r="E24" s="468">
        <f t="shared" si="1"/>
        <v>46148</v>
      </c>
      <c r="F24" s="468">
        <f t="shared" si="2"/>
        <v>5112.6240000000007</v>
      </c>
      <c r="G24" s="472">
        <f t="shared" si="3"/>
        <v>230.74</v>
      </c>
      <c r="H24" s="468">
        <f t="shared" si="4"/>
        <v>10973.994400000001</v>
      </c>
      <c r="I24" s="723">
        <f t="shared" si="5"/>
        <v>62465.358400000005</v>
      </c>
      <c r="J24" s="128">
        <v>1560</v>
      </c>
      <c r="K24" s="909">
        <f t="shared" si="6"/>
        <v>40.04</v>
      </c>
      <c r="L24" s="469">
        <v>0.3</v>
      </c>
      <c r="M24" s="691">
        <v>0.6</v>
      </c>
      <c r="O24" s="708">
        <v>46148</v>
      </c>
      <c r="P24" s="283">
        <v>54320</v>
      </c>
      <c r="Q24">
        <v>51883</v>
      </c>
      <c r="R24">
        <v>48270</v>
      </c>
      <c r="V24" s="525"/>
      <c r="X24" s="159"/>
    </row>
    <row r="25" spans="1:24" x14ac:dyDescent="0.3">
      <c r="A25" s="480">
        <v>7</v>
      </c>
      <c r="B25" s="471" t="s">
        <v>716</v>
      </c>
      <c r="C25" s="468">
        <f>HLOOKUP($C$4,$O$11:$R$41,15,FALSE)</f>
        <v>48526</v>
      </c>
      <c r="D25" s="468">
        <f t="shared" si="0"/>
        <v>0</v>
      </c>
      <c r="E25" s="468">
        <f t="shared" si="1"/>
        <v>48526</v>
      </c>
      <c r="F25" s="468">
        <f t="shared" si="2"/>
        <v>5440.7880000000005</v>
      </c>
      <c r="G25" s="472">
        <f t="shared" si="3"/>
        <v>242.63</v>
      </c>
      <c r="H25" s="468">
        <f t="shared" si="4"/>
        <v>11539.4828</v>
      </c>
      <c r="I25" s="723">
        <f t="shared" si="5"/>
        <v>65748.900800000003</v>
      </c>
      <c r="J25" s="128">
        <v>1560</v>
      </c>
      <c r="K25" s="909">
        <f t="shared" si="6"/>
        <v>42.15</v>
      </c>
      <c r="L25" s="469">
        <v>0.3</v>
      </c>
      <c r="M25" s="691">
        <v>0.6</v>
      </c>
      <c r="O25" s="708">
        <v>48526</v>
      </c>
      <c r="P25" s="283">
        <v>56698</v>
      </c>
      <c r="Q25">
        <v>54261</v>
      </c>
      <c r="R25">
        <v>50648</v>
      </c>
      <c r="V25" s="525" t="s">
        <v>897</v>
      </c>
      <c r="W25">
        <v>10</v>
      </c>
      <c r="X25" s="159"/>
    </row>
    <row r="26" spans="1:24" x14ac:dyDescent="0.3">
      <c r="A26" s="480">
        <v>7</v>
      </c>
      <c r="B26" s="471" t="s">
        <v>869</v>
      </c>
      <c r="C26" s="468">
        <f>HLOOKUP($C$4,$O$11:$R$41,16,FALSE)</f>
        <v>52809</v>
      </c>
      <c r="D26" s="468">
        <f t="shared" si="0"/>
        <v>0</v>
      </c>
      <c r="E26" s="468">
        <f t="shared" si="1"/>
        <v>52809</v>
      </c>
      <c r="F26" s="468">
        <f t="shared" si="2"/>
        <v>6031.8420000000006</v>
      </c>
      <c r="G26" s="472">
        <f t="shared" si="3"/>
        <v>264.04500000000002</v>
      </c>
      <c r="H26" s="468">
        <f t="shared" si="4"/>
        <v>12557.9802</v>
      </c>
      <c r="I26" s="723">
        <f t="shared" si="5"/>
        <v>71662.867200000008</v>
      </c>
      <c r="J26" s="128">
        <v>1560</v>
      </c>
      <c r="K26" s="909">
        <f t="shared" si="6"/>
        <v>45.94</v>
      </c>
      <c r="L26" s="469">
        <v>0.3</v>
      </c>
      <c r="M26" s="691">
        <v>0.6</v>
      </c>
      <c r="O26" s="708">
        <v>52809</v>
      </c>
      <c r="P26" s="283">
        <v>60981</v>
      </c>
      <c r="Q26">
        <v>58544</v>
      </c>
      <c r="R26">
        <v>54931</v>
      </c>
      <c r="V26" s="525" t="s">
        <v>898</v>
      </c>
      <c r="W26">
        <v>-2</v>
      </c>
      <c r="X26" s="159"/>
    </row>
    <row r="27" spans="1:24" x14ac:dyDescent="0.3">
      <c r="A27" s="480" t="s">
        <v>893</v>
      </c>
      <c r="B27" s="471" t="s">
        <v>870</v>
      </c>
      <c r="C27" s="468">
        <f>HLOOKUP($C$4,$O$11:$R$41,17,FALSE)</f>
        <v>53754.676500000001</v>
      </c>
      <c r="D27" s="468">
        <f t="shared" si="0"/>
        <v>0</v>
      </c>
      <c r="E27" s="468">
        <f t="shared" si="1"/>
        <v>53754.676500000001</v>
      </c>
      <c r="F27" s="468">
        <f t="shared" si="2"/>
        <v>6162.3453570000011</v>
      </c>
      <c r="G27" s="472">
        <f t="shared" si="3"/>
        <v>268.77338250000003</v>
      </c>
      <c r="H27" s="468">
        <f t="shared" si="4"/>
        <v>12782.862071700001</v>
      </c>
      <c r="I27" s="723">
        <f t="shared" si="5"/>
        <v>72968.657311200004</v>
      </c>
      <c r="J27" s="128">
        <v>1560</v>
      </c>
      <c r="K27" s="909">
        <f t="shared" si="6"/>
        <v>46.77</v>
      </c>
      <c r="L27" s="469">
        <v>0.3</v>
      </c>
      <c r="M27" s="691">
        <v>0.6</v>
      </c>
      <c r="O27" s="708">
        <v>53754.676500000001</v>
      </c>
      <c r="P27" s="283">
        <v>61927</v>
      </c>
      <c r="Q27">
        <v>59490</v>
      </c>
      <c r="R27">
        <v>55877</v>
      </c>
      <c r="V27" s="525"/>
      <c r="W27" s="313">
        <v>8</v>
      </c>
      <c r="X27" s="159"/>
    </row>
    <row r="28" spans="1:24" x14ac:dyDescent="0.3">
      <c r="A28" s="480" t="s">
        <v>893</v>
      </c>
      <c r="B28" s="471" t="s">
        <v>720</v>
      </c>
      <c r="C28" s="468">
        <f>HLOOKUP($C$4,$O$11:$R$41,18,FALSE)</f>
        <v>56454</v>
      </c>
      <c r="D28" s="468">
        <f t="shared" si="0"/>
        <v>0</v>
      </c>
      <c r="E28" s="468">
        <f t="shared" si="1"/>
        <v>56454</v>
      </c>
      <c r="F28" s="468">
        <f t="shared" si="2"/>
        <v>6534.8520000000008</v>
      </c>
      <c r="G28" s="472">
        <f t="shared" si="3"/>
        <v>282.27</v>
      </c>
      <c r="H28" s="468">
        <f t="shared" si="4"/>
        <v>13424.761200000001</v>
      </c>
      <c r="I28" s="723">
        <f t="shared" si="5"/>
        <v>76695.883199999997</v>
      </c>
      <c r="J28" s="128">
        <v>1560</v>
      </c>
      <c r="K28" s="909">
        <f t="shared" si="6"/>
        <v>49.16</v>
      </c>
      <c r="L28" s="469">
        <v>0.3</v>
      </c>
      <c r="M28" s="691">
        <v>0.6</v>
      </c>
      <c r="O28" s="708">
        <v>56454</v>
      </c>
      <c r="P28" s="283">
        <v>64626</v>
      </c>
      <c r="Q28">
        <v>62189</v>
      </c>
      <c r="R28">
        <v>58576</v>
      </c>
      <c r="V28" s="525" t="s">
        <v>899</v>
      </c>
      <c r="W28" s="346">
        <f>W27*4*W23</f>
        <v>1376</v>
      </c>
      <c r="X28" s="159"/>
    </row>
    <row r="29" spans="1:24" x14ac:dyDescent="0.3">
      <c r="A29" s="480" t="s">
        <v>893</v>
      </c>
      <c r="B29" s="471" t="s">
        <v>871</v>
      </c>
      <c r="C29" s="468">
        <f>HLOOKUP($C$4,$O$11:$R$41,19,FALSE)</f>
        <v>60504</v>
      </c>
      <c r="D29" s="468">
        <f t="shared" si="0"/>
        <v>0</v>
      </c>
      <c r="E29" s="468">
        <f t="shared" si="1"/>
        <v>60504</v>
      </c>
      <c r="F29" s="468">
        <f t="shared" si="2"/>
        <v>7093.7520000000004</v>
      </c>
      <c r="G29" s="472">
        <f t="shared" si="3"/>
        <v>302.52</v>
      </c>
      <c r="H29" s="468">
        <f t="shared" si="4"/>
        <v>14387.851200000001</v>
      </c>
      <c r="I29" s="723">
        <f t="shared" si="5"/>
        <v>82288.123200000016</v>
      </c>
      <c r="J29" s="128">
        <v>1560</v>
      </c>
      <c r="K29" s="909">
        <f t="shared" si="6"/>
        <v>52.75</v>
      </c>
      <c r="L29" s="469">
        <v>0.3</v>
      </c>
      <c r="M29" s="691">
        <v>0.6</v>
      </c>
      <c r="O29" s="708">
        <v>60504</v>
      </c>
      <c r="P29" s="283">
        <v>68676</v>
      </c>
      <c r="Q29">
        <v>66239</v>
      </c>
      <c r="R29">
        <v>62626</v>
      </c>
      <c r="V29" s="160"/>
      <c r="X29" s="159"/>
    </row>
    <row r="30" spans="1:24" x14ac:dyDescent="0.3">
      <c r="A30" s="480" t="s">
        <v>896</v>
      </c>
      <c r="B30" s="471" t="s">
        <v>872</v>
      </c>
      <c r="C30" s="468">
        <f>HLOOKUP($C$4,$O$11:$R$41,20,FALSE)</f>
        <v>62215</v>
      </c>
      <c r="D30" s="468">
        <f t="shared" si="0"/>
        <v>0</v>
      </c>
      <c r="E30" s="468">
        <f t="shared" si="1"/>
        <v>62215</v>
      </c>
      <c r="F30" s="468">
        <f t="shared" si="2"/>
        <v>7329.8700000000008</v>
      </c>
      <c r="G30" s="472">
        <f t="shared" si="3"/>
        <v>311.07499999999999</v>
      </c>
      <c r="H30" s="468">
        <f t="shared" si="4"/>
        <v>14794.727000000001</v>
      </c>
      <c r="I30" s="723">
        <f t="shared" si="5"/>
        <v>84650.671999999991</v>
      </c>
      <c r="J30" s="128">
        <v>1560</v>
      </c>
      <c r="K30" s="909">
        <f t="shared" si="6"/>
        <v>54.26</v>
      </c>
      <c r="L30" s="469">
        <v>0.3</v>
      </c>
      <c r="M30" s="691">
        <v>0.6</v>
      </c>
      <c r="O30" s="708">
        <v>62215</v>
      </c>
      <c r="P30" s="283">
        <v>70387</v>
      </c>
      <c r="Q30">
        <v>67950</v>
      </c>
      <c r="R30">
        <v>64337</v>
      </c>
      <c r="V30" s="525"/>
      <c r="X30" s="159"/>
    </row>
    <row r="31" spans="1:24" x14ac:dyDescent="0.3">
      <c r="A31" s="480" t="s">
        <v>896</v>
      </c>
      <c r="B31" s="471" t="s">
        <v>873</v>
      </c>
      <c r="C31" s="468">
        <f>HLOOKUP($C$4,$O$11:$R$41,21,FALSE)</f>
        <v>66246</v>
      </c>
      <c r="D31" s="468">
        <f t="shared" si="0"/>
        <v>0</v>
      </c>
      <c r="E31" s="468">
        <f t="shared" si="1"/>
        <v>66246</v>
      </c>
      <c r="F31" s="468">
        <f t="shared" si="2"/>
        <v>7886.148000000001</v>
      </c>
      <c r="G31" s="472">
        <f t="shared" si="3"/>
        <v>331.23</v>
      </c>
      <c r="H31" s="468">
        <f t="shared" si="4"/>
        <v>15753.2988</v>
      </c>
      <c r="I31" s="723">
        <f t="shared" si="5"/>
        <v>90216.676800000001</v>
      </c>
      <c r="J31" s="128">
        <v>1560</v>
      </c>
      <c r="K31" s="909">
        <f t="shared" si="6"/>
        <v>57.83</v>
      </c>
      <c r="L31" s="469">
        <v>0.3</v>
      </c>
      <c r="M31" s="691">
        <v>0.6</v>
      </c>
      <c r="O31" s="708">
        <v>66246</v>
      </c>
      <c r="P31" s="283">
        <v>74418</v>
      </c>
      <c r="Q31">
        <v>71981</v>
      </c>
      <c r="R31">
        <v>68368</v>
      </c>
      <c r="V31" s="524" t="s">
        <v>887</v>
      </c>
      <c r="X31" s="159"/>
    </row>
    <row r="32" spans="1:24" x14ac:dyDescent="0.3">
      <c r="A32" s="480" t="s">
        <v>896</v>
      </c>
      <c r="B32" s="471" t="s">
        <v>874</v>
      </c>
      <c r="C32" s="468">
        <f>HLOOKUP($C$4,$O$11:$R$41,22,FALSE)</f>
        <v>72293</v>
      </c>
      <c r="D32" s="468">
        <f t="shared" si="0"/>
        <v>0</v>
      </c>
      <c r="E32" s="468">
        <f t="shared" si="1"/>
        <v>72293</v>
      </c>
      <c r="F32" s="468">
        <f t="shared" si="2"/>
        <v>8720.634</v>
      </c>
      <c r="G32" s="472">
        <f t="shared" si="3"/>
        <v>361.46500000000003</v>
      </c>
      <c r="H32" s="468">
        <f t="shared" si="4"/>
        <v>17191.275400000002</v>
      </c>
      <c r="I32" s="723">
        <f t="shared" si="5"/>
        <v>98566.374400000001</v>
      </c>
      <c r="J32" s="128">
        <v>1560</v>
      </c>
      <c r="K32" s="909">
        <f t="shared" si="6"/>
        <v>63.18</v>
      </c>
      <c r="L32" s="469">
        <v>0.3</v>
      </c>
      <c r="M32" s="691">
        <v>0.6</v>
      </c>
      <c r="O32" s="708">
        <v>72293</v>
      </c>
      <c r="P32" s="283">
        <v>80465</v>
      </c>
      <c r="Q32">
        <v>78028</v>
      </c>
      <c r="R32">
        <v>74415</v>
      </c>
      <c r="V32" s="525" t="s">
        <v>901</v>
      </c>
      <c r="W32">
        <v>44.7</v>
      </c>
      <c r="X32" s="159"/>
    </row>
    <row r="33" spans="1:24" x14ac:dyDescent="0.3">
      <c r="A33" s="480" t="s">
        <v>900</v>
      </c>
      <c r="B33" s="471" t="s">
        <v>875</v>
      </c>
      <c r="C33" s="468">
        <f>HLOOKUP($C$4,$O$11:$R$41,23,FALSE)</f>
        <v>74290</v>
      </c>
      <c r="D33" s="468">
        <f t="shared" si="0"/>
        <v>0</v>
      </c>
      <c r="E33" s="468">
        <f t="shared" si="1"/>
        <v>74290</v>
      </c>
      <c r="F33" s="468">
        <f t="shared" si="2"/>
        <v>8996.2200000000012</v>
      </c>
      <c r="G33" s="472">
        <f t="shared" si="3"/>
        <v>371.45</v>
      </c>
      <c r="H33" s="468">
        <f t="shared" si="4"/>
        <v>17666.162</v>
      </c>
      <c r="I33" s="723">
        <f t="shared" si="5"/>
        <v>101323.83199999999</v>
      </c>
      <c r="J33" s="128">
        <v>1560</v>
      </c>
      <c r="K33" s="909">
        <f t="shared" si="6"/>
        <v>64.95</v>
      </c>
      <c r="L33" s="469">
        <v>0.3</v>
      </c>
      <c r="M33" s="691">
        <v>0.6</v>
      </c>
      <c r="O33" s="708">
        <v>74290</v>
      </c>
      <c r="P33" s="283">
        <v>82462</v>
      </c>
      <c r="Q33">
        <v>80025</v>
      </c>
      <c r="R33">
        <v>76412</v>
      </c>
      <c r="V33" s="525" t="s">
        <v>902</v>
      </c>
      <c r="W33">
        <v>48</v>
      </c>
      <c r="X33" s="159"/>
    </row>
    <row r="34" spans="1:24" x14ac:dyDescent="0.3">
      <c r="A34" s="480" t="s">
        <v>900</v>
      </c>
      <c r="B34" s="471" t="s">
        <v>876</v>
      </c>
      <c r="C34" s="468">
        <f>HLOOKUP($C$4,$O$11:$R$41,24,FALSE)</f>
        <v>78814</v>
      </c>
      <c r="D34" s="468">
        <f t="shared" si="0"/>
        <v>0</v>
      </c>
      <c r="E34" s="468">
        <f t="shared" si="1"/>
        <v>78814</v>
      </c>
      <c r="F34" s="468">
        <f t="shared" si="2"/>
        <v>9620.5320000000011</v>
      </c>
      <c r="G34" s="472">
        <f t="shared" si="3"/>
        <v>394.07</v>
      </c>
      <c r="H34" s="468">
        <f t="shared" si="4"/>
        <v>18741.9692</v>
      </c>
      <c r="I34" s="723">
        <f t="shared" si="5"/>
        <v>107570.57120000001</v>
      </c>
      <c r="J34" s="128">
        <v>1560</v>
      </c>
      <c r="K34" s="909">
        <f t="shared" si="6"/>
        <v>68.959999999999994</v>
      </c>
      <c r="L34" s="469">
        <v>0.3</v>
      </c>
      <c r="M34" s="691">
        <v>0.6</v>
      </c>
      <c r="O34" s="708">
        <v>78814</v>
      </c>
      <c r="P34" s="283">
        <v>86986</v>
      </c>
      <c r="Q34">
        <v>84549</v>
      </c>
      <c r="R34">
        <v>80936</v>
      </c>
      <c r="V34" s="525" t="s">
        <v>903</v>
      </c>
      <c r="W34">
        <v>2145.6</v>
      </c>
      <c r="X34" s="159"/>
    </row>
    <row r="35" spans="1:24" x14ac:dyDescent="0.3">
      <c r="A35" s="480" t="s">
        <v>900</v>
      </c>
      <c r="B35" s="471" t="s">
        <v>877</v>
      </c>
      <c r="C35" s="468">
        <f>HLOOKUP($C$4,$O$11:$R$41,25,FALSE)</f>
        <v>85601</v>
      </c>
      <c r="D35" s="468">
        <f t="shared" si="0"/>
        <v>0</v>
      </c>
      <c r="E35" s="468">
        <f t="shared" si="1"/>
        <v>85601</v>
      </c>
      <c r="F35" s="468">
        <f t="shared" si="2"/>
        <v>10557.138000000001</v>
      </c>
      <c r="G35" s="472">
        <f t="shared" si="3"/>
        <v>428.005</v>
      </c>
      <c r="H35" s="468">
        <f t="shared" si="4"/>
        <v>20355.917799999999</v>
      </c>
      <c r="I35" s="723">
        <f t="shared" si="5"/>
        <v>116942.06080000001</v>
      </c>
      <c r="J35" s="128">
        <v>1560</v>
      </c>
      <c r="K35" s="909">
        <f t="shared" si="6"/>
        <v>74.959999999999994</v>
      </c>
      <c r="L35" s="469">
        <v>0.3</v>
      </c>
      <c r="M35" s="691">
        <v>0.6</v>
      </c>
      <c r="O35" s="708">
        <v>85601</v>
      </c>
      <c r="P35" s="283">
        <v>93773</v>
      </c>
      <c r="Q35">
        <v>91336</v>
      </c>
      <c r="R35">
        <v>87723</v>
      </c>
      <c r="V35" s="525" t="s">
        <v>904</v>
      </c>
      <c r="W35" s="526">
        <v>0.6</v>
      </c>
      <c r="X35" s="159"/>
    </row>
    <row r="36" spans="1:24" x14ac:dyDescent="0.3">
      <c r="A36" s="480" t="s">
        <v>905</v>
      </c>
      <c r="B36" s="471" t="s">
        <v>878</v>
      </c>
      <c r="C36" s="468">
        <f>HLOOKUP($C$4,$O$11:$R$41,26,FALSE)</f>
        <v>88168</v>
      </c>
      <c r="D36" s="468">
        <f t="shared" si="0"/>
        <v>0</v>
      </c>
      <c r="E36" s="468">
        <f t="shared" si="1"/>
        <v>88168</v>
      </c>
      <c r="F36" s="468">
        <f t="shared" si="2"/>
        <v>10911.384</v>
      </c>
      <c r="G36" s="472">
        <f t="shared" si="3"/>
        <v>440.84000000000003</v>
      </c>
      <c r="H36" s="468">
        <f t="shared" si="4"/>
        <v>20966.350399999999</v>
      </c>
      <c r="I36" s="723">
        <f t="shared" si="5"/>
        <v>120486.5744</v>
      </c>
      <c r="J36" s="128">
        <v>1560</v>
      </c>
      <c r="K36" s="909">
        <f t="shared" si="6"/>
        <v>77.23</v>
      </c>
      <c r="L36" s="469">
        <v>0.3</v>
      </c>
      <c r="M36" s="691">
        <v>0.6</v>
      </c>
      <c r="O36" s="708">
        <v>88168</v>
      </c>
      <c r="P36" s="283">
        <v>96340</v>
      </c>
      <c r="Q36">
        <v>93903</v>
      </c>
      <c r="R36">
        <v>90290</v>
      </c>
      <c r="V36" s="525" t="s">
        <v>906</v>
      </c>
      <c r="W36" s="523">
        <f>ROUND(W35*W34,0)</f>
        <v>1287</v>
      </c>
      <c r="X36" s="159"/>
    </row>
    <row r="37" spans="1:24" x14ac:dyDescent="0.3">
      <c r="A37" s="480" t="s">
        <v>905</v>
      </c>
      <c r="B37" s="471" t="s">
        <v>879</v>
      </c>
      <c r="C37" s="468">
        <f>HLOOKUP($C$4,$O$11:$R$41,27,FALSE)</f>
        <v>93572</v>
      </c>
      <c r="D37" s="468">
        <f t="shared" si="0"/>
        <v>0</v>
      </c>
      <c r="E37" s="468">
        <f t="shared" si="1"/>
        <v>93572</v>
      </c>
      <c r="F37" s="468">
        <f t="shared" si="2"/>
        <v>11657.136</v>
      </c>
      <c r="G37" s="472">
        <f t="shared" si="3"/>
        <v>467.86</v>
      </c>
      <c r="H37" s="468">
        <f t="shared" si="4"/>
        <v>22251.421600000001</v>
      </c>
      <c r="I37" s="723">
        <f t="shared" si="5"/>
        <v>127948.4176</v>
      </c>
      <c r="J37" s="128">
        <v>1560</v>
      </c>
      <c r="K37" s="909">
        <f t="shared" si="6"/>
        <v>82.02</v>
      </c>
      <c r="L37" s="469">
        <v>0.3</v>
      </c>
      <c r="M37" s="691">
        <v>0.6</v>
      </c>
      <c r="O37" s="708">
        <v>93572</v>
      </c>
      <c r="P37" s="283">
        <v>101744</v>
      </c>
      <c r="Q37">
        <v>99307</v>
      </c>
      <c r="R37">
        <v>95694</v>
      </c>
      <c r="V37" s="161"/>
      <c r="W37" s="162"/>
      <c r="X37" s="163"/>
    </row>
    <row r="38" spans="1:24" x14ac:dyDescent="0.3">
      <c r="A38" s="480" t="s">
        <v>905</v>
      </c>
      <c r="B38" s="471" t="s">
        <v>880</v>
      </c>
      <c r="C38" s="468">
        <f>HLOOKUP($C$4,$O$11:$R$41,28,FALSE)</f>
        <v>101677</v>
      </c>
      <c r="D38" s="468">
        <f t="shared" si="0"/>
        <v>0</v>
      </c>
      <c r="E38" s="468">
        <f t="shared" si="1"/>
        <v>101677</v>
      </c>
      <c r="F38" s="468">
        <f t="shared" si="2"/>
        <v>12775.626</v>
      </c>
      <c r="G38" s="472">
        <f t="shared" si="3"/>
        <v>508.38499999999999</v>
      </c>
      <c r="H38" s="468">
        <f t="shared" si="4"/>
        <v>24178.7906</v>
      </c>
      <c r="I38" s="723">
        <f t="shared" si="5"/>
        <v>139139.80160000001</v>
      </c>
      <c r="J38" s="128">
        <v>1560</v>
      </c>
      <c r="K38" s="909">
        <f t="shared" si="6"/>
        <v>89.19</v>
      </c>
      <c r="L38" s="469">
        <v>0.3</v>
      </c>
      <c r="M38" s="691">
        <v>0.6</v>
      </c>
      <c r="O38" s="708">
        <v>101677</v>
      </c>
      <c r="P38" s="283">
        <v>109849</v>
      </c>
      <c r="Q38">
        <v>107412</v>
      </c>
      <c r="R38">
        <v>103799</v>
      </c>
    </row>
    <row r="39" spans="1:24" x14ac:dyDescent="0.3">
      <c r="A39" s="480">
        <v>9</v>
      </c>
      <c r="B39" s="471" t="s">
        <v>881</v>
      </c>
      <c r="C39" s="468">
        <f>HLOOKUP($C$4,$O$11:$R$41,29,FALSE)</f>
        <v>105385</v>
      </c>
      <c r="D39" s="468">
        <f t="shared" si="0"/>
        <v>0</v>
      </c>
      <c r="E39" s="468">
        <f t="shared" si="1"/>
        <v>105385</v>
      </c>
      <c r="F39" s="468">
        <f t="shared" si="2"/>
        <v>13287.330000000002</v>
      </c>
      <c r="G39" s="472">
        <f t="shared" si="3"/>
        <v>526.92499999999995</v>
      </c>
      <c r="H39" s="468">
        <f t="shared" si="4"/>
        <v>25060.553</v>
      </c>
      <c r="I39" s="723">
        <f t="shared" si="5"/>
        <v>144259.80800000002</v>
      </c>
      <c r="J39" s="128">
        <v>1560</v>
      </c>
      <c r="K39" s="909">
        <f t="shared" si="6"/>
        <v>92.47</v>
      </c>
      <c r="L39" s="469">
        <v>0.3</v>
      </c>
      <c r="M39" s="691">
        <v>0.6</v>
      </c>
      <c r="O39" s="708">
        <v>105385</v>
      </c>
      <c r="P39" s="283">
        <v>113557</v>
      </c>
      <c r="Q39">
        <v>111120</v>
      </c>
      <c r="R39">
        <v>107507</v>
      </c>
    </row>
    <row r="40" spans="1:24" x14ac:dyDescent="0.3">
      <c r="A40" s="480">
        <v>9</v>
      </c>
      <c r="B40" s="471" t="s">
        <v>882</v>
      </c>
      <c r="C40" s="468">
        <f>HLOOKUP($C$4,$O$11:$R$41,30,FALSE)</f>
        <v>111740</v>
      </c>
      <c r="D40" s="468">
        <f t="shared" si="0"/>
        <v>0</v>
      </c>
      <c r="E40" s="468">
        <f t="shared" si="1"/>
        <v>111740</v>
      </c>
      <c r="F40" s="468">
        <f t="shared" si="2"/>
        <v>14164.320000000002</v>
      </c>
      <c r="G40" s="472">
        <f t="shared" si="3"/>
        <v>558.70000000000005</v>
      </c>
      <c r="H40" s="468">
        <f t="shared" si="4"/>
        <v>26571.772000000001</v>
      </c>
      <c r="I40" s="723">
        <f t="shared" si="5"/>
        <v>153034.79200000002</v>
      </c>
      <c r="J40" s="128">
        <v>1560</v>
      </c>
      <c r="K40" s="909">
        <f t="shared" si="6"/>
        <v>98.1</v>
      </c>
      <c r="L40" s="469">
        <v>0.3</v>
      </c>
      <c r="M40" s="691">
        <v>0.6</v>
      </c>
      <c r="O40" s="708">
        <v>111740</v>
      </c>
      <c r="P40" s="283">
        <v>119912</v>
      </c>
      <c r="Q40">
        <v>117475</v>
      </c>
      <c r="R40">
        <v>113862</v>
      </c>
    </row>
    <row r="41" spans="1:24" x14ac:dyDescent="0.3">
      <c r="A41" s="480">
        <v>9</v>
      </c>
      <c r="B41" s="471" t="s">
        <v>883</v>
      </c>
      <c r="C41" s="468">
        <f>HLOOKUP($C$4,$O$11:$R$41,31,FALSE)</f>
        <v>121271</v>
      </c>
      <c r="D41" s="468">
        <f t="shared" si="0"/>
        <v>0</v>
      </c>
      <c r="E41" s="468">
        <f t="shared" si="1"/>
        <v>121271</v>
      </c>
      <c r="F41" s="468">
        <f t="shared" si="2"/>
        <v>15479.598000000002</v>
      </c>
      <c r="G41" s="472">
        <f t="shared" si="3"/>
        <v>606.35500000000002</v>
      </c>
      <c r="H41" s="468">
        <f t="shared" si="4"/>
        <v>28838.2438</v>
      </c>
      <c r="I41" s="723">
        <f t="shared" si="5"/>
        <v>166195.19680000001</v>
      </c>
      <c r="J41" s="128">
        <v>1560</v>
      </c>
      <c r="K41" s="909">
        <f t="shared" si="6"/>
        <v>106.54</v>
      </c>
      <c r="L41" s="469">
        <v>0.3</v>
      </c>
      <c r="M41" s="691">
        <v>0.6</v>
      </c>
      <c r="O41" s="708">
        <v>121271</v>
      </c>
      <c r="P41" s="283">
        <v>129443</v>
      </c>
      <c r="Q41">
        <v>127006</v>
      </c>
      <c r="R41">
        <v>123393</v>
      </c>
    </row>
    <row r="42" spans="1:24" x14ac:dyDescent="0.3">
      <c r="A42" s="480" t="s">
        <v>887</v>
      </c>
      <c r="B42" s="149" t="s">
        <v>907</v>
      </c>
      <c r="C42" s="468">
        <v>73113</v>
      </c>
      <c r="D42" s="468">
        <f t="shared" si="0"/>
        <v>0</v>
      </c>
      <c r="E42" s="468">
        <f t="shared" si="1"/>
        <v>73113</v>
      </c>
      <c r="F42" s="468">
        <f t="shared" si="2"/>
        <v>8833.7939999999999</v>
      </c>
      <c r="G42" s="472">
        <f t="shared" si="3"/>
        <v>365.565</v>
      </c>
      <c r="H42" s="468">
        <f>C42*0.2068</f>
        <v>15119.768400000001</v>
      </c>
      <c r="I42" s="723">
        <f t="shared" si="5"/>
        <v>97432.127399999998</v>
      </c>
      <c r="J42" s="128">
        <f>W36</f>
        <v>1287</v>
      </c>
      <c r="K42" s="909">
        <f t="shared" si="6"/>
        <v>75.7</v>
      </c>
      <c r="L42" s="470">
        <v>0</v>
      </c>
      <c r="M42" s="692">
        <v>0</v>
      </c>
    </row>
    <row r="43" spans="1:24" x14ac:dyDescent="0.3">
      <c r="A43" s="480" t="s">
        <v>887</v>
      </c>
      <c r="B43" s="149" t="s">
        <v>908</v>
      </c>
      <c r="C43" s="468">
        <f>(C42+C44)/2</f>
        <v>91721.5</v>
      </c>
      <c r="D43" s="468">
        <f t="shared" si="0"/>
        <v>0</v>
      </c>
      <c r="E43" s="468">
        <f t="shared" si="1"/>
        <v>91721.5</v>
      </c>
      <c r="F43" s="468">
        <f t="shared" si="2"/>
        <v>11401.767000000002</v>
      </c>
      <c r="G43" s="472">
        <f t="shared" si="3"/>
        <v>458.60750000000002</v>
      </c>
      <c r="H43" s="468">
        <f>C43*0.2068</f>
        <v>18968.0062</v>
      </c>
      <c r="I43" s="723">
        <f t="shared" si="5"/>
        <v>122549.88070000001</v>
      </c>
      <c r="J43" s="128">
        <f>W36</f>
        <v>1287</v>
      </c>
      <c r="K43" s="909">
        <f t="shared" si="6"/>
        <v>95.22</v>
      </c>
      <c r="L43" s="470">
        <v>0</v>
      </c>
      <c r="M43" s="692">
        <v>0</v>
      </c>
    </row>
    <row r="44" spans="1:24" x14ac:dyDescent="0.3">
      <c r="A44" s="726" t="s">
        <v>887</v>
      </c>
      <c r="B44" s="727" t="s">
        <v>1153</v>
      </c>
      <c r="C44" s="530">
        <v>110330</v>
      </c>
      <c r="D44" s="530">
        <f t="shared" si="0"/>
        <v>0</v>
      </c>
      <c r="E44" s="468">
        <f t="shared" si="1"/>
        <v>110330</v>
      </c>
      <c r="F44" s="468">
        <f t="shared" si="2"/>
        <v>13969.740000000002</v>
      </c>
      <c r="G44" s="472">
        <f t="shared" si="3"/>
        <v>551.65</v>
      </c>
      <c r="H44" s="530">
        <f>C44*0.2068</f>
        <v>22816.244000000002</v>
      </c>
      <c r="I44" s="723">
        <f t="shared" si="5"/>
        <v>147667.63399999999</v>
      </c>
      <c r="J44" s="128">
        <f>W36</f>
        <v>1287</v>
      </c>
      <c r="K44" s="909">
        <f t="shared" si="6"/>
        <v>114.74</v>
      </c>
      <c r="L44" s="470">
        <v>0</v>
      </c>
      <c r="M44" s="692">
        <v>0</v>
      </c>
    </row>
    <row r="45" spans="1:24" x14ac:dyDescent="0.3">
      <c r="A45" s="480" t="s">
        <v>884</v>
      </c>
      <c r="B45" s="149" t="s">
        <v>885</v>
      </c>
      <c r="C45" s="468">
        <v>105504</v>
      </c>
      <c r="D45" s="468">
        <f t="shared" si="0"/>
        <v>0</v>
      </c>
      <c r="E45" s="468">
        <f t="shared" si="1"/>
        <v>105504</v>
      </c>
      <c r="F45" s="468">
        <f t="shared" si="2"/>
        <v>13303.752</v>
      </c>
      <c r="G45" s="472">
        <f t="shared" si="3"/>
        <v>527.52</v>
      </c>
      <c r="H45" s="468">
        <f t="shared" si="4"/>
        <v>25088.851200000001</v>
      </c>
      <c r="I45" s="723">
        <f t="shared" si="5"/>
        <v>144424.1232</v>
      </c>
      <c r="J45" s="128">
        <v>1376</v>
      </c>
      <c r="K45" s="909">
        <f t="shared" si="6"/>
        <v>104.96</v>
      </c>
      <c r="L45" s="470">
        <v>0</v>
      </c>
      <c r="M45" s="692">
        <v>0</v>
      </c>
    </row>
    <row r="46" spans="1:24" x14ac:dyDescent="0.3">
      <c r="A46" s="480" t="s">
        <v>884</v>
      </c>
      <c r="B46" s="149" t="s">
        <v>714</v>
      </c>
      <c r="C46" s="468">
        <f>(4*114894+6*126018)/10</f>
        <v>121568.4</v>
      </c>
      <c r="D46" s="468">
        <f t="shared" si="0"/>
        <v>0</v>
      </c>
      <c r="E46" s="468">
        <f t="shared" si="1"/>
        <v>121568.4</v>
      </c>
      <c r="F46" s="468">
        <f t="shared" si="2"/>
        <v>15520.6392</v>
      </c>
      <c r="G46" s="472">
        <f t="shared" si="3"/>
        <v>607.84199999999998</v>
      </c>
      <c r="H46" s="468">
        <f t="shared" si="4"/>
        <v>28908.965520000002</v>
      </c>
      <c r="I46" s="723">
        <f t="shared" si="5"/>
        <v>166605.84672</v>
      </c>
      <c r="J46" s="128">
        <v>1376</v>
      </c>
      <c r="K46" s="909">
        <f t="shared" si="6"/>
        <v>121.08</v>
      </c>
      <c r="L46" s="470">
        <v>0</v>
      </c>
      <c r="M46" s="692">
        <v>0</v>
      </c>
    </row>
    <row r="47" spans="1:24" ht="15" thickBot="1" x14ac:dyDescent="0.35">
      <c r="A47" s="481" t="s">
        <v>884</v>
      </c>
      <c r="B47" s="473" t="s">
        <v>886</v>
      </c>
      <c r="C47" s="474">
        <v>139882</v>
      </c>
      <c r="D47" s="474">
        <f t="shared" si="0"/>
        <v>0</v>
      </c>
      <c r="E47" s="474">
        <f t="shared" si="1"/>
        <v>139882</v>
      </c>
      <c r="F47" s="474">
        <f t="shared" si="2"/>
        <v>18047.916000000001</v>
      </c>
      <c r="G47" s="728">
        <f t="shared" si="3"/>
        <v>699.41</v>
      </c>
      <c r="H47" s="474">
        <f t="shared" si="4"/>
        <v>33263.939600000005</v>
      </c>
      <c r="I47" s="475">
        <f t="shared" si="5"/>
        <v>191893.26560000001</v>
      </c>
      <c r="J47" s="730">
        <v>1376</v>
      </c>
      <c r="K47" s="910">
        <f t="shared" si="6"/>
        <v>139.46</v>
      </c>
      <c r="L47" s="693">
        <v>0</v>
      </c>
      <c r="M47" s="694">
        <v>0</v>
      </c>
    </row>
    <row r="96" ht="23.55" customHeight="1" x14ac:dyDescent="0.3"/>
    <row r="97" ht="55.5" customHeight="1" x14ac:dyDescent="0.3"/>
    <row r="98" ht="23.55" customHeight="1" x14ac:dyDescent="0.3"/>
    <row r="99" ht="23.55" customHeight="1" x14ac:dyDescent="0.3"/>
    <row r="100" ht="23.55" customHeight="1" x14ac:dyDescent="0.3"/>
    <row r="101" ht="23.55" customHeight="1" x14ac:dyDescent="0.3"/>
    <row r="102" ht="23.55" customHeight="1" x14ac:dyDescent="0.3"/>
  </sheetData>
  <sheetProtection algorithmName="SHA-512" hashValue="o0PRKwH9jcoooXDqBYqzRO4cLCG/gQsZS5wDWXsHaW4HtnxuKKkbDyVEFIh7hgENRT2wTuh4YL/vv6d14jkK+w==" saltValue="02WOlaZSnzITAnkqughfDw==" spinCount="100000" sheet="1" objects="1" scenarios="1"/>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www.w3.org/XML/1998/namespace"/>
    <ds:schemaRef ds:uri="acaf4567-dc07-471f-892c-2bcb86ef35ae"/>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0eb656aa-4e79-4e95-9076-bc119a23e0cc"/>
    <ds:schemaRef ds:uri="c1f338ac-e338-414f-952c-f74dcc6d59e1"/>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TA1013 Quizartinib for induction, consolidation and maintenance treatment of newly diagnosed FLT3-ITD-positive acute myeloid leukaemia: resource impact template 05/1/2024</dc:title>
  <dc:subject/>
  <dc:creator/>
  <cp:keywords/>
  <dc:description/>
  <cp:lastModifiedBy/>
  <cp:revision/>
  <dcterms:created xsi:type="dcterms:W3CDTF">2022-07-27T12:38:28Z</dcterms:created>
  <dcterms:modified xsi:type="dcterms:W3CDTF">2024-12-05T10:58:10Z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