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9FC3535E-F8A2-4D43-9538-4EAB933E3313}" xr6:coauthVersionLast="47" xr6:coauthVersionMax="47" xr10:uidLastSave="{00000000-0000-0000-0000-000000000000}"/>
  <bookViews>
    <workbookView xWindow="-110" yWindow="-110" windowWidth="19420" windowHeight="11620" tabRatio="944" xr2:uid="{00000000-000D-0000-FFFF-FFFF00000000}"/>
  </bookViews>
  <sheets>
    <sheet name="Cover" sheetId="58" r:id="rId1"/>
    <sheet name="Contents" sheetId="59" r:id="rId2"/>
    <sheet name="Population selection" sheetId="32" state="hidden" r:id="rId3"/>
    <sheet name="Inputs and eligible population" sheetId="50" r:id="rId4"/>
    <sheet name="Unit costs" sheetId="60" r:id="rId5"/>
    <sheet name="Summary" sheetId="61" r:id="rId6"/>
    <sheet name="Financial impact (cash)" sheetId="62" r:id="rId7"/>
    <sheet name="Capacity (local prices)" sheetId="65" r:id="rId8"/>
    <sheet name="Capacity (national prices)" sheetId="66" r:id="rId9"/>
    <sheet name="payscales" sheetId="6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 localSheetId="9">'[1]Population selection'!$B$521:$B$531</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#REF!</definedName>
    <definedName name="ORGTYPE" localSheetId="8">#REF!</definedName>
    <definedName name="ORGTYPE" localSheetId="0">#REF!</definedName>
    <definedName name="ORGTYPE" localSheetId="6">#REF!</definedName>
    <definedName name="ORGTYPE" localSheetId="9">'[1]Population selection'!$L$5:$L$14</definedName>
    <definedName name="ORGTYPE" localSheetId="5">#REF!</definedName>
    <definedName name="ORGTYPE">'Population selection'!$L$5:$L$14</definedName>
    <definedName name="ORGTYPE2">'[2]Population selection'!$L$12:$L$19</definedName>
    <definedName name="ORGTYPE3">'[2]Population selection'!$L$12:$L$19</definedName>
    <definedName name="PER100K">'Population selection'!$B$23</definedName>
    <definedName name="Popindicator">'Population selection'!$B$549:$B$564</definedName>
    <definedName name="_xlnm.Print_Area" localSheetId="7">'Capacity (local prices)'!$B$1:$S$206</definedName>
    <definedName name="_xlnm.Print_Area" localSheetId="8">'Capacity (national prices)'!$B$1:$S$206</definedName>
    <definedName name="_xlnm.Print_Area" localSheetId="1">Contents!$A$1:$P$28</definedName>
    <definedName name="_xlnm.Print_Area" localSheetId="0">Cover!$A$1:$P$28</definedName>
    <definedName name="_xlnm.Print_Area" localSheetId="6">'Financial impact (cash)'!$B$1:$J$9</definedName>
    <definedName name="_xlnm.Print_Area" localSheetId="2">'Population selection'!$B$11:$J$17</definedName>
    <definedName name="_xlnm.Print_Area" localSheetId="5">Summary!$B$1:$K$86</definedName>
    <definedName name="_xlnm.Print_Area" localSheetId="4">'Unit costs'!$B$1:$R$138</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60" l="1"/>
  <c r="L9" i="60" s="1"/>
  <c r="D48" i="60"/>
  <c r="C71" i="66" s="1"/>
  <c r="D59" i="60"/>
  <c r="C78" i="66" s="1"/>
  <c r="D57" i="60"/>
  <c r="D54" i="60"/>
  <c r="D55" i="60" s="1"/>
  <c r="D52" i="60"/>
  <c r="C71" i="65"/>
  <c r="D47" i="60"/>
  <c r="C70" i="66" s="1"/>
  <c r="F95" i="50"/>
  <c r="F93" i="50"/>
  <c r="C158" i="66"/>
  <c r="C60" i="66"/>
  <c r="C61" i="66"/>
  <c r="C62" i="66"/>
  <c r="C63" i="66"/>
  <c r="C69" i="66"/>
  <c r="C72" i="66"/>
  <c r="C73" i="66"/>
  <c r="C75" i="66"/>
  <c r="C77" i="66"/>
  <c r="C79" i="66"/>
  <c r="C63" i="65"/>
  <c r="J118" i="60"/>
  <c r="I125" i="60"/>
  <c r="F112" i="60"/>
  <c r="J112" i="60"/>
  <c r="L112" i="60" s="1"/>
  <c r="F113" i="60"/>
  <c r="J113" i="60"/>
  <c r="L113" i="60" s="1"/>
  <c r="M11" i="60"/>
  <c r="F28" i="50"/>
  <c r="C70" i="65" l="1"/>
  <c r="I11" i="60"/>
  <c r="L11" i="60" s="1"/>
  <c r="I10" i="60"/>
  <c r="L10" i="60" s="1"/>
  <c r="F69" i="50" l="1"/>
  <c r="M96" i="50"/>
  <c r="M94" i="50"/>
  <c r="M92" i="50"/>
  <c r="M85" i="50"/>
  <c r="M84" i="50"/>
  <c r="M83" i="50"/>
  <c r="M81" i="50"/>
  <c r="H47" i="67"/>
  <c r="G47" i="67"/>
  <c r="F47" i="67"/>
  <c r="E47" i="67"/>
  <c r="I47" i="67" s="1"/>
  <c r="K47" i="67" s="1"/>
  <c r="D47" i="67"/>
  <c r="G46" i="67"/>
  <c r="F46" i="67"/>
  <c r="E46" i="67"/>
  <c r="H46" i="67" s="1"/>
  <c r="C46" i="67"/>
  <c r="D46" i="67" s="1"/>
  <c r="G45" i="67"/>
  <c r="F45" i="67"/>
  <c r="E45" i="67"/>
  <c r="H45" i="67" s="1"/>
  <c r="D45" i="67"/>
  <c r="H44" i="67"/>
  <c r="G44" i="67"/>
  <c r="F44" i="67"/>
  <c r="I44" i="67" s="1"/>
  <c r="E44" i="67"/>
  <c r="D44" i="67"/>
  <c r="H43" i="67"/>
  <c r="G43" i="67"/>
  <c r="F43" i="67"/>
  <c r="I43" i="67" s="1"/>
  <c r="E43" i="67"/>
  <c r="C43" i="67"/>
  <c r="D43" i="67" s="1"/>
  <c r="H42" i="67"/>
  <c r="G42" i="67"/>
  <c r="F42" i="67"/>
  <c r="I42" i="67" s="1"/>
  <c r="K42" i="67" s="1"/>
  <c r="E42" i="67"/>
  <c r="D42" i="67"/>
  <c r="C41" i="67"/>
  <c r="E41" i="67" s="1"/>
  <c r="C40" i="67"/>
  <c r="E40" i="67" s="1"/>
  <c r="C39" i="67"/>
  <c r="E39" i="67" s="1"/>
  <c r="C38" i="67"/>
  <c r="E38" i="67" s="1"/>
  <c r="C37" i="67"/>
  <c r="E37" i="67" s="1"/>
  <c r="W36" i="67"/>
  <c r="J42" i="67" s="1"/>
  <c r="C36" i="67"/>
  <c r="E36" i="67" s="1"/>
  <c r="C35" i="67"/>
  <c r="E35" i="67" s="1"/>
  <c r="C34" i="67"/>
  <c r="E34" i="67" s="1"/>
  <c r="C33" i="67"/>
  <c r="E33" i="67" s="1"/>
  <c r="C32" i="67"/>
  <c r="E32" i="67" s="1"/>
  <c r="C31" i="67"/>
  <c r="E31" i="67" s="1"/>
  <c r="C30" i="67"/>
  <c r="E30" i="67" s="1"/>
  <c r="C29" i="67"/>
  <c r="E29" i="67" s="1"/>
  <c r="W28" i="67"/>
  <c r="C28" i="67"/>
  <c r="E28" i="67" s="1"/>
  <c r="C27" i="67"/>
  <c r="E27" i="67" s="1"/>
  <c r="C26" i="67"/>
  <c r="E26" i="67" s="1"/>
  <c r="C25" i="67"/>
  <c r="E25" i="67" s="1"/>
  <c r="C24" i="67"/>
  <c r="E24" i="67" s="1"/>
  <c r="C23" i="67"/>
  <c r="E23" i="67" s="1"/>
  <c r="C22" i="67"/>
  <c r="E22" i="67" s="1"/>
  <c r="C21" i="67"/>
  <c r="E21" i="67" s="1"/>
  <c r="C20" i="67"/>
  <c r="E20" i="67" s="1"/>
  <c r="W19" i="67"/>
  <c r="C19" i="67"/>
  <c r="E19" i="67" s="1"/>
  <c r="C18" i="67"/>
  <c r="E18" i="67" s="1"/>
  <c r="C17" i="67"/>
  <c r="D17" i="67" s="1"/>
  <c r="C16" i="67"/>
  <c r="E16" i="67" s="1"/>
  <c r="C15" i="67"/>
  <c r="E15" i="67" s="1"/>
  <c r="C14" i="67"/>
  <c r="E14" i="67" s="1"/>
  <c r="C13" i="67"/>
  <c r="E13" i="67" s="1"/>
  <c r="C12" i="67"/>
  <c r="E12" i="67" s="1"/>
  <c r="H15" i="67" l="1"/>
  <c r="G15" i="67"/>
  <c r="I15" i="67" s="1"/>
  <c r="K15" i="67" s="1"/>
  <c r="F15" i="67"/>
  <c r="H29" i="67"/>
  <c r="G29" i="67"/>
  <c r="F29" i="67"/>
  <c r="I29" i="67" s="1"/>
  <c r="K29" i="67" s="1"/>
  <c r="H30" i="67"/>
  <c r="G30" i="67"/>
  <c r="I30" i="67" s="1"/>
  <c r="K30" i="67" s="1"/>
  <c r="F30" i="67"/>
  <c r="H24" i="67"/>
  <c r="G24" i="67"/>
  <c r="F24" i="67"/>
  <c r="I24" i="67" s="1"/>
  <c r="K24" i="67" s="1"/>
  <c r="H31" i="67"/>
  <c r="G31" i="67"/>
  <c r="I31" i="67" s="1"/>
  <c r="K31" i="67" s="1"/>
  <c r="F31" i="67"/>
  <c r="H38" i="67"/>
  <c r="G38" i="67"/>
  <c r="F38" i="67"/>
  <c r="I38" i="67" s="1"/>
  <c r="K38" i="67" s="1"/>
  <c r="K44" i="67"/>
  <c r="I18" i="67"/>
  <c r="K18" i="67" s="1"/>
  <c r="H18" i="67"/>
  <c r="G18" i="67"/>
  <c r="F18" i="67"/>
  <c r="H25" i="67"/>
  <c r="G25" i="67"/>
  <c r="F25" i="67"/>
  <c r="I25" i="67" s="1"/>
  <c r="K25" i="67" s="1"/>
  <c r="I32" i="67"/>
  <c r="K32" i="67" s="1"/>
  <c r="H32" i="67"/>
  <c r="G32" i="67"/>
  <c r="F32" i="67"/>
  <c r="H39" i="67"/>
  <c r="G39" i="67"/>
  <c r="F39" i="67"/>
  <c r="I39" i="67" s="1"/>
  <c r="K39" i="67" s="1"/>
  <c r="I46" i="67"/>
  <c r="K46" i="67" s="1"/>
  <c r="I22" i="67"/>
  <c r="K22" i="67" s="1"/>
  <c r="H22" i="67"/>
  <c r="G22" i="67"/>
  <c r="F22" i="67"/>
  <c r="H23" i="67"/>
  <c r="G23" i="67"/>
  <c r="F23" i="67"/>
  <c r="I23" i="67" s="1"/>
  <c r="K23" i="67" s="1"/>
  <c r="I19" i="67"/>
  <c r="K19" i="67" s="1"/>
  <c r="H19" i="67"/>
  <c r="G19" i="67"/>
  <c r="F19" i="67"/>
  <c r="H33" i="67"/>
  <c r="G33" i="67"/>
  <c r="F33" i="67"/>
  <c r="I33" i="67" s="1"/>
  <c r="K33" i="67" s="1"/>
  <c r="I27" i="67"/>
  <c r="K27" i="67" s="1"/>
  <c r="H27" i="67"/>
  <c r="G27" i="67"/>
  <c r="F27" i="67"/>
  <c r="H16" i="67"/>
  <c r="G16" i="67"/>
  <c r="F16" i="67"/>
  <c r="I16" i="67" s="1"/>
  <c r="K16" i="67" s="1"/>
  <c r="I37" i="67"/>
  <c r="K37" i="67" s="1"/>
  <c r="H37" i="67"/>
  <c r="G37" i="67"/>
  <c r="F37" i="67"/>
  <c r="H26" i="67"/>
  <c r="G26" i="67"/>
  <c r="F26" i="67"/>
  <c r="I26" i="67" s="1"/>
  <c r="K26" i="67" s="1"/>
  <c r="I40" i="67"/>
  <c r="K40" i="67" s="1"/>
  <c r="H40" i="67"/>
  <c r="G40" i="67"/>
  <c r="F40" i="67"/>
  <c r="H12" i="67"/>
  <c r="G12" i="67"/>
  <c r="F12" i="67"/>
  <c r="I12" i="67" s="1"/>
  <c r="K12" i="67" s="1"/>
  <c r="I34" i="67"/>
  <c r="K34" i="67" s="1"/>
  <c r="H34" i="67"/>
  <c r="G34" i="67"/>
  <c r="F34" i="67"/>
  <c r="H41" i="67"/>
  <c r="G41" i="67"/>
  <c r="F41" i="67"/>
  <c r="I41" i="67" s="1"/>
  <c r="K41" i="67" s="1"/>
  <c r="K43" i="67"/>
  <c r="H13" i="67"/>
  <c r="G13" i="67"/>
  <c r="F13" i="67"/>
  <c r="I13" i="67" s="1"/>
  <c r="K13" i="67" s="1"/>
  <c r="H20" i="67"/>
  <c r="G20" i="67"/>
  <c r="F20" i="67"/>
  <c r="I20" i="67" s="1"/>
  <c r="K20" i="67" s="1"/>
  <c r="H28" i="67"/>
  <c r="G28" i="67"/>
  <c r="F28" i="67"/>
  <c r="I28" i="67" s="1"/>
  <c r="K28" i="67" s="1"/>
  <c r="H35" i="67"/>
  <c r="G35" i="67"/>
  <c r="F35" i="67"/>
  <c r="I35" i="67" s="1"/>
  <c r="K35" i="67" s="1"/>
  <c r="H14" i="67"/>
  <c r="G14" i="67"/>
  <c r="F14" i="67"/>
  <c r="I14" i="67" s="1"/>
  <c r="K14" i="67" s="1"/>
  <c r="H21" i="67"/>
  <c r="G21" i="67"/>
  <c r="F21" i="67"/>
  <c r="I21" i="67" s="1"/>
  <c r="K21" i="67" s="1"/>
  <c r="H36" i="67"/>
  <c r="G36" i="67"/>
  <c r="F36" i="67"/>
  <c r="I36" i="67" s="1"/>
  <c r="K36" i="67" s="1"/>
  <c r="I45" i="67"/>
  <c r="K45" i="67" s="1"/>
  <c r="D12" i="67"/>
  <c r="D14" i="67"/>
  <c r="D16" i="67"/>
  <c r="D19" i="67"/>
  <c r="E17" i="67"/>
  <c r="J43" i="67"/>
  <c r="J44" i="67"/>
  <c r="D13" i="67"/>
  <c r="D15" i="67"/>
  <c r="D18" i="67"/>
  <c r="D20" i="67"/>
  <c r="D21" i="67"/>
  <c r="D22" i="67"/>
  <c r="D23" i="67"/>
  <c r="D24" i="67"/>
  <c r="D25" i="67"/>
  <c r="D26" i="67"/>
  <c r="D27" i="67"/>
  <c r="D28" i="67"/>
  <c r="D29" i="67"/>
  <c r="D30" i="67"/>
  <c r="D31" i="67"/>
  <c r="D32" i="67"/>
  <c r="D33" i="67"/>
  <c r="D34" i="67"/>
  <c r="D35" i="67"/>
  <c r="D36" i="67"/>
  <c r="D37" i="67"/>
  <c r="D38" i="67"/>
  <c r="D39" i="67"/>
  <c r="D40" i="67"/>
  <c r="D41" i="67"/>
  <c r="I17" i="67" l="1"/>
  <c r="K17" i="67" s="1"/>
  <c r="H17" i="67"/>
  <c r="G17" i="67"/>
  <c r="F17" i="67"/>
  <c r="N35" i="60" l="1"/>
  <c r="M35" i="60"/>
  <c r="J80" i="50" l="1"/>
  <c r="F80" i="50"/>
  <c r="M10" i="60"/>
  <c r="M9" i="60"/>
  <c r="J69" i="50" l="1"/>
  <c r="I69" i="50"/>
  <c r="H69" i="50"/>
  <c r="G69" i="50"/>
  <c r="E69" i="50"/>
  <c r="L81" i="60"/>
  <c r="M81" i="60" s="1"/>
  <c r="L80" i="60"/>
  <c r="M80" i="60" s="1"/>
  <c r="L79" i="60"/>
  <c r="M79" i="60" s="1"/>
  <c r="L78" i="60"/>
  <c r="L77" i="60"/>
  <c r="M77" i="60" s="1"/>
  <c r="B14" i="62"/>
  <c r="D6" i="61"/>
  <c r="E6" i="61"/>
  <c r="F6" i="61"/>
  <c r="G6" i="61"/>
  <c r="H6" i="61"/>
  <c r="B14" i="61"/>
  <c r="B13" i="61"/>
  <c r="B15" i="61"/>
  <c r="B16" i="61"/>
  <c r="B12" i="61"/>
  <c r="K51" i="65"/>
  <c r="K52" i="65"/>
  <c r="K53" i="65"/>
  <c r="K54" i="65"/>
  <c r="K50" i="65"/>
  <c r="K162" i="66"/>
  <c r="K161" i="66"/>
  <c r="K160" i="66"/>
  <c r="K158" i="66"/>
  <c r="K44" i="66"/>
  <c r="K43" i="66"/>
  <c r="K42" i="66"/>
  <c r="K40" i="66"/>
  <c r="C183" i="65"/>
  <c r="C183" i="66" s="1"/>
  <c r="C179" i="65"/>
  <c r="C179" i="66" s="1"/>
  <c r="C173" i="65"/>
  <c r="C173" i="66" s="1"/>
  <c r="C169" i="65"/>
  <c r="C169" i="66" s="1"/>
  <c r="C162" i="65"/>
  <c r="C162" i="66" s="1"/>
  <c r="C158" i="65"/>
  <c r="C110" i="65"/>
  <c r="C110" i="66" s="1"/>
  <c r="C106" i="65"/>
  <c r="C106" i="66" s="1"/>
  <c r="C107" i="65"/>
  <c r="C100" i="65"/>
  <c r="C100" i="66" s="1"/>
  <c r="C96" i="65"/>
  <c r="C96" i="66" s="1"/>
  <c r="C90" i="65"/>
  <c r="C90" i="66" s="1"/>
  <c r="C86" i="65"/>
  <c r="C86" i="66" s="1"/>
  <c r="C79" i="65"/>
  <c r="C78" i="65"/>
  <c r="C72" i="65"/>
  <c r="C69" i="65"/>
  <c r="C44" i="65"/>
  <c r="C44" i="66" s="1"/>
  <c r="C40" i="65"/>
  <c r="C40" i="66" s="1"/>
  <c r="C54" i="65" l="1"/>
  <c r="C54" i="66" s="1"/>
  <c r="C50" i="65"/>
  <c r="C50" i="66" s="1"/>
  <c r="C53" i="65"/>
  <c r="C52" i="65"/>
  <c r="N136" i="60"/>
  <c r="N135" i="60"/>
  <c r="N134" i="60"/>
  <c r="N133" i="60"/>
  <c r="N132" i="60"/>
  <c r="N131" i="60"/>
  <c r="N130" i="60"/>
  <c r="N129" i="60"/>
  <c r="N128" i="60"/>
  <c r="N127" i="60"/>
  <c r="N124" i="60"/>
  <c r="N123" i="60"/>
  <c r="J136" i="60"/>
  <c r="J135" i="60"/>
  <c r="J134" i="60"/>
  <c r="J133" i="60"/>
  <c r="J132" i="60"/>
  <c r="J131" i="60"/>
  <c r="J130" i="60"/>
  <c r="J129" i="60"/>
  <c r="J128" i="60"/>
  <c r="J127" i="60"/>
  <c r="J124" i="60"/>
  <c r="J123" i="60"/>
  <c r="H11" i="60"/>
  <c r="O11" i="60" s="1"/>
  <c r="H10" i="60"/>
  <c r="H9" i="60"/>
  <c r="O9" i="60" l="1"/>
  <c r="O10" i="60"/>
  <c r="O12" i="60" l="1"/>
  <c r="C24" i="62"/>
  <c r="N36" i="60" l="1"/>
  <c r="M36" i="60"/>
  <c r="L36" i="60"/>
  <c r="L35" i="60"/>
  <c r="H36" i="60"/>
  <c r="H35" i="60"/>
  <c r="K123" i="60"/>
  <c r="L123" i="60"/>
  <c r="M123" i="60"/>
  <c r="P123" i="60"/>
  <c r="K124" i="60"/>
  <c r="L124" i="60"/>
  <c r="M124" i="60"/>
  <c r="P124" i="60"/>
  <c r="Q124" i="60" s="1"/>
  <c r="Q123" i="60" l="1"/>
  <c r="U123" i="60"/>
  <c r="S123" i="60"/>
  <c r="R124" i="60"/>
  <c r="U124" i="60"/>
  <c r="O35" i="60"/>
  <c r="R123" i="60"/>
  <c r="O36" i="60"/>
  <c r="T123" i="60"/>
  <c r="T124" i="60"/>
  <c r="S124" i="60"/>
  <c r="O37" i="60" l="1"/>
  <c r="C28" i="62" s="1"/>
  <c r="M16" i="60"/>
  <c r="G106" i="60" l="1"/>
  <c r="I92" i="60" s="1"/>
  <c r="C36" i="50"/>
  <c r="C42" i="50"/>
  <c r="I95" i="60" l="1"/>
  <c r="I96" i="60"/>
  <c r="I94" i="60"/>
  <c r="I98" i="60"/>
  <c r="I93" i="60"/>
  <c r="I97" i="60"/>
  <c r="I95" i="50" l="1"/>
  <c r="H95" i="50"/>
  <c r="G95" i="50"/>
  <c r="I93" i="50"/>
  <c r="H93" i="50"/>
  <c r="G93" i="50"/>
  <c r="C172" i="65" l="1"/>
  <c r="C30" i="62" l="1"/>
  <c r="L118" i="60" l="1"/>
  <c r="I126" i="60" s="1"/>
  <c r="J126" i="60" s="1"/>
  <c r="I104" i="60"/>
  <c r="I99" i="60"/>
  <c r="I103" i="60"/>
  <c r="I102" i="60"/>
  <c r="I101" i="60"/>
  <c r="I100" i="60"/>
  <c r="I105" i="60"/>
  <c r="C51" i="66"/>
  <c r="C51" i="65"/>
  <c r="C89" i="66"/>
  <c r="C88" i="66"/>
  <c r="C87" i="66"/>
  <c r="C89" i="65"/>
  <c r="C88" i="65"/>
  <c r="C87" i="65"/>
  <c r="M78" i="60"/>
  <c r="P126" i="60" l="1"/>
  <c r="C31" i="62"/>
  <c r="N126" i="60"/>
  <c r="I106" i="60"/>
  <c r="P125" i="60" s="1"/>
  <c r="M17" i="60"/>
  <c r="N17" i="60"/>
  <c r="L17" i="60"/>
  <c r="H17" i="60"/>
  <c r="J125" i="60" l="1"/>
  <c r="N125" i="60"/>
  <c r="O17" i="60"/>
  <c r="I80" i="50" l="1"/>
  <c r="H80" i="50"/>
  <c r="G80" i="50"/>
  <c r="Q126" i="60" l="1"/>
  <c r="K126" i="60"/>
  <c r="L126" i="60"/>
  <c r="M126" i="60"/>
  <c r="R126" i="60" l="1"/>
  <c r="U126" i="60"/>
  <c r="T126" i="60"/>
  <c r="S126" i="60"/>
  <c r="K63" i="66" l="1"/>
  <c r="K62" i="66"/>
  <c r="K61" i="66"/>
  <c r="K60" i="66"/>
  <c r="C161" i="66"/>
  <c r="C160" i="66"/>
  <c r="C159" i="66"/>
  <c r="C151" i="66"/>
  <c r="I151" i="66" s="1"/>
  <c r="C150" i="66"/>
  <c r="I150" i="66" s="1"/>
  <c r="C149" i="66"/>
  <c r="C143" i="66"/>
  <c r="C142" i="66"/>
  <c r="C141" i="66"/>
  <c r="C135" i="66"/>
  <c r="C134" i="66"/>
  <c r="C133" i="66"/>
  <c r="C127" i="66"/>
  <c r="C126" i="66"/>
  <c r="C125" i="66"/>
  <c r="C119" i="66"/>
  <c r="C118" i="66"/>
  <c r="C117" i="66"/>
  <c r="C109" i="66"/>
  <c r="C108" i="66"/>
  <c r="C107" i="66"/>
  <c r="C99" i="66"/>
  <c r="C98" i="66"/>
  <c r="C97" i="66"/>
  <c r="C161" i="65"/>
  <c r="C160" i="65"/>
  <c r="C159" i="65"/>
  <c r="C77" i="65"/>
  <c r="C75" i="65"/>
  <c r="C76" i="66" s="1"/>
  <c r="C73" i="65"/>
  <c r="C62" i="65"/>
  <c r="C61" i="65"/>
  <c r="C60" i="65"/>
  <c r="C109" i="65"/>
  <c r="C108" i="65"/>
  <c r="C99" i="65"/>
  <c r="C98" i="65"/>
  <c r="C97" i="65"/>
  <c r="K125" i="60"/>
  <c r="L125" i="60"/>
  <c r="M125" i="60"/>
  <c r="Q125" i="60"/>
  <c r="P136" i="60"/>
  <c r="M136" i="60"/>
  <c r="M128" i="60"/>
  <c r="M129" i="60"/>
  <c r="M133" i="60"/>
  <c r="M131" i="60"/>
  <c r="M132" i="60"/>
  <c r="M134" i="60"/>
  <c r="M130" i="60"/>
  <c r="M127" i="60"/>
  <c r="M135" i="60"/>
  <c r="L136" i="60"/>
  <c r="K136" i="60"/>
  <c r="C42" i="66"/>
  <c r="C41" i="65"/>
  <c r="C182" i="66"/>
  <c r="C181" i="66"/>
  <c r="C180" i="65"/>
  <c r="C172" i="66"/>
  <c r="C171" i="65"/>
  <c r="C170" i="65"/>
  <c r="N24" i="60"/>
  <c r="N25" i="60"/>
  <c r="N26" i="60"/>
  <c r="M25" i="60"/>
  <c r="M26" i="60"/>
  <c r="M24" i="60"/>
  <c r="L26" i="60"/>
  <c r="H26" i="60"/>
  <c r="L25" i="60"/>
  <c r="H25" i="60"/>
  <c r="L24" i="60"/>
  <c r="H24" i="60"/>
  <c r="H29" i="60"/>
  <c r="L29" i="60"/>
  <c r="M29" i="60"/>
  <c r="N29" i="60"/>
  <c r="N30" i="60"/>
  <c r="M30" i="60"/>
  <c r="L30" i="60"/>
  <c r="H30" i="60"/>
  <c r="H16" i="60"/>
  <c r="H19" i="60"/>
  <c r="L18" i="60"/>
  <c r="L19" i="60"/>
  <c r="L16" i="60"/>
  <c r="N16" i="60"/>
  <c r="N18" i="60"/>
  <c r="N19" i="60"/>
  <c r="M19" i="60"/>
  <c r="M18" i="60"/>
  <c r="H18" i="60"/>
  <c r="C74" i="65" l="1"/>
  <c r="C74" i="66"/>
  <c r="T136" i="60"/>
  <c r="U136" i="60"/>
  <c r="R136" i="60"/>
  <c r="Q136" i="60"/>
  <c r="S125" i="60"/>
  <c r="U125" i="60"/>
  <c r="D151" i="66"/>
  <c r="E151" i="66"/>
  <c r="F151" i="66"/>
  <c r="G151" i="66"/>
  <c r="O16" i="60"/>
  <c r="E149" i="66" s="1"/>
  <c r="E152" i="66" s="1"/>
  <c r="T125" i="60"/>
  <c r="C181" i="65"/>
  <c r="C182" i="65"/>
  <c r="C170" i="66"/>
  <c r="C41" i="66"/>
  <c r="C43" i="66"/>
  <c r="C171" i="66"/>
  <c r="C180" i="66"/>
  <c r="C42" i="65"/>
  <c r="C43" i="65"/>
  <c r="C76" i="65"/>
  <c r="D150" i="66"/>
  <c r="F150" i="66"/>
  <c r="G150" i="66"/>
  <c r="H151" i="66"/>
  <c r="E150" i="66"/>
  <c r="H150" i="66"/>
  <c r="R125" i="60"/>
  <c r="S136" i="60"/>
  <c r="O25" i="60"/>
  <c r="O26" i="60"/>
  <c r="O24" i="60"/>
  <c r="O29" i="60"/>
  <c r="O30" i="60"/>
  <c r="O18" i="60"/>
  <c r="O19" i="60"/>
  <c r="D149" i="66" l="1"/>
  <c r="D152" i="66" s="1"/>
  <c r="E153" i="66" s="1"/>
  <c r="G149" i="66"/>
  <c r="G152" i="66" s="1"/>
  <c r="H149" i="66"/>
  <c r="H152" i="66" s="1"/>
  <c r="I149" i="66"/>
  <c r="I152" i="66" s="1"/>
  <c r="F149" i="66"/>
  <c r="F152" i="66" s="1"/>
  <c r="O27" i="60"/>
  <c r="C26" i="62" s="1"/>
  <c r="O31" i="60"/>
  <c r="C27" i="62" s="1"/>
  <c r="O20" i="60"/>
  <c r="C25" i="62" s="1"/>
  <c r="I153" i="66" l="1"/>
  <c r="H153" i="66"/>
  <c r="F153" i="66"/>
  <c r="G153" i="66"/>
  <c r="B1" i="60"/>
  <c r="G13" i="50" l="1"/>
  <c r="K159" i="66" l="1"/>
  <c r="K41" i="66"/>
  <c r="K33" i="66"/>
  <c r="K34" i="66"/>
  <c r="K32" i="66"/>
  <c r="C33" i="66" l="1"/>
  <c r="C34" i="66"/>
  <c r="C32" i="66"/>
  <c r="B1" i="66"/>
  <c r="C151" i="65"/>
  <c r="C150" i="65"/>
  <c r="C149" i="65"/>
  <c r="C143" i="65"/>
  <c r="C142" i="65"/>
  <c r="C141" i="65"/>
  <c r="C135" i="65"/>
  <c r="C134" i="65"/>
  <c r="C133" i="65"/>
  <c r="C127" i="65"/>
  <c r="C126" i="65"/>
  <c r="C125" i="65"/>
  <c r="C119" i="65"/>
  <c r="C118" i="65"/>
  <c r="C117" i="65"/>
  <c r="C33" i="65"/>
  <c r="C34" i="65"/>
  <c r="C32" i="65"/>
  <c r="B1" i="65"/>
  <c r="B15" i="62"/>
  <c r="B16" i="62"/>
  <c r="H7" i="61"/>
  <c r="G7" i="61"/>
  <c r="F7" i="61"/>
  <c r="E7" i="61"/>
  <c r="D7" i="61"/>
  <c r="B24" i="66"/>
  <c r="B23" i="66"/>
  <c r="B22" i="66"/>
  <c r="B21" i="66"/>
  <c r="B20" i="66"/>
  <c r="B19" i="66"/>
  <c r="B18" i="66"/>
  <c r="B17" i="66"/>
  <c r="B16" i="66"/>
  <c r="B15" i="66"/>
  <c r="B14" i="66"/>
  <c r="B13" i="66"/>
  <c r="B12" i="66"/>
  <c r="B10" i="66"/>
  <c r="B24" i="65"/>
  <c r="B21" i="65"/>
  <c r="B20" i="65"/>
  <c r="B19" i="65"/>
  <c r="B18" i="65"/>
  <c r="B17" i="65"/>
  <c r="B16" i="65"/>
  <c r="B15" i="65"/>
  <c r="B14" i="65"/>
  <c r="B13" i="65"/>
  <c r="B12" i="65"/>
  <c r="B10" i="65"/>
  <c r="G36" i="50"/>
  <c r="B1" i="62"/>
  <c r="B1" i="61"/>
  <c r="P135" i="60"/>
  <c r="L135" i="60"/>
  <c r="K135" i="60"/>
  <c r="P127" i="60"/>
  <c r="Q127" i="60" s="1"/>
  <c r="L127" i="60"/>
  <c r="K127" i="60"/>
  <c r="P130" i="60"/>
  <c r="L130" i="60"/>
  <c r="K130" i="60"/>
  <c r="P134" i="60"/>
  <c r="L134" i="60"/>
  <c r="K134" i="60"/>
  <c r="P132" i="60"/>
  <c r="L132" i="60"/>
  <c r="K132" i="60"/>
  <c r="P131" i="60"/>
  <c r="L131" i="60"/>
  <c r="K131" i="60"/>
  <c r="P133" i="60"/>
  <c r="L133" i="60"/>
  <c r="K133" i="60"/>
  <c r="P129" i="60"/>
  <c r="L129" i="60"/>
  <c r="K129" i="60"/>
  <c r="P128" i="60"/>
  <c r="L128" i="60"/>
  <c r="K128" i="60"/>
  <c r="G39" i="50"/>
  <c r="U135" i="60" l="1"/>
  <c r="T135" i="60"/>
  <c r="Q135" i="60"/>
  <c r="U128" i="60"/>
  <c r="Q128" i="60"/>
  <c r="U132" i="60"/>
  <c r="Q132" i="60"/>
  <c r="U131" i="60"/>
  <c r="Q131" i="60"/>
  <c r="U130" i="60"/>
  <c r="Q130" i="60"/>
  <c r="U129" i="60"/>
  <c r="Q129" i="60"/>
  <c r="U133" i="60"/>
  <c r="Q133" i="60"/>
  <c r="U134" i="60"/>
  <c r="Q134" i="60"/>
  <c r="T127" i="60"/>
  <c r="U127" i="60"/>
  <c r="T133" i="60"/>
  <c r="T132" i="60"/>
  <c r="T130" i="60"/>
  <c r="T134" i="60"/>
  <c r="T128" i="60"/>
  <c r="T129" i="60"/>
  <c r="T131" i="60"/>
  <c r="S129" i="60"/>
  <c r="S132" i="60"/>
  <c r="R133" i="60"/>
  <c r="R127" i="60"/>
  <c r="R134" i="60"/>
  <c r="S134" i="60"/>
  <c r="R129" i="60"/>
  <c r="S131" i="60"/>
  <c r="R132" i="60"/>
  <c r="S128" i="60"/>
  <c r="I151" i="65"/>
  <c r="Q151" i="65" s="1"/>
  <c r="H151" i="65"/>
  <c r="P151" i="65" s="1"/>
  <c r="F151" i="65"/>
  <c r="N151" i="65" s="1"/>
  <c r="D151" i="65"/>
  <c r="L151" i="65" s="1"/>
  <c r="E151" i="65"/>
  <c r="M151" i="65" s="1"/>
  <c r="G151" i="65"/>
  <c r="O151" i="65" s="1"/>
  <c r="S133" i="60"/>
  <c r="S127" i="60"/>
  <c r="R135" i="60"/>
  <c r="R130" i="60"/>
  <c r="R128" i="60"/>
  <c r="S130" i="60"/>
  <c r="R131" i="60"/>
  <c r="S135" i="60"/>
  <c r="F19" i="50"/>
  <c r="L42"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F16" i="50" l="1"/>
  <c r="F18" i="50"/>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M90" i="50" l="1"/>
  <c r="K181" i="65" l="1"/>
  <c r="K183" i="65"/>
  <c r="K179" i="65"/>
  <c r="K182" i="65"/>
  <c r="K180" i="65"/>
  <c r="M89" i="50"/>
  <c r="M88" i="50"/>
  <c r="M79" i="50"/>
  <c r="K44" i="65" l="1"/>
  <c r="K40" i="65"/>
  <c r="K41" i="65"/>
  <c r="K42" i="65"/>
  <c r="K43" i="65"/>
  <c r="K96" i="65"/>
  <c r="K100" i="65"/>
  <c r="K106" i="65"/>
  <c r="K110" i="65"/>
  <c r="K173" i="65"/>
  <c r="K169" i="65"/>
  <c r="K172" i="65"/>
  <c r="K171" i="65"/>
  <c r="K158" i="65"/>
  <c r="K162" i="65"/>
  <c r="K90" i="65"/>
  <c r="K86" i="65"/>
  <c r="K170" i="65"/>
  <c r="K88" i="65"/>
  <c r="K87" i="65"/>
  <c r="K89" i="65"/>
  <c r="K34" i="65"/>
  <c r="K32" i="65"/>
  <c r="K33" i="65"/>
  <c r="K161" i="65"/>
  <c r="K160" i="65"/>
  <c r="K159" i="65"/>
  <c r="K97" i="65"/>
  <c r="K99" i="65"/>
  <c r="K98" i="65"/>
  <c r="K109" i="65"/>
  <c r="K108" i="65"/>
  <c r="K107" i="65"/>
  <c r="C41" i="50"/>
  <c r="F17" i="50" l="1"/>
  <c r="C17" i="50"/>
  <c r="F15" i="50"/>
  <c r="F20" i="50" l="1"/>
  <c r="H39" i="50" l="1"/>
  <c r="I39" i="50" s="1"/>
  <c r="J39" i="50" s="1"/>
  <c r="K39" i="50" s="1"/>
  <c r="G40" i="50" l="1"/>
  <c r="H40" i="50" l="1"/>
  <c r="I40" i="50" s="1"/>
  <c r="J40" i="50" s="1"/>
  <c r="K40"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96" i="32"/>
  <c r="F105" i="32"/>
  <c r="F128"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F532" i="32" l="1"/>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E16" i="32" l="1"/>
  <c r="D16" i="32"/>
  <c r="F14" i="32" l="1"/>
  <c r="G12" i="50" s="1"/>
  <c r="G14" i="50" s="1"/>
  <c r="F15" i="32" l="1"/>
  <c r="F16" i="32" s="1"/>
  <c r="F41" i="50" s="1"/>
  <c r="J41" i="50" s="1"/>
  <c r="F25" i="50" l="1"/>
  <c r="G41" i="50"/>
  <c r="F27" i="50" l="1"/>
  <c r="F30" i="50" s="1"/>
  <c r="K41" i="50"/>
  <c r="G27" i="50" s="1"/>
  <c r="I41" i="50"/>
  <c r="H41" i="50"/>
  <c r="G26" i="50" l="1"/>
  <c r="G28" i="50"/>
  <c r="G30" i="50" l="1"/>
  <c r="F42" i="50"/>
  <c r="L68" i="50" l="1"/>
  <c r="L65" i="50"/>
  <c r="C13" i="61" s="1"/>
  <c r="L67" i="50"/>
  <c r="C15" i="61" s="1"/>
  <c r="L64" i="50"/>
  <c r="L66" i="50"/>
  <c r="C14" i="61" s="1"/>
  <c r="D8" i="62"/>
  <c r="J42" i="50"/>
  <c r="I42" i="50"/>
  <c r="D7" i="66"/>
  <c r="G42" i="50"/>
  <c r="K42" i="50"/>
  <c r="H42" i="50"/>
  <c r="D7" i="65"/>
  <c r="D70" i="65" l="1"/>
  <c r="D71" i="65"/>
  <c r="D73" i="66"/>
  <c r="D72" i="66"/>
  <c r="D71" i="66"/>
  <c r="D79" i="66"/>
  <c r="D70" i="66"/>
  <c r="D78" i="66"/>
  <c r="D69" i="66"/>
  <c r="D77" i="66"/>
  <c r="D76" i="66"/>
  <c r="D75" i="66"/>
  <c r="D74" i="66"/>
  <c r="O68" i="50"/>
  <c r="O67" i="50"/>
  <c r="F15" i="61" s="1"/>
  <c r="O66" i="50"/>
  <c r="F14" i="61" s="1"/>
  <c r="O64" i="50"/>
  <c r="O65" i="50"/>
  <c r="F13" i="61" s="1"/>
  <c r="P64" i="50"/>
  <c r="P68" i="50"/>
  <c r="P67" i="50"/>
  <c r="G15" i="61" s="1"/>
  <c r="P66" i="50"/>
  <c r="G14" i="61" s="1"/>
  <c r="P65" i="50"/>
  <c r="N65" i="50"/>
  <c r="E13" i="61" s="1"/>
  <c r="N68" i="50"/>
  <c r="N67" i="50"/>
  <c r="E15" i="61" s="1"/>
  <c r="N64" i="50"/>
  <c r="N66" i="50"/>
  <c r="E14" i="61" s="1"/>
  <c r="Q66" i="50"/>
  <c r="H14" i="61" s="1"/>
  <c r="Q65" i="50"/>
  <c r="H13" i="61" s="1"/>
  <c r="Q67" i="50"/>
  <c r="Q64" i="50"/>
  <c r="Q68" i="50"/>
  <c r="M68" i="50"/>
  <c r="M67" i="50"/>
  <c r="D15" i="61" s="1"/>
  <c r="M65" i="50"/>
  <c r="M66" i="50"/>
  <c r="D14" i="61" s="1"/>
  <c r="M64" i="50"/>
  <c r="D173" i="65"/>
  <c r="D179" i="65"/>
  <c r="D183" i="65"/>
  <c r="D169" i="65"/>
  <c r="C12" i="61"/>
  <c r="D13" i="62"/>
  <c r="L69" i="50"/>
  <c r="H15" i="61"/>
  <c r="D13" i="61"/>
  <c r="C16" i="61"/>
  <c r="D17" i="62"/>
  <c r="D162" i="66" s="1"/>
  <c r="D69" i="65"/>
  <c r="D78" i="65"/>
  <c r="D79" i="65"/>
  <c r="D135" i="66"/>
  <c r="D126" i="66"/>
  <c r="D117" i="66"/>
  <c r="D120" i="66" s="1"/>
  <c r="D16" i="66" s="1"/>
  <c r="D142" i="66"/>
  <c r="D119" i="66"/>
  <c r="D141" i="66"/>
  <c r="D144" i="66" s="1"/>
  <c r="D19" i="66" s="1"/>
  <c r="D127" i="66"/>
  <c r="D118" i="66"/>
  <c r="D133" i="66"/>
  <c r="D136" i="66" s="1"/>
  <c r="D18" i="66" s="1"/>
  <c r="D143" i="66"/>
  <c r="D134" i="66"/>
  <c r="D125" i="66"/>
  <c r="D128" i="66" s="1"/>
  <c r="D17" i="66" s="1"/>
  <c r="D182" i="66"/>
  <c r="D172" i="66"/>
  <c r="D180" i="66"/>
  <c r="D170" i="66"/>
  <c r="D171" i="66"/>
  <c r="D181" i="66"/>
  <c r="D180" i="65"/>
  <c r="D172" i="65"/>
  <c r="L172" i="65" s="1"/>
  <c r="D171" i="65"/>
  <c r="D181" i="65"/>
  <c r="D170" i="65"/>
  <c r="D182" i="65"/>
  <c r="L182" i="65" s="1"/>
  <c r="D77" i="65"/>
  <c r="D61" i="65" s="1"/>
  <c r="D49" i="61" s="1"/>
  <c r="D73" i="65"/>
  <c r="D74" i="65"/>
  <c r="D75" i="65"/>
  <c r="D72" i="65"/>
  <c r="D76" i="65"/>
  <c r="E8" i="62"/>
  <c r="E7" i="66"/>
  <c r="D5" i="61"/>
  <c r="E7" i="65"/>
  <c r="D141" i="65"/>
  <c r="D142" i="65"/>
  <c r="L142" i="65" s="1"/>
  <c r="D127" i="65"/>
  <c r="D125" i="65"/>
  <c r="D128" i="65" s="1"/>
  <c r="D119" i="65"/>
  <c r="D133" i="65"/>
  <c r="D126" i="65"/>
  <c r="D118" i="65"/>
  <c r="D117" i="65"/>
  <c r="D120" i="65" s="1"/>
  <c r="D134" i="65"/>
  <c r="L134" i="65" s="1"/>
  <c r="D143" i="65"/>
  <c r="L143" i="65" s="1"/>
  <c r="D135" i="65"/>
  <c r="L135" i="65" s="1"/>
  <c r="G8" i="62"/>
  <c r="G7" i="66"/>
  <c r="G7" i="65"/>
  <c r="F5" i="61"/>
  <c r="F7" i="65"/>
  <c r="E5" i="61"/>
  <c r="F8" i="62"/>
  <c r="F7" i="66"/>
  <c r="H8" i="62"/>
  <c r="H7" i="65"/>
  <c r="G5" i="61"/>
  <c r="H7" i="66"/>
  <c r="D15" i="62"/>
  <c r="D160" i="66" s="1"/>
  <c r="D16" i="62"/>
  <c r="D161" i="66" s="1"/>
  <c r="D14" i="62"/>
  <c r="D159" i="66" s="1"/>
  <c r="I7" i="65"/>
  <c r="I7" i="66"/>
  <c r="H5" i="61"/>
  <c r="I8" i="62"/>
  <c r="C17" i="61"/>
  <c r="D63" i="65" l="1"/>
  <c r="D62" i="65"/>
  <c r="D51" i="61"/>
  <c r="H69" i="66"/>
  <c r="H77" i="66"/>
  <c r="H76" i="66"/>
  <c r="H75" i="66"/>
  <c r="H74" i="66"/>
  <c r="H63" i="66" s="1"/>
  <c r="H73" i="66"/>
  <c r="H72" i="66"/>
  <c r="H78" i="66"/>
  <c r="H71" i="66"/>
  <c r="H79" i="66"/>
  <c r="H70" i="66"/>
  <c r="E71" i="65"/>
  <c r="E70" i="65"/>
  <c r="G70" i="65"/>
  <c r="G71" i="65"/>
  <c r="F71" i="65"/>
  <c r="F70" i="65"/>
  <c r="D90" i="66"/>
  <c r="D100" i="66"/>
  <c r="D110" i="66"/>
  <c r="D158" i="66"/>
  <c r="D8" i="61"/>
  <c r="D158" i="65"/>
  <c r="D63" i="66"/>
  <c r="L63" i="66" s="1"/>
  <c r="E74" i="66"/>
  <c r="E73" i="66"/>
  <c r="E72" i="66"/>
  <c r="E71" i="66"/>
  <c r="E79" i="66"/>
  <c r="E70" i="66"/>
  <c r="E78" i="66"/>
  <c r="E75" i="66"/>
  <c r="E69" i="66"/>
  <c r="E77" i="66"/>
  <c r="E76" i="66"/>
  <c r="D108" i="66"/>
  <c r="D88" i="66"/>
  <c r="D62" i="66"/>
  <c r="L62" i="66" s="1"/>
  <c r="D98" i="66"/>
  <c r="D60" i="66"/>
  <c r="D97" i="66"/>
  <c r="D107" i="66"/>
  <c r="D87" i="66"/>
  <c r="H70" i="65"/>
  <c r="H71" i="65"/>
  <c r="G76" i="66"/>
  <c r="G75" i="66"/>
  <c r="G74" i="66"/>
  <c r="G73" i="66"/>
  <c r="G72" i="66"/>
  <c r="G69" i="66"/>
  <c r="G71" i="66"/>
  <c r="G79" i="66"/>
  <c r="G70" i="66"/>
  <c r="G78" i="66"/>
  <c r="G77" i="66"/>
  <c r="I70" i="66"/>
  <c r="I78" i="66"/>
  <c r="I77" i="66"/>
  <c r="I69" i="66"/>
  <c r="I76" i="66"/>
  <c r="I75" i="66"/>
  <c r="I74" i="66"/>
  <c r="I79" i="66"/>
  <c r="I73" i="66"/>
  <c r="I72" i="66"/>
  <c r="I71" i="66"/>
  <c r="I70" i="65"/>
  <c r="I71" i="65"/>
  <c r="F75" i="66"/>
  <c r="F74" i="66"/>
  <c r="F73" i="66"/>
  <c r="F76" i="66"/>
  <c r="F72" i="66"/>
  <c r="F71" i="66"/>
  <c r="F79" i="66"/>
  <c r="F70" i="66"/>
  <c r="F78" i="66"/>
  <c r="F69" i="66"/>
  <c r="F77" i="66"/>
  <c r="D96" i="65"/>
  <c r="D106" i="65"/>
  <c r="D86" i="65"/>
  <c r="D80" i="65"/>
  <c r="D89" i="66"/>
  <c r="D109" i="66"/>
  <c r="D61" i="66"/>
  <c r="L61" i="66" s="1"/>
  <c r="D99" i="66"/>
  <c r="D86" i="66"/>
  <c r="D96" i="66"/>
  <c r="D106" i="66"/>
  <c r="D60" i="65"/>
  <c r="D48" i="61" s="1"/>
  <c r="D12" i="61"/>
  <c r="E13" i="62"/>
  <c r="M69" i="50"/>
  <c r="G16" i="61"/>
  <c r="H17" i="62"/>
  <c r="H162" i="66" s="1"/>
  <c r="D183" i="66"/>
  <c r="L183" i="65"/>
  <c r="D179" i="66"/>
  <c r="L179" i="65"/>
  <c r="F183" i="65"/>
  <c r="F179" i="65"/>
  <c r="F169" i="65"/>
  <c r="F173" i="65"/>
  <c r="E173" i="65"/>
  <c r="E179" i="65"/>
  <c r="E183" i="65"/>
  <c r="E169" i="65"/>
  <c r="D173" i="66"/>
  <c r="L173" i="65"/>
  <c r="G183" i="65"/>
  <c r="G179" i="65"/>
  <c r="G169" i="65"/>
  <c r="G173" i="65"/>
  <c r="D50" i="65"/>
  <c r="D24" i="62"/>
  <c r="D40" i="65"/>
  <c r="D16" i="61"/>
  <c r="E17" i="62"/>
  <c r="E162" i="66" s="1"/>
  <c r="E12" i="61"/>
  <c r="N69" i="50"/>
  <c r="F13" i="62"/>
  <c r="H16" i="61"/>
  <c r="I17" i="62"/>
  <c r="I162" i="66" s="1"/>
  <c r="H179" i="65"/>
  <c r="H169" i="65"/>
  <c r="H173" i="65"/>
  <c r="H183" i="65"/>
  <c r="P69" i="50"/>
  <c r="G13" i="61"/>
  <c r="I179" i="65"/>
  <c r="I173" i="65"/>
  <c r="I183" i="65"/>
  <c r="I169" i="65"/>
  <c r="D162" i="65"/>
  <c r="D54" i="65"/>
  <c r="D28" i="62"/>
  <c r="D44" i="65"/>
  <c r="E16" i="61"/>
  <c r="F17" i="62"/>
  <c r="F162" i="66" s="1"/>
  <c r="F16" i="61"/>
  <c r="G17" i="62"/>
  <c r="G162" i="66" s="1"/>
  <c r="H12" i="61"/>
  <c r="I13" i="62"/>
  <c r="Q69" i="50"/>
  <c r="G12" i="61"/>
  <c r="H13" i="62"/>
  <c r="D169" i="66"/>
  <c r="L169" i="65"/>
  <c r="F12" i="61"/>
  <c r="O69" i="50"/>
  <c r="G13" i="62"/>
  <c r="D20" i="62"/>
  <c r="D19" i="62"/>
  <c r="D30" i="62" s="1"/>
  <c r="D202" i="65"/>
  <c r="L202" i="65" s="1"/>
  <c r="D199" i="65"/>
  <c r="L199" i="65" s="1"/>
  <c r="D190" i="65"/>
  <c r="L190" i="65" s="1"/>
  <c r="D201" i="65"/>
  <c r="L201" i="65" s="1"/>
  <c r="D190" i="66"/>
  <c r="L190" i="66" s="1"/>
  <c r="D193" i="66"/>
  <c r="L193" i="66" s="1"/>
  <c r="D198" i="66"/>
  <c r="L198" i="66" s="1"/>
  <c r="D197" i="66"/>
  <c r="L197" i="66" s="1"/>
  <c r="D202" i="66"/>
  <c r="L202" i="66" s="1"/>
  <c r="D194" i="65"/>
  <c r="L194" i="65" s="1"/>
  <c r="D203" i="66"/>
  <c r="L203" i="66" s="1"/>
  <c r="D198" i="65"/>
  <c r="L198" i="65" s="1"/>
  <c r="D203" i="65"/>
  <c r="L203" i="65" s="1"/>
  <c r="D196" i="66"/>
  <c r="L196" i="66" s="1"/>
  <c r="D200" i="66"/>
  <c r="L200" i="66" s="1"/>
  <c r="D199" i="66"/>
  <c r="L199" i="66" s="1"/>
  <c r="D201" i="66"/>
  <c r="L201" i="66" s="1"/>
  <c r="D192" i="65"/>
  <c r="L192" i="65" s="1"/>
  <c r="D191" i="65"/>
  <c r="L191" i="65" s="1"/>
  <c r="D193" i="65"/>
  <c r="L193" i="65" s="1"/>
  <c r="D196" i="65"/>
  <c r="L196" i="65" s="1"/>
  <c r="D195" i="65"/>
  <c r="L195" i="65" s="1"/>
  <c r="D197" i="65"/>
  <c r="L197" i="65" s="1"/>
  <c r="D200" i="65"/>
  <c r="L200" i="65" s="1"/>
  <c r="D192" i="66"/>
  <c r="L192" i="66" s="1"/>
  <c r="D191" i="66"/>
  <c r="L191" i="66" s="1"/>
  <c r="D194" i="66"/>
  <c r="L194" i="66" s="1"/>
  <c r="D195" i="66"/>
  <c r="L195" i="66" s="1"/>
  <c r="D184" i="65"/>
  <c r="D100" i="65"/>
  <c r="D90" i="65"/>
  <c r="D110" i="65"/>
  <c r="D174" i="65"/>
  <c r="D50" i="61"/>
  <c r="E79" i="65"/>
  <c r="E69" i="65"/>
  <c r="E78" i="65"/>
  <c r="H69" i="65"/>
  <c r="H79" i="65"/>
  <c r="H78" i="65"/>
  <c r="I69" i="65"/>
  <c r="I79" i="65"/>
  <c r="I78" i="65"/>
  <c r="G79" i="65"/>
  <c r="G69" i="65"/>
  <c r="G78" i="65"/>
  <c r="F69" i="65"/>
  <c r="F79" i="65"/>
  <c r="F78" i="65"/>
  <c r="D21" i="62"/>
  <c r="D31" i="62"/>
  <c r="D51" i="66"/>
  <c r="D51" i="65"/>
  <c r="D53" i="65"/>
  <c r="L53" i="65" s="1"/>
  <c r="D53" i="66"/>
  <c r="L161" i="66"/>
  <c r="D43" i="65"/>
  <c r="L43" i="65" s="1"/>
  <c r="D43" i="66"/>
  <c r="L43" i="66" s="1"/>
  <c r="D52" i="66"/>
  <c r="D52" i="65"/>
  <c r="L52" i="65" s="1"/>
  <c r="L160" i="66"/>
  <c r="D42" i="66"/>
  <c r="L42" i="66" s="1"/>
  <c r="D42" i="65"/>
  <c r="L42" i="65" s="1"/>
  <c r="I142" i="66"/>
  <c r="I133" i="66"/>
  <c r="I136" i="66" s="1"/>
  <c r="I137" i="66" s="1"/>
  <c r="I119" i="66"/>
  <c r="I143" i="66"/>
  <c r="I134" i="66"/>
  <c r="I125" i="66"/>
  <c r="I128" i="66" s="1"/>
  <c r="I129" i="66" s="1"/>
  <c r="I135" i="66"/>
  <c r="I126" i="66"/>
  <c r="I117" i="66"/>
  <c r="I120" i="66" s="1"/>
  <c r="I121" i="66" s="1"/>
  <c r="I141" i="66"/>
  <c r="I144" i="66" s="1"/>
  <c r="I145" i="66" s="1"/>
  <c r="I127" i="66"/>
  <c r="I118" i="66"/>
  <c r="H135" i="66"/>
  <c r="H117" i="66"/>
  <c r="H120" i="66" s="1"/>
  <c r="H121" i="66" s="1"/>
  <c r="H142" i="66"/>
  <c r="H133" i="66"/>
  <c r="H136" i="66" s="1"/>
  <c r="H137" i="66" s="1"/>
  <c r="H119" i="66"/>
  <c r="H143" i="66"/>
  <c r="H134" i="66"/>
  <c r="H125" i="66"/>
  <c r="H128" i="66" s="1"/>
  <c r="H129" i="66" s="1"/>
  <c r="H141" i="66"/>
  <c r="H144" i="66" s="1"/>
  <c r="H145" i="66" s="1"/>
  <c r="H127" i="66"/>
  <c r="H118" i="66"/>
  <c r="H126" i="66"/>
  <c r="F141" i="66"/>
  <c r="F144" i="66" s="1"/>
  <c r="F145" i="66" s="1"/>
  <c r="F127" i="66"/>
  <c r="F118" i="66"/>
  <c r="F143" i="66"/>
  <c r="F142" i="66"/>
  <c r="F133" i="66"/>
  <c r="F136" i="66" s="1"/>
  <c r="F137" i="66" s="1"/>
  <c r="F119" i="66"/>
  <c r="F125" i="66"/>
  <c r="F128" i="66" s="1"/>
  <c r="F129" i="66" s="1"/>
  <c r="F135" i="66"/>
  <c r="F126" i="66"/>
  <c r="F117" i="66"/>
  <c r="F120" i="66" s="1"/>
  <c r="F121" i="66" s="1"/>
  <c r="F134" i="66"/>
  <c r="G141" i="66"/>
  <c r="G144" i="66" s="1"/>
  <c r="G145" i="66" s="1"/>
  <c r="G127" i="66"/>
  <c r="G118" i="66"/>
  <c r="G142" i="66"/>
  <c r="G133" i="66"/>
  <c r="G136" i="66" s="1"/>
  <c r="G137" i="66" s="1"/>
  <c r="G119" i="66"/>
  <c r="G143" i="66"/>
  <c r="G134" i="66"/>
  <c r="G125" i="66"/>
  <c r="G128" i="66" s="1"/>
  <c r="G129" i="66" s="1"/>
  <c r="G135" i="66"/>
  <c r="G126" i="66"/>
  <c r="G117" i="66"/>
  <c r="G120" i="66" s="1"/>
  <c r="G121" i="66" s="1"/>
  <c r="E135" i="66"/>
  <c r="E126" i="66"/>
  <c r="E117" i="66"/>
  <c r="E120" i="66" s="1"/>
  <c r="E121" i="66" s="1"/>
  <c r="E141" i="66"/>
  <c r="E144" i="66" s="1"/>
  <c r="E145" i="66" s="1"/>
  <c r="E127" i="66"/>
  <c r="E118" i="66"/>
  <c r="E142" i="66"/>
  <c r="E133" i="66"/>
  <c r="E136" i="66" s="1"/>
  <c r="E137" i="66" s="1"/>
  <c r="E119" i="66"/>
  <c r="E143" i="66"/>
  <c r="E134" i="66"/>
  <c r="E125" i="66"/>
  <c r="E128" i="66" s="1"/>
  <c r="E129" i="66" s="1"/>
  <c r="D27" i="62"/>
  <c r="D26" i="62"/>
  <c r="D41" i="66"/>
  <c r="G182" i="66"/>
  <c r="G172" i="66"/>
  <c r="G170" i="66"/>
  <c r="G181" i="66"/>
  <c r="G180" i="66"/>
  <c r="G171" i="66"/>
  <c r="E172" i="66"/>
  <c r="E170" i="66"/>
  <c r="E182" i="66"/>
  <c r="E171" i="66"/>
  <c r="E180" i="66"/>
  <c r="E181" i="66"/>
  <c r="I170" i="66"/>
  <c r="I182" i="66"/>
  <c r="I180" i="66"/>
  <c r="I171" i="66"/>
  <c r="I172" i="66"/>
  <c r="I181" i="66"/>
  <c r="H182" i="66"/>
  <c r="H172" i="66"/>
  <c r="H171" i="66"/>
  <c r="H181" i="66"/>
  <c r="H170" i="66"/>
  <c r="H180" i="66"/>
  <c r="F172" i="66"/>
  <c r="F182" i="66"/>
  <c r="F170" i="66"/>
  <c r="F171" i="66"/>
  <c r="F180" i="66"/>
  <c r="F181" i="66"/>
  <c r="D89" i="65"/>
  <c r="L89" i="65" s="1"/>
  <c r="D109" i="65"/>
  <c r="L109" i="65" s="1"/>
  <c r="D99" i="65"/>
  <c r="L99" i="65" s="1"/>
  <c r="G171" i="65"/>
  <c r="G72" i="65"/>
  <c r="G76" i="65"/>
  <c r="G182" i="65"/>
  <c r="O182" i="65" s="1"/>
  <c r="G77" i="65"/>
  <c r="G181" i="65"/>
  <c r="G74" i="65"/>
  <c r="G170" i="65"/>
  <c r="G75" i="65"/>
  <c r="G180" i="65"/>
  <c r="G172" i="65"/>
  <c r="O172" i="65" s="1"/>
  <c r="G73" i="65"/>
  <c r="I182" i="65"/>
  <c r="Q182" i="65" s="1"/>
  <c r="I73" i="65"/>
  <c r="I76" i="65"/>
  <c r="I171" i="65"/>
  <c r="I72" i="65"/>
  <c r="I180" i="65"/>
  <c r="I77" i="65"/>
  <c r="I172" i="65"/>
  <c r="Q172" i="65" s="1"/>
  <c r="I74" i="65"/>
  <c r="I181" i="65"/>
  <c r="I170" i="65"/>
  <c r="I75" i="65"/>
  <c r="F181" i="65"/>
  <c r="F77" i="65"/>
  <c r="F171" i="65"/>
  <c r="F74" i="65"/>
  <c r="F182" i="65"/>
  <c r="N182" i="65" s="1"/>
  <c r="F170" i="65"/>
  <c r="F75" i="65"/>
  <c r="F72" i="65"/>
  <c r="F172" i="65"/>
  <c r="N172" i="65" s="1"/>
  <c r="F73" i="65"/>
  <c r="F180" i="65"/>
  <c r="F76" i="65"/>
  <c r="D87" i="65"/>
  <c r="L87" i="65" s="1"/>
  <c r="D107" i="65"/>
  <c r="D97" i="65"/>
  <c r="D98" i="65"/>
  <c r="L98" i="65" s="1"/>
  <c r="D108" i="65"/>
  <c r="L108" i="65" s="1"/>
  <c r="D88" i="65"/>
  <c r="L88" i="65" s="1"/>
  <c r="H182" i="65"/>
  <c r="P182" i="65" s="1"/>
  <c r="H76" i="65"/>
  <c r="H171" i="65"/>
  <c r="H72" i="65"/>
  <c r="H77" i="65"/>
  <c r="H74" i="65"/>
  <c r="H180" i="65"/>
  <c r="H170" i="65"/>
  <c r="H75" i="65"/>
  <c r="H181" i="65"/>
  <c r="H172" i="65"/>
  <c r="P172" i="65" s="1"/>
  <c r="H73" i="65"/>
  <c r="E74" i="65"/>
  <c r="E181" i="65"/>
  <c r="E170" i="65"/>
  <c r="E75" i="65"/>
  <c r="E182" i="65"/>
  <c r="M182" i="65" s="1"/>
  <c r="E172" i="65"/>
  <c r="M172" i="65" s="1"/>
  <c r="E73" i="65"/>
  <c r="E180" i="65"/>
  <c r="E77" i="65"/>
  <c r="E76" i="65"/>
  <c r="E171" i="65"/>
  <c r="E72" i="65"/>
  <c r="D160" i="65"/>
  <c r="L160" i="65" s="1"/>
  <c r="L171" i="65"/>
  <c r="L181" i="65"/>
  <c r="D149" i="65"/>
  <c r="G125" i="65"/>
  <c r="G128" i="65" s="1"/>
  <c r="G133" i="65"/>
  <c r="G141" i="65"/>
  <c r="G117" i="65"/>
  <c r="G120" i="65" s="1"/>
  <c r="G142" i="65"/>
  <c r="O142" i="65" s="1"/>
  <c r="G134" i="65"/>
  <c r="O134" i="65" s="1"/>
  <c r="G118" i="65"/>
  <c r="G126" i="65"/>
  <c r="G119" i="65"/>
  <c r="G143" i="65"/>
  <c r="O143" i="65" s="1"/>
  <c r="G127" i="65"/>
  <c r="G135" i="65"/>
  <c r="O135" i="65" s="1"/>
  <c r="E133" i="65"/>
  <c r="E141" i="65"/>
  <c r="E117" i="65"/>
  <c r="E120" i="65" s="1"/>
  <c r="E119" i="65"/>
  <c r="E135" i="65"/>
  <c r="M135" i="65" s="1"/>
  <c r="E134" i="65"/>
  <c r="M134" i="65" s="1"/>
  <c r="E142" i="65"/>
  <c r="M142" i="65" s="1"/>
  <c r="E127" i="65"/>
  <c r="E125" i="65"/>
  <c r="E128" i="65" s="1"/>
  <c r="E118" i="65"/>
  <c r="E143" i="65"/>
  <c r="M143" i="65" s="1"/>
  <c r="E126" i="65"/>
  <c r="H17" i="61"/>
  <c r="H14" i="62"/>
  <c r="H159" i="66" s="1"/>
  <c r="H15" i="62"/>
  <c r="H160" i="66" s="1"/>
  <c r="H16" i="62"/>
  <c r="H161" i="66" s="1"/>
  <c r="F117" i="65"/>
  <c r="F120" i="65" s="1"/>
  <c r="F141" i="65"/>
  <c r="F133" i="65"/>
  <c r="F125" i="65"/>
  <c r="F128" i="65" s="1"/>
  <c r="F134" i="65"/>
  <c r="N134" i="65" s="1"/>
  <c r="F118" i="65"/>
  <c r="F119" i="65"/>
  <c r="F142" i="65"/>
  <c r="N142" i="65" s="1"/>
  <c r="F126" i="65"/>
  <c r="F143" i="65"/>
  <c r="N143" i="65" s="1"/>
  <c r="F135" i="65"/>
  <c r="N135" i="65" s="1"/>
  <c r="F127" i="65"/>
  <c r="G14" i="62"/>
  <c r="G159" i="66" s="1"/>
  <c r="G16" i="62"/>
  <c r="G161" i="66" s="1"/>
  <c r="G15" i="62"/>
  <c r="G160" i="66" s="1"/>
  <c r="L180" i="65"/>
  <c r="L141" i="65"/>
  <c r="L144" i="65" s="1"/>
  <c r="D144" i="65"/>
  <c r="I141" i="65"/>
  <c r="I125" i="65"/>
  <c r="I128" i="65" s="1"/>
  <c r="I133" i="65"/>
  <c r="I143" i="65"/>
  <c r="Q143" i="65" s="1"/>
  <c r="I142" i="65"/>
  <c r="Q142" i="65" s="1"/>
  <c r="I134" i="65"/>
  <c r="Q134" i="65" s="1"/>
  <c r="I117" i="65"/>
  <c r="I120" i="65" s="1"/>
  <c r="I135" i="65"/>
  <c r="Q135" i="65" s="1"/>
  <c r="I126" i="65"/>
  <c r="I118" i="65"/>
  <c r="I119" i="65"/>
  <c r="I127" i="65"/>
  <c r="I15" i="62"/>
  <c r="I160" i="66" s="1"/>
  <c r="I14" i="62"/>
  <c r="I159" i="66" s="1"/>
  <c r="I16" i="62"/>
  <c r="I161" i="66" s="1"/>
  <c r="G17" i="61"/>
  <c r="E17" i="61"/>
  <c r="L170" i="65"/>
  <c r="D33" i="65"/>
  <c r="L33" i="65" s="1"/>
  <c r="D33" i="66"/>
  <c r="L33" i="66" s="1"/>
  <c r="D150" i="65"/>
  <c r="L150" i="65" s="1"/>
  <c r="F17" i="61"/>
  <c r="D136" i="65"/>
  <c r="L133" i="65"/>
  <c r="L136" i="65" s="1"/>
  <c r="D32" i="66"/>
  <c r="D41" i="65"/>
  <c r="D159" i="65"/>
  <c r="D25" i="62"/>
  <c r="D32" i="65"/>
  <c r="F15" i="62"/>
  <c r="F160" i="66" s="1"/>
  <c r="F16" i="62"/>
  <c r="F161" i="66" s="1"/>
  <c r="F14" i="62"/>
  <c r="F159" i="66" s="1"/>
  <c r="D161" i="65"/>
  <c r="L161" i="65" s="1"/>
  <c r="D34" i="66"/>
  <c r="L34" i="66" s="1"/>
  <c r="D34" i="65"/>
  <c r="L34" i="65" s="1"/>
  <c r="H125" i="65"/>
  <c r="H128" i="65" s="1"/>
  <c r="H117" i="65"/>
  <c r="H120" i="65" s="1"/>
  <c r="H133" i="65"/>
  <c r="H141" i="65"/>
  <c r="H134" i="65"/>
  <c r="P134" i="65" s="1"/>
  <c r="H118" i="65"/>
  <c r="H127" i="65"/>
  <c r="H142" i="65"/>
  <c r="P142" i="65" s="1"/>
  <c r="H135" i="65"/>
  <c r="P135" i="65" s="1"/>
  <c r="H126" i="65"/>
  <c r="H143" i="65"/>
  <c r="P143" i="65" s="1"/>
  <c r="H119" i="65"/>
  <c r="D17" i="61"/>
  <c r="E14" i="62"/>
  <c r="E159" i="66" s="1"/>
  <c r="E15" i="62"/>
  <c r="E160" i="66" s="1"/>
  <c r="E16" i="62"/>
  <c r="E161" i="66" s="1"/>
  <c r="F63" i="66" l="1"/>
  <c r="E63" i="65"/>
  <c r="F62" i="65"/>
  <c r="F50" i="61" s="1"/>
  <c r="G63" i="65"/>
  <c r="E62" i="65"/>
  <c r="G63" i="66"/>
  <c r="F109" i="66"/>
  <c r="F61" i="66"/>
  <c r="N61" i="66" s="1"/>
  <c r="F89" i="66"/>
  <c r="F99" i="66"/>
  <c r="I96" i="65"/>
  <c r="I106" i="65"/>
  <c r="I86" i="65"/>
  <c r="E158" i="66"/>
  <c r="E158" i="65"/>
  <c r="E8" i="61"/>
  <c r="F106" i="66"/>
  <c r="F86" i="66"/>
  <c r="F96" i="66"/>
  <c r="I63" i="66"/>
  <c r="G110" i="66"/>
  <c r="G90" i="66"/>
  <c r="G100" i="66"/>
  <c r="G88" i="66"/>
  <c r="G62" i="66"/>
  <c r="G98" i="66"/>
  <c r="G108" i="66"/>
  <c r="E90" i="66"/>
  <c r="E100" i="66"/>
  <c r="E110" i="66"/>
  <c r="H87" i="66"/>
  <c r="H60" i="66"/>
  <c r="P60" i="66" s="1"/>
  <c r="H97" i="66"/>
  <c r="H107" i="66"/>
  <c r="I63" i="65"/>
  <c r="D174" i="66"/>
  <c r="D22" i="66" s="1"/>
  <c r="F90" i="66"/>
  <c r="F100" i="66"/>
  <c r="F110" i="66"/>
  <c r="F62" i="66"/>
  <c r="N62" i="66" s="1"/>
  <c r="F98" i="66"/>
  <c r="F108" i="66"/>
  <c r="F88" i="66"/>
  <c r="I88" i="66"/>
  <c r="I62" i="66"/>
  <c r="I98" i="66"/>
  <c r="I108" i="66"/>
  <c r="H110" i="66"/>
  <c r="H100" i="66"/>
  <c r="H90" i="66"/>
  <c r="F63" i="65"/>
  <c r="F106" i="65"/>
  <c r="F86" i="65"/>
  <c r="F96" i="65"/>
  <c r="H158" i="66"/>
  <c r="H158" i="65"/>
  <c r="H8" i="61"/>
  <c r="E98" i="66"/>
  <c r="E108" i="66"/>
  <c r="E88" i="66"/>
  <c r="E62" i="66"/>
  <c r="H62" i="65"/>
  <c r="H50" i="61" s="1"/>
  <c r="H106" i="65"/>
  <c r="H86" i="65"/>
  <c r="H96" i="65"/>
  <c r="F158" i="65"/>
  <c r="F158" i="66"/>
  <c r="F8" i="61"/>
  <c r="I96" i="66"/>
  <c r="I106" i="66"/>
  <c r="I86" i="66"/>
  <c r="H88" i="66"/>
  <c r="H62" i="66"/>
  <c r="P62" i="66" s="1"/>
  <c r="H98" i="66"/>
  <c r="H108" i="66"/>
  <c r="G106" i="65"/>
  <c r="G86" i="65"/>
  <c r="G96" i="65"/>
  <c r="I89" i="66"/>
  <c r="I99" i="66"/>
  <c r="I109" i="66"/>
  <c r="I61" i="66"/>
  <c r="G106" i="66"/>
  <c r="G86" i="66"/>
  <c r="G96" i="66"/>
  <c r="E87" i="66"/>
  <c r="E60" i="66"/>
  <c r="M60" i="66" s="1"/>
  <c r="E97" i="66"/>
  <c r="E107" i="66"/>
  <c r="G99" i="66"/>
  <c r="G109" i="66"/>
  <c r="G61" i="66"/>
  <c r="G89" i="66"/>
  <c r="G62" i="65"/>
  <c r="G50" i="61" s="1"/>
  <c r="E86" i="65"/>
  <c r="E96" i="65"/>
  <c r="E106" i="65"/>
  <c r="G158" i="66"/>
  <c r="G158" i="65"/>
  <c r="G8" i="61"/>
  <c r="I158" i="66"/>
  <c r="I158" i="65"/>
  <c r="F87" i="66"/>
  <c r="F60" i="66"/>
  <c r="N60" i="66" s="1"/>
  <c r="F97" i="66"/>
  <c r="F107" i="66"/>
  <c r="I107" i="66"/>
  <c r="I87" i="66"/>
  <c r="I60" i="66"/>
  <c r="I97" i="66"/>
  <c r="I100" i="66"/>
  <c r="I110" i="66"/>
  <c r="I90" i="66"/>
  <c r="G87" i="66"/>
  <c r="G60" i="66"/>
  <c r="G97" i="66"/>
  <c r="G107" i="66"/>
  <c r="E109" i="66"/>
  <c r="E61" i="66"/>
  <c r="M61" i="66" s="1"/>
  <c r="E89" i="66"/>
  <c r="E99" i="66"/>
  <c r="H99" i="66"/>
  <c r="H109" i="66"/>
  <c r="H61" i="66"/>
  <c r="H89" i="66"/>
  <c r="H63" i="65"/>
  <c r="H51" i="61" s="1"/>
  <c r="I62" i="65"/>
  <c r="E86" i="66"/>
  <c r="E96" i="66"/>
  <c r="E106" i="66"/>
  <c r="E63" i="66"/>
  <c r="H106" i="66"/>
  <c r="H86" i="66"/>
  <c r="H96" i="66"/>
  <c r="D184" i="66"/>
  <c r="D23" i="66" s="1"/>
  <c r="G50" i="65"/>
  <c r="G24" i="62"/>
  <c r="G40" i="65"/>
  <c r="I50" i="65"/>
  <c r="I24" i="62"/>
  <c r="I40" i="65"/>
  <c r="D54" i="66"/>
  <c r="L54" i="65"/>
  <c r="H183" i="66"/>
  <c r="P183" i="65"/>
  <c r="E183" i="66"/>
  <c r="M183" i="65"/>
  <c r="L162" i="66"/>
  <c r="L162" i="65"/>
  <c r="H173" i="66"/>
  <c r="P173" i="65"/>
  <c r="E162" i="65"/>
  <c r="E54" i="65"/>
  <c r="E28" i="62"/>
  <c r="E44" i="65"/>
  <c r="G173" i="66"/>
  <c r="O173" i="65"/>
  <c r="E179" i="66"/>
  <c r="M179" i="65"/>
  <c r="G54" i="65"/>
  <c r="G162" i="65"/>
  <c r="G28" i="62"/>
  <c r="G44" i="65"/>
  <c r="I169" i="66"/>
  <c r="Q169" i="65"/>
  <c r="H169" i="66"/>
  <c r="H174" i="66" s="1"/>
  <c r="H175" i="66" s="1"/>
  <c r="P169" i="65"/>
  <c r="G169" i="66"/>
  <c r="O169" i="65"/>
  <c r="E173" i="66"/>
  <c r="M173" i="65"/>
  <c r="I183" i="66"/>
  <c r="Q183" i="65"/>
  <c r="H179" i="66"/>
  <c r="P179" i="65"/>
  <c r="D40" i="66"/>
  <c r="L40" i="66" s="1"/>
  <c r="L40" i="65"/>
  <c r="G179" i="66"/>
  <c r="O179" i="65"/>
  <c r="F173" i="66"/>
  <c r="N173" i="65"/>
  <c r="H54" i="65"/>
  <c r="H162" i="65"/>
  <c r="H28" i="62"/>
  <c r="H44" i="65"/>
  <c r="F162" i="65"/>
  <c r="F54" i="65"/>
  <c r="F28" i="62"/>
  <c r="F44" i="65"/>
  <c r="I173" i="66"/>
  <c r="Q173" i="65"/>
  <c r="I54" i="65"/>
  <c r="I162" i="65"/>
  <c r="I28" i="62"/>
  <c r="I44" i="65"/>
  <c r="D32" i="62"/>
  <c r="C23" i="61" s="1"/>
  <c r="G183" i="66"/>
  <c r="O183" i="65"/>
  <c r="F169" i="66"/>
  <c r="N169" i="65"/>
  <c r="H50" i="65"/>
  <c r="I21" i="62"/>
  <c r="H24" i="62"/>
  <c r="H40" i="65"/>
  <c r="I179" i="66"/>
  <c r="I184" i="66" s="1"/>
  <c r="Q179" i="65"/>
  <c r="D50" i="66"/>
  <c r="L50" i="65"/>
  <c r="F179" i="66"/>
  <c r="N179" i="65"/>
  <c r="D33" i="62"/>
  <c r="C24" i="61" s="1"/>
  <c r="D44" i="66"/>
  <c r="L44" i="66" s="1"/>
  <c r="L44" i="65"/>
  <c r="F50" i="65"/>
  <c r="F24" i="62"/>
  <c r="F40" i="65"/>
  <c r="L158" i="66"/>
  <c r="L158" i="65"/>
  <c r="F183" i="66"/>
  <c r="F184" i="66" s="1"/>
  <c r="N183" i="65"/>
  <c r="E50" i="65"/>
  <c r="E24" i="62"/>
  <c r="E40" i="65"/>
  <c r="E169" i="66"/>
  <c r="M169" i="65"/>
  <c r="L184" i="65"/>
  <c r="L23" i="65" s="1"/>
  <c r="D163" i="65"/>
  <c r="I19" i="62"/>
  <c r="I30" i="62" s="1"/>
  <c r="I20" i="62"/>
  <c r="I31" i="62" s="1"/>
  <c r="I196" i="66"/>
  <c r="Q196" i="66" s="1"/>
  <c r="I201" i="65"/>
  <c r="Q201" i="65" s="1"/>
  <c r="I198" i="65"/>
  <c r="Q198" i="65" s="1"/>
  <c r="I202" i="65"/>
  <c r="Q202" i="65" s="1"/>
  <c r="I197" i="66"/>
  <c r="Q197" i="66" s="1"/>
  <c r="I194" i="66"/>
  <c r="Q194" i="66" s="1"/>
  <c r="I191" i="65"/>
  <c r="Q191" i="65" s="1"/>
  <c r="I190" i="65"/>
  <c r="Q190" i="65" s="1"/>
  <c r="I193" i="66"/>
  <c r="Q193" i="66" s="1"/>
  <c r="I196" i="65"/>
  <c r="Q196" i="65" s="1"/>
  <c r="I193" i="65"/>
  <c r="Q193" i="65" s="1"/>
  <c r="I200" i="65"/>
  <c r="Q200" i="65" s="1"/>
  <c r="I199" i="65"/>
  <c r="Q199" i="65" s="1"/>
  <c r="I191" i="66"/>
  <c r="I195" i="65"/>
  <c r="Q195" i="65" s="1"/>
  <c r="I198" i="66"/>
  <c r="Q198" i="66" s="1"/>
  <c r="I203" i="65"/>
  <c r="Q203" i="65" s="1"/>
  <c r="I192" i="65"/>
  <c r="Q192" i="65" s="1"/>
  <c r="I203" i="66"/>
  <c r="Q203" i="66" s="1"/>
  <c r="I200" i="66"/>
  <c r="Q200" i="66" s="1"/>
  <c r="I201" i="66"/>
  <c r="Q201" i="66" s="1"/>
  <c r="I197" i="65"/>
  <c r="Q197" i="65" s="1"/>
  <c r="I195" i="66"/>
  <c r="Q195" i="66" s="1"/>
  <c r="I194" i="65"/>
  <c r="Q194" i="65" s="1"/>
  <c r="I202" i="66"/>
  <c r="Q202" i="66" s="1"/>
  <c r="I190" i="66"/>
  <c r="Q190" i="66" s="1"/>
  <c r="I199" i="66"/>
  <c r="Q199" i="66" s="1"/>
  <c r="I192" i="66"/>
  <c r="Q192" i="66" s="1"/>
  <c r="G19" i="62"/>
  <c r="G30" i="62" s="1"/>
  <c r="G20" i="62"/>
  <c r="G190" i="65"/>
  <c r="O190" i="65" s="1"/>
  <c r="G198" i="65"/>
  <c r="O198" i="65" s="1"/>
  <c r="G202" i="66"/>
  <c r="O202" i="66" s="1"/>
  <c r="G195" i="66"/>
  <c r="O195" i="66" s="1"/>
  <c r="G203" i="66"/>
  <c r="O203" i="66" s="1"/>
  <c r="G192" i="65"/>
  <c r="O192" i="65" s="1"/>
  <c r="G193" i="66"/>
  <c r="O193" i="66" s="1"/>
  <c r="G196" i="66"/>
  <c r="O196" i="66" s="1"/>
  <c r="G197" i="65"/>
  <c r="O197" i="65" s="1"/>
  <c r="G195" i="65"/>
  <c r="O195" i="65" s="1"/>
  <c r="G194" i="65"/>
  <c r="O194" i="65" s="1"/>
  <c r="G201" i="65"/>
  <c r="O201" i="65" s="1"/>
  <c r="G202" i="65"/>
  <c r="O202" i="65" s="1"/>
  <c r="G191" i="66"/>
  <c r="O191" i="66" s="1"/>
  <c r="G196" i="65"/>
  <c r="O196" i="65" s="1"/>
  <c r="G197" i="66"/>
  <c r="O197" i="66" s="1"/>
  <c r="G200" i="66"/>
  <c r="O200" i="66" s="1"/>
  <c r="G192" i="66"/>
  <c r="O192" i="66" s="1"/>
  <c r="G193" i="65"/>
  <c r="O193" i="65" s="1"/>
  <c r="G194" i="66"/>
  <c r="O194" i="66" s="1"/>
  <c r="G199" i="65"/>
  <c r="O199" i="65" s="1"/>
  <c r="G198" i="66"/>
  <c r="O198" i="66" s="1"/>
  <c r="G203" i="65"/>
  <c r="O203" i="65" s="1"/>
  <c r="G200" i="65"/>
  <c r="O200" i="65" s="1"/>
  <c r="G201" i="66"/>
  <c r="O201" i="66" s="1"/>
  <c r="G199" i="66"/>
  <c r="O199" i="66" s="1"/>
  <c r="G191" i="65"/>
  <c r="O191" i="65" s="1"/>
  <c r="G190" i="66"/>
  <c r="O190" i="66" s="1"/>
  <c r="D45" i="66"/>
  <c r="E20" i="62"/>
  <c r="E31" i="62" s="1"/>
  <c r="E19" i="62"/>
  <c r="E30" i="62" s="1"/>
  <c r="E200" i="65"/>
  <c r="E196" i="66"/>
  <c r="M196" i="66" s="1"/>
  <c r="E193" i="66"/>
  <c r="M193" i="66" s="1"/>
  <c r="E201" i="65"/>
  <c r="M201" i="65" s="1"/>
  <c r="E200" i="66"/>
  <c r="M200" i="66" s="1"/>
  <c r="E202" i="66"/>
  <c r="M202" i="66" s="1"/>
  <c r="E191" i="65"/>
  <c r="M191" i="65" s="1"/>
  <c r="E195" i="65"/>
  <c r="M195" i="65" s="1"/>
  <c r="E197" i="65"/>
  <c r="M197" i="65" s="1"/>
  <c r="E203" i="66"/>
  <c r="M203" i="66" s="1"/>
  <c r="E196" i="65"/>
  <c r="M196" i="65" s="1"/>
  <c r="E203" i="65"/>
  <c r="M203" i="65" s="1"/>
  <c r="E195" i="66"/>
  <c r="M195" i="66" s="1"/>
  <c r="E197" i="66"/>
  <c r="M197" i="66" s="1"/>
  <c r="E198" i="66"/>
  <c r="M198" i="66" s="1"/>
  <c r="E194" i="65"/>
  <c r="M194" i="65" s="1"/>
  <c r="E190" i="65"/>
  <c r="M190" i="65" s="1"/>
  <c r="E202" i="65"/>
  <c r="M202" i="65" s="1"/>
  <c r="E191" i="66"/>
  <c r="M191" i="66" s="1"/>
  <c r="E199" i="65"/>
  <c r="M199" i="65" s="1"/>
  <c r="E193" i="65"/>
  <c r="M193" i="65" s="1"/>
  <c r="E192" i="65"/>
  <c r="M192" i="65" s="1"/>
  <c r="E192" i="66"/>
  <c r="M192" i="66" s="1"/>
  <c r="E199" i="66"/>
  <c r="M199" i="66" s="1"/>
  <c r="E201" i="66"/>
  <c r="M201" i="66" s="1"/>
  <c r="E198" i="65"/>
  <c r="M198" i="65" s="1"/>
  <c r="E194" i="66"/>
  <c r="M194" i="66" s="1"/>
  <c r="E190" i="66"/>
  <c r="M190" i="66" s="1"/>
  <c r="E41" i="65"/>
  <c r="F20" i="62"/>
  <c r="F31" i="62" s="1"/>
  <c r="F19" i="62"/>
  <c r="F30" i="62" s="1"/>
  <c r="F202" i="65"/>
  <c r="N202" i="65" s="1"/>
  <c r="F193" i="66"/>
  <c r="F190" i="66"/>
  <c r="N190" i="66" s="1"/>
  <c r="F191" i="66"/>
  <c r="N191" i="66" s="1"/>
  <c r="F196" i="66"/>
  <c r="N196" i="66" s="1"/>
  <c r="F192" i="65"/>
  <c r="N192" i="65" s="1"/>
  <c r="F200" i="66"/>
  <c r="N200" i="66" s="1"/>
  <c r="F196" i="65"/>
  <c r="N196" i="65" s="1"/>
  <c r="F199" i="65"/>
  <c r="N199" i="65" s="1"/>
  <c r="F198" i="65"/>
  <c r="N198" i="65" s="1"/>
  <c r="F194" i="66"/>
  <c r="N194" i="66" s="1"/>
  <c r="F197" i="66"/>
  <c r="N197" i="66" s="1"/>
  <c r="F190" i="65"/>
  <c r="N190" i="65" s="1"/>
  <c r="F195" i="66"/>
  <c r="N195" i="66" s="1"/>
  <c r="F203" i="66"/>
  <c r="N203" i="66" s="1"/>
  <c r="F195" i="65"/>
  <c r="N195" i="65" s="1"/>
  <c r="F193" i="65"/>
  <c r="F194" i="65"/>
  <c r="N194" i="65" s="1"/>
  <c r="F197" i="65"/>
  <c r="N197" i="65" s="1"/>
  <c r="F200" i="65"/>
  <c r="N200" i="65" s="1"/>
  <c r="F203" i="65"/>
  <c r="N203" i="65" s="1"/>
  <c r="F201" i="65"/>
  <c r="N201" i="65" s="1"/>
  <c r="F198" i="66"/>
  <c r="N198" i="66" s="1"/>
  <c r="F201" i="66"/>
  <c r="N201" i="66" s="1"/>
  <c r="F192" i="66"/>
  <c r="N192" i="66" s="1"/>
  <c r="F199" i="66"/>
  <c r="N199" i="66" s="1"/>
  <c r="F202" i="66"/>
  <c r="N202" i="66" s="1"/>
  <c r="F191" i="65"/>
  <c r="N191" i="65" s="1"/>
  <c r="H20" i="62"/>
  <c r="H31" i="62" s="1"/>
  <c r="H19" i="62"/>
  <c r="H30" i="62" s="1"/>
  <c r="H201" i="65"/>
  <c r="P201" i="65" s="1"/>
  <c r="H200" i="65"/>
  <c r="P200" i="65" s="1"/>
  <c r="H199" i="65"/>
  <c r="P199" i="65" s="1"/>
  <c r="H190" i="65"/>
  <c r="P190" i="65" s="1"/>
  <c r="H203" i="65"/>
  <c r="P203" i="65" s="1"/>
  <c r="H191" i="66"/>
  <c r="P191" i="66" s="1"/>
  <c r="H195" i="66"/>
  <c r="P195" i="66" s="1"/>
  <c r="H199" i="66"/>
  <c r="P199" i="66" s="1"/>
  <c r="H198" i="66"/>
  <c r="P198" i="66" s="1"/>
  <c r="H197" i="66"/>
  <c r="P197" i="66" s="1"/>
  <c r="H200" i="66"/>
  <c r="P200" i="66" s="1"/>
  <c r="H203" i="66"/>
  <c r="P203" i="66" s="1"/>
  <c r="H202" i="66"/>
  <c r="P202" i="66" s="1"/>
  <c r="H201" i="66"/>
  <c r="P201" i="66" s="1"/>
  <c r="H194" i="65"/>
  <c r="P194" i="65" s="1"/>
  <c r="H193" i="66"/>
  <c r="P193" i="66" s="1"/>
  <c r="H196" i="66"/>
  <c r="P196" i="66" s="1"/>
  <c r="H193" i="65"/>
  <c r="P193" i="65" s="1"/>
  <c r="H192" i="65"/>
  <c r="P192" i="65" s="1"/>
  <c r="H191" i="65"/>
  <c r="P191" i="65" s="1"/>
  <c r="H198" i="65"/>
  <c r="P198" i="65" s="1"/>
  <c r="H190" i="66"/>
  <c r="P190" i="66" s="1"/>
  <c r="H192" i="66"/>
  <c r="P192" i="66" s="1"/>
  <c r="H194" i="66"/>
  <c r="P194" i="66" s="1"/>
  <c r="H197" i="65"/>
  <c r="P197" i="65" s="1"/>
  <c r="H196" i="65"/>
  <c r="P196" i="65" s="1"/>
  <c r="H195" i="65"/>
  <c r="P195" i="65" s="1"/>
  <c r="H202" i="65"/>
  <c r="P202" i="65" s="1"/>
  <c r="N63" i="66"/>
  <c r="Q63" i="66"/>
  <c r="L174" i="65"/>
  <c r="L22" i="65" s="1"/>
  <c r="O63" i="66"/>
  <c r="M63" i="66"/>
  <c r="G174" i="65"/>
  <c r="H60" i="65"/>
  <c r="H48" i="61" s="1"/>
  <c r="P63" i="66"/>
  <c r="H174" i="65"/>
  <c r="F60" i="65"/>
  <c r="F48" i="61" s="1"/>
  <c r="I60" i="65"/>
  <c r="E60" i="65"/>
  <c r="E48" i="61" s="1"/>
  <c r="F184" i="65"/>
  <c r="E184" i="65"/>
  <c r="L106" i="65"/>
  <c r="D111" i="65"/>
  <c r="D15" i="65" s="1"/>
  <c r="I174" i="65"/>
  <c r="E110" i="65"/>
  <c r="E90" i="65"/>
  <c r="E100" i="65"/>
  <c r="M62" i="66"/>
  <c r="E50" i="61"/>
  <c r="F174" i="65"/>
  <c r="I100" i="65"/>
  <c r="I90" i="65"/>
  <c r="Q62" i="66"/>
  <c r="I110" i="65"/>
  <c r="E174" i="65"/>
  <c r="H184" i="65"/>
  <c r="L110" i="65"/>
  <c r="F110" i="65"/>
  <c r="F90" i="65"/>
  <c r="F100" i="65"/>
  <c r="O62" i="66"/>
  <c r="G90" i="65"/>
  <c r="G100" i="65"/>
  <c r="G110" i="65"/>
  <c r="H110" i="65"/>
  <c r="H100" i="65"/>
  <c r="H90" i="65"/>
  <c r="L90" i="65"/>
  <c r="D91" i="65"/>
  <c r="D13" i="65" s="1"/>
  <c r="L86" i="65"/>
  <c r="L100" i="65"/>
  <c r="I184" i="65"/>
  <c r="G184" i="65"/>
  <c r="O60" i="66"/>
  <c r="D80" i="66"/>
  <c r="L96" i="65"/>
  <c r="D101" i="65"/>
  <c r="D14" i="65" s="1"/>
  <c r="G60" i="65"/>
  <c r="G48" i="61" s="1"/>
  <c r="L41" i="65"/>
  <c r="D45" i="65"/>
  <c r="L51" i="65"/>
  <c r="D55" i="65"/>
  <c r="D11" i="65" s="1"/>
  <c r="G80" i="65"/>
  <c r="G81" i="65" s="1"/>
  <c r="F58" i="61" s="1"/>
  <c r="H80" i="65"/>
  <c r="H81" i="65" s="1"/>
  <c r="G58" i="61" s="1"/>
  <c r="E80" i="65"/>
  <c r="E81" i="65" s="1"/>
  <c r="D58" i="61" s="1"/>
  <c r="F80" i="65"/>
  <c r="F81" i="65" s="1"/>
  <c r="E58" i="61" s="1"/>
  <c r="I80" i="65"/>
  <c r="I81" i="65" s="1"/>
  <c r="H58" i="61" s="1"/>
  <c r="E51" i="65"/>
  <c r="E21" i="62"/>
  <c r="F21" i="62"/>
  <c r="G21" i="62"/>
  <c r="G31" i="62"/>
  <c r="H21" i="62"/>
  <c r="L204" i="66"/>
  <c r="L24" i="66" s="1"/>
  <c r="L204" i="65"/>
  <c r="E53" i="66"/>
  <c r="E53" i="65"/>
  <c r="M53" i="65" s="1"/>
  <c r="M161" i="66"/>
  <c r="E43" i="65"/>
  <c r="M43" i="65" s="1"/>
  <c r="E43" i="66"/>
  <c r="M43" i="66" s="1"/>
  <c r="H53" i="65"/>
  <c r="P53" i="65" s="1"/>
  <c r="H53" i="66"/>
  <c r="P161" i="66"/>
  <c r="H43" i="65"/>
  <c r="P43" i="65" s="1"/>
  <c r="H43" i="66"/>
  <c r="P43" i="66" s="1"/>
  <c r="N193" i="66"/>
  <c r="F51" i="65"/>
  <c r="N193" i="65"/>
  <c r="F51" i="66"/>
  <c r="F41" i="65"/>
  <c r="F41" i="66"/>
  <c r="G51" i="65"/>
  <c r="G51" i="66"/>
  <c r="G41" i="65"/>
  <c r="G41" i="66"/>
  <c r="E51" i="66"/>
  <c r="M200" i="65"/>
  <c r="E41" i="66"/>
  <c r="I53" i="65"/>
  <c r="Q53" i="65" s="1"/>
  <c r="I53" i="66"/>
  <c r="Q161" i="66"/>
  <c r="I43" i="66"/>
  <c r="Q43" i="66" s="1"/>
  <c r="I43" i="65"/>
  <c r="Q43" i="65" s="1"/>
  <c r="F53" i="66"/>
  <c r="F53" i="65"/>
  <c r="N53" i="65" s="1"/>
  <c r="N161" i="66"/>
  <c r="F43" i="65"/>
  <c r="N43" i="65" s="1"/>
  <c r="F43" i="66"/>
  <c r="N43" i="66" s="1"/>
  <c r="F52" i="66"/>
  <c r="F52" i="65"/>
  <c r="N52" i="65" s="1"/>
  <c r="N160" i="66"/>
  <c r="F42" i="66"/>
  <c r="N42" i="66" s="1"/>
  <c r="F42" i="65"/>
  <c r="N42" i="65" s="1"/>
  <c r="E52" i="65"/>
  <c r="M52" i="65" s="1"/>
  <c r="E52" i="66"/>
  <c r="M160" i="66"/>
  <c r="E42" i="66"/>
  <c r="M42" i="66" s="1"/>
  <c r="E42" i="65"/>
  <c r="I51" i="66"/>
  <c r="Q191" i="66"/>
  <c r="I51" i="65"/>
  <c r="I41" i="65"/>
  <c r="I41" i="66"/>
  <c r="I52" i="66"/>
  <c r="I52" i="65"/>
  <c r="Q52" i="65" s="1"/>
  <c r="Q160" i="66"/>
  <c r="I42" i="66"/>
  <c r="Q42" i="66" s="1"/>
  <c r="I42" i="65"/>
  <c r="Q42" i="65" s="1"/>
  <c r="G52" i="65"/>
  <c r="O52" i="65" s="1"/>
  <c r="G52" i="66"/>
  <c r="G42" i="66"/>
  <c r="O42" i="66" s="1"/>
  <c r="O160" i="66"/>
  <c r="G42" i="65"/>
  <c r="O42" i="65" s="1"/>
  <c r="H52" i="65"/>
  <c r="P52" i="65" s="1"/>
  <c r="H52" i="66"/>
  <c r="P160" i="66"/>
  <c r="H42" i="66"/>
  <c r="P42" i="66" s="1"/>
  <c r="H42" i="65"/>
  <c r="P42" i="65" s="1"/>
  <c r="G53" i="66"/>
  <c r="G53" i="65"/>
  <c r="O53" i="65" s="1"/>
  <c r="O161" i="66"/>
  <c r="G43" i="65"/>
  <c r="O43" i="65" s="1"/>
  <c r="G43" i="66"/>
  <c r="O43" i="66" s="1"/>
  <c r="H51" i="65"/>
  <c r="H51" i="66"/>
  <c r="H41" i="65"/>
  <c r="H41" i="66"/>
  <c r="I26" i="62"/>
  <c r="H27" i="62"/>
  <c r="I27" i="62"/>
  <c r="G26" i="62"/>
  <c r="H26" i="62"/>
  <c r="D204" i="66"/>
  <c r="G27" i="62"/>
  <c r="F27" i="62"/>
  <c r="E159" i="65"/>
  <c r="E27" i="62"/>
  <c r="F26" i="62"/>
  <c r="E26" i="62"/>
  <c r="D64" i="66"/>
  <c r="D12" i="66" s="1"/>
  <c r="L60" i="66"/>
  <c r="L64" i="66" s="1"/>
  <c r="L12" i="66" s="1"/>
  <c r="Q61" i="66"/>
  <c r="O61" i="66"/>
  <c r="P61" i="66"/>
  <c r="G51" i="61"/>
  <c r="H98" i="65"/>
  <c r="P98" i="65" s="1"/>
  <c r="H88" i="65"/>
  <c r="P88" i="65" s="1"/>
  <c r="H108" i="65"/>
  <c r="P108" i="65" s="1"/>
  <c r="F109" i="65"/>
  <c r="N109" i="65" s="1"/>
  <c r="F61" i="65"/>
  <c r="F49" i="61" s="1"/>
  <c r="F99" i="65"/>
  <c r="N99" i="65" s="1"/>
  <c r="F89" i="65"/>
  <c r="N89" i="65" s="1"/>
  <c r="G87" i="65"/>
  <c r="O87" i="65" s="1"/>
  <c r="G97" i="65"/>
  <c r="G107" i="65"/>
  <c r="E97" i="65"/>
  <c r="E107" i="65"/>
  <c r="E87" i="65"/>
  <c r="M87" i="65" s="1"/>
  <c r="F97" i="65"/>
  <c r="F107" i="65"/>
  <c r="F87" i="65"/>
  <c r="N87" i="65" s="1"/>
  <c r="I98" i="65"/>
  <c r="Q98" i="65" s="1"/>
  <c r="I88" i="65"/>
  <c r="Q88" i="65" s="1"/>
  <c r="I108" i="65"/>
  <c r="Q108" i="65" s="1"/>
  <c r="E51" i="61"/>
  <c r="F108" i="65"/>
  <c r="N108" i="65" s="1"/>
  <c r="F98" i="65"/>
  <c r="N98" i="65" s="1"/>
  <c r="E108" i="65"/>
  <c r="M108" i="65" s="1"/>
  <c r="E98" i="65"/>
  <c r="M98" i="65" s="1"/>
  <c r="E88" i="65"/>
  <c r="M88" i="65" s="1"/>
  <c r="G88" i="65"/>
  <c r="O88" i="65" s="1"/>
  <c r="G108" i="65"/>
  <c r="O108" i="65" s="1"/>
  <c r="G98" i="65"/>
  <c r="O98" i="65" s="1"/>
  <c r="E61" i="65"/>
  <c r="E49" i="61" s="1"/>
  <c r="E99" i="65"/>
  <c r="M99" i="65" s="1"/>
  <c r="E109" i="65"/>
  <c r="M109" i="65" s="1"/>
  <c r="E89" i="65"/>
  <c r="M89" i="65" s="1"/>
  <c r="H89" i="65"/>
  <c r="P89" i="65" s="1"/>
  <c r="H109" i="65"/>
  <c r="P109" i="65" s="1"/>
  <c r="H61" i="65"/>
  <c r="H49" i="61" s="1"/>
  <c r="H99" i="65"/>
  <c r="P99" i="65" s="1"/>
  <c r="D64" i="65"/>
  <c r="D12" i="65" s="1"/>
  <c r="I89" i="65"/>
  <c r="Q89" i="65" s="1"/>
  <c r="I109" i="65"/>
  <c r="Q109" i="65" s="1"/>
  <c r="I61" i="65"/>
  <c r="I99" i="65"/>
  <c r="Q99" i="65" s="1"/>
  <c r="D52" i="61"/>
  <c r="H87" i="65"/>
  <c r="P87" i="65" s="1"/>
  <c r="H107" i="65"/>
  <c r="H97" i="65"/>
  <c r="G61" i="65"/>
  <c r="G49" i="61" s="1"/>
  <c r="G109" i="65"/>
  <c r="O109" i="65" s="1"/>
  <c r="G89" i="65"/>
  <c r="O89" i="65" s="1"/>
  <c r="G99" i="65"/>
  <c r="O99" i="65" s="1"/>
  <c r="I107" i="65"/>
  <c r="I87" i="65"/>
  <c r="Q87" i="65" s="1"/>
  <c r="I97" i="65"/>
  <c r="F88" i="65"/>
  <c r="N88" i="65" s="1"/>
  <c r="F51" i="61"/>
  <c r="D22" i="65"/>
  <c r="D23" i="65"/>
  <c r="P181" i="65"/>
  <c r="P171" i="65"/>
  <c r="O181" i="65"/>
  <c r="O171" i="65"/>
  <c r="M181" i="65"/>
  <c r="M171" i="65"/>
  <c r="N171" i="65"/>
  <c r="N181" i="65"/>
  <c r="Q181" i="65"/>
  <c r="Q171" i="65"/>
  <c r="E160" i="65"/>
  <c r="M160" i="65" s="1"/>
  <c r="E33" i="65"/>
  <c r="M33" i="65" s="1"/>
  <c r="E33" i="66"/>
  <c r="M33" i="66" s="1"/>
  <c r="F25" i="62"/>
  <c r="F32" i="66"/>
  <c r="F32" i="65"/>
  <c r="F159" i="65"/>
  <c r="E9" i="61"/>
  <c r="E17" i="66"/>
  <c r="H19" i="66"/>
  <c r="H69" i="61"/>
  <c r="I25" i="62"/>
  <c r="I159" i="65"/>
  <c r="I32" i="65"/>
  <c r="I32" i="66"/>
  <c r="H9" i="61"/>
  <c r="I129" i="65"/>
  <c r="E70" i="61"/>
  <c r="G161" i="65"/>
  <c r="O161" i="65" s="1"/>
  <c r="G34" i="65"/>
  <c r="O34" i="65" s="1"/>
  <c r="G34" i="66"/>
  <c r="O34" i="66" s="1"/>
  <c r="N170" i="65"/>
  <c r="H34" i="65"/>
  <c r="P34" i="65" s="1"/>
  <c r="H161" i="65"/>
  <c r="P161" i="65" s="1"/>
  <c r="H34" i="66"/>
  <c r="P34" i="66" s="1"/>
  <c r="E136" i="65"/>
  <c r="M133" i="65"/>
  <c r="M136" i="65" s="1"/>
  <c r="M137" i="65" s="1"/>
  <c r="I17" i="66"/>
  <c r="G129" i="65"/>
  <c r="D20" i="66"/>
  <c r="P180" i="65"/>
  <c r="F34" i="66"/>
  <c r="N34" i="66" s="1"/>
  <c r="F161" i="65"/>
  <c r="N161" i="65" s="1"/>
  <c r="F34" i="65"/>
  <c r="N34" i="65" s="1"/>
  <c r="L41" i="66"/>
  <c r="E16" i="66"/>
  <c r="F150" i="65"/>
  <c r="N150" i="65" s="1"/>
  <c r="L97" i="65"/>
  <c r="F19" i="66"/>
  <c r="I160" i="65"/>
  <c r="Q160" i="65" s="1"/>
  <c r="I33" i="65"/>
  <c r="Q33" i="65" s="1"/>
  <c r="I33" i="66"/>
  <c r="Q33" i="66" s="1"/>
  <c r="I144" i="65"/>
  <c r="Q141" i="65"/>
  <c r="Q144" i="65" s="1"/>
  <c r="Q145" i="65" s="1"/>
  <c r="E150" i="65"/>
  <c r="M150" i="65" s="1"/>
  <c r="G32" i="65"/>
  <c r="G32" i="66"/>
  <c r="G25" i="62"/>
  <c r="G159" i="65"/>
  <c r="F9" i="61"/>
  <c r="H160" i="65"/>
  <c r="P160" i="65" s="1"/>
  <c r="H33" i="65"/>
  <c r="P33" i="65" s="1"/>
  <c r="H33" i="66"/>
  <c r="P33" i="66" s="1"/>
  <c r="E129" i="65"/>
  <c r="M180" i="65"/>
  <c r="I16" i="66"/>
  <c r="D152" i="65"/>
  <c r="L149" i="65"/>
  <c r="L152" i="65" s="1"/>
  <c r="H136" i="65"/>
  <c r="P133" i="65"/>
  <c r="P136" i="65" s="1"/>
  <c r="P137" i="65" s="1"/>
  <c r="H121" i="65"/>
  <c r="D69" i="61"/>
  <c r="F33" i="66"/>
  <c r="N33" i="66" s="1"/>
  <c r="F160" i="65"/>
  <c r="N160" i="65" s="1"/>
  <c r="F33" i="65"/>
  <c r="N33" i="65" s="1"/>
  <c r="G18" i="66"/>
  <c r="Q170" i="65"/>
  <c r="F69" i="61"/>
  <c r="H25" i="62"/>
  <c r="H32" i="65"/>
  <c r="H32" i="66"/>
  <c r="H159" i="65"/>
  <c r="G9" i="61"/>
  <c r="G149" i="65"/>
  <c r="O180" i="65"/>
  <c r="H129" i="65"/>
  <c r="L159" i="66"/>
  <c r="E25" i="62"/>
  <c r="E32" i="66"/>
  <c r="E32" i="65"/>
  <c r="D9" i="61"/>
  <c r="H149" i="65"/>
  <c r="D21" i="65"/>
  <c r="L159" i="65"/>
  <c r="E19" i="66"/>
  <c r="F149" i="65"/>
  <c r="F16" i="66"/>
  <c r="H18" i="66"/>
  <c r="G19" i="66"/>
  <c r="Q180" i="65"/>
  <c r="F70" i="61"/>
  <c r="N180" i="65"/>
  <c r="M170" i="65"/>
  <c r="G150" i="65"/>
  <c r="O150" i="65" s="1"/>
  <c r="G121" i="65"/>
  <c r="P170" i="65"/>
  <c r="L32" i="65"/>
  <c r="L35" i="65" s="1"/>
  <c r="D35" i="65"/>
  <c r="D204" i="65"/>
  <c r="D24" i="65" s="1"/>
  <c r="E18" i="66"/>
  <c r="L107" i="65"/>
  <c r="G17" i="66"/>
  <c r="F129" i="65"/>
  <c r="I19" i="66"/>
  <c r="E161" i="65"/>
  <c r="M161" i="65" s="1"/>
  <c r="E34" i="66"/>
  <c r="M34" i="66" s="1"/>
  <c r="E34" i="65"/>
  <c r="M34" i="65" s="1"/>
  <c r="I150" i="65"/>
  <c r="Q150" i="65" s="1"/>
  <c r="H144" i="65"/>
  <c r="P141" i="65"/>
  <c r="P144" i="65" s="1"/>
  <c r="P145" i="65" s="1"/>
  <c r="H150" i="65"/>
  <c r="P150" i="65" s="1"/>
  <c r="D70" i="61"/>
  <c r="H16" i="66"/>
  <c r="H70" i="61"/>
  <c r="F136" i="65"/>
  <c r="N133" i="65"/>
  <c r="N136" i="65" s="1"/>
  <c r="N137" i="65" s="1"/>
  <c r="F121" i="65"/>
  <c r="E121" i="65"/>
  <c r="I18" i="66"/>
  <c r="G144" i="65"/>
  <c r="O141" i="65"/>
  <c r="O144" i="65" s="1"/>
  <c r="O145" i="65" s="1"/>
  <c r="O170" i="65"/>
  <c r="F18" i="66"/>
  <c r="G69" i="61"/>
  <c r="G16" i="66"/>
  <c r="I34" i="66"/>
  <c r="Q34" i="66" s="1"/>
  <c r="I34" i="65"/>
  <c r="Q34" i="65" s="1"/>
  <c r="I161" i="65"/>
  <c r="Q161" i="65" s="1"/>
  <c r="I136" i="65"/>
  <c r="Q133" i="65"/>
  <c r="Q136" i="65" s="1"/>
  <c r="Q137" i="65" s="1"/>
  <c r="E69" i="61"/>
  <c r="N141" i="65"/>
  <c r="N144" i="65" s="1"/>
  <c r="N145" i="65" s="1"/>
  <c r="F144" i="65"/>
  <c r="E144" i="65"/>
  <c r="M141" i="65"/>
  <c r="M144" i="65" s="1"/>
  <c r="M145" i="65" s="1"/>
  <c r="I149" i="65"/>
  <c r="L32" i="66"/>
  <c r="L35" i="66" s="1"/>
  <c r="D35" i="66"/>
  <c r="F17" i="66"/>
  <c r="H17" i="66"/>
  <c r="G70" i="61"/>
  <c r="I121" i="65"/>
  <c r="E149" i="65"/>
  <c r="G160" i="65"/>
  <c r="O160" i="65" s="1"/>
  <c r="G33" i="65"/>
  <c r="O33" i="65" s="1"/>
  <c r="G33" i="66"/>
  <c r="O33" i="66" s="1"/>
  <c r="G136" i="65"/>
  <c r="O133" i="65"/>
  <c r="O136" i="65" s="1"/>
  <c r="O137" i="65" s="1"/>
  <c r="L45" i="66" l="1"/>
  <c r="L55" i="65"/>
  <c r="L11" i="65" s="1"/>
  <c r="G174" i="66"/>
  <c r="G175" i="66" s="1"/>
  <c r="F185" i="66"/>
  <c r="I185" i="66"/>
  <c r="I33" i="62"/>
  <c r="G184" i="66"/>
  <c r="G185" i="66" s="1"/>
  <c r="I174" i="66"/>
  <c r="I175" i="66" s="1"/>
  <c r="E33" i="62"/>
  <c r="D24" i="61" s="1"/>
  <c r="D27" i="61" s="1"/>
  <c r="F174" i="66"/>
  <c r="F175" i="66" s="1"/>
  <c r="H184" i="66"/>
  <c r="H185" i="66" s="1"/>
  <c r="E174" i="66"/>
  <c r="E175" i="66" s="1"/>
  <c r="E184" i="66"/>
  <c r="E185" i="66" s="1"/>
  <c r="D55" i="66"/>
  <c r="D11" i="66" s="1"/>
  <c r="G33" i="62"/>
  <c r="F24" i="61" s="1"/>
  <c r="F27" i="61" s="1"/>
  <c r="D163" i="66"/>
  <c r="D21" i="66" s="1"/>
  <c r="F33" i="62"/>
  <c r="F36" i="62" s="1"/>
  <c r="L45" i="65"/>
  <c r="L10" i="65" s="1"/>
  <c r="O158" i="66"/>
  <c r="O158" i="65"/>
  <c r="M158" i="66"/>
  <c r="M158" i="65"/>
  <c r="H40" i="66"/>
  <c r="P40" i="66" s="1"/>
  <c r="P40" i="65"/>
  <c r="N44" i="65"/>
  <c r="F44" i="66"/>
  <c r="N44" i="66" s="1"/>
  <c r="I40" i="66"/>
  <c r="Q40" i="66" s="1"/>
  <c r="Q40" i="65"/>
  <c r="H24" i="61"/>
  <c r="H27" i="61" s="1"/>
  <c r="I36" i="62"/>
  <c r="E40" i="66"/>
  <c r="M40" i="66" s="1"/>
  <c r="M40" i="65"/>
  <c r="E32" i="62"/>
  <c r="E35" i="62" s="1"/>
  <c r="F40" i="66"/>
  <c r="N40" i="66" s="1"/>
  <c r="N40" i="65"/>
  <c r="P158" i="66"/>
  <c r="P158" i="65"/>
  <c r="Q44" i="65"/>
  <c r="I44" i="66"/>
  <c r="Q44" i="66" s="1"/>
  <c r="F54" i="66"/>
  <c r="N54" i="65"/>
  <c r="G44" i="66"/>
  <c r="O44" i="66" s="1"/>
  <c r="O44" i="65"/>
  <c r="M44" i="65"/>
  <c r="E44" i="66"/>
  <c r="M44" i="66" s="1"/>
  <c r="I50" i="66"/>
  <c r="Q50" i="65"/>
  <c r="I163" i="65"/>
  <c r="I32" i="62"/>
  <c r="I35" i="62" s="1"/>
  <c r="N162" i="66"/>
  <c r="N162" i="65"/>
  <c r="G40" i="66"/>
  <c r="O40" i="66" s="1"/>
  <c r="O40" i="65"/>
  <c r="F163" i="65"/>
  <c r="F32" i="62"/>
  <c r="F35" i="62" s="1"/>
  <c r="H50" i="66"/>
  <c r="P50" i="65"/>
  <c r="Q162" i="66"/>
  <c r="Q162" i="65"/>
  <c r="P44" i="65"/>
  <c r="H44" i="66"/>
  <c r="P44" i="66" s="1"/>
  <c r="O162" i="66"/>
  <c r="O162" i="65"/>
  <c r="M54" i="65"/>
  <c r="E54" i="66"/>
  <c r="H33" i="62"/>
  <c r="E50" i="66"/>
  <c r="M50" i="65"/>
  <c r="F50" i="66"/>
  <c r="N50" i="65"/>
  <c r="Q54" i="65"/>
  <c r="I54" i="66"/>
  <c r="O54" i="65"/>
  <c r="G54" i="66"/>
  <c r="M162" i="66"/>
  <c r="M162" i="65"/>
  <c r="G32" i="62"/>
  <c r="P162" i="66"/>
  <c r="P162" i="65"/>
  <c r="H32" i="62"/>
  <c r="P54" i="65"/>
  <c r="H54" i="66"/>
  <c r="G50" i="66"/>
  <c r="O50" i="65"/>
  <c r="E163" i="65"/>
  <c r="M174" i="65"/>
  <c r="M22" i="65" s="1"/>
  <c r="H163" i="65"/>
  <c r="G163" i="65"/>
  <c r="F45" i="66"/>
  <c r="F46" i="66" s="1"/>
  <c r="I80" i="66"/>
  <c r="I81" i="66" s="1"/>
  <c r="Q60" i="66"/>
  <c r="Q64" i="66" s="1"/>
  <c r="Q65" i="66" s="1"/>
  <c r="O174" i="65"/>
  <c r="O175" i="65" s="1"/>
  <c r="N174" i="65"/>
  <c r="N175" i="65" s="1"/>
  <c r="N184" i="65"/>
  <c r="N23" i="65" s="1"/>
  <c r="P184" i="65"/>
  <c r="P23" i="65" s="1"/>
  <c r="Q184" i="65"/>
  <c r="Q23" i="65" s="1"/>
  <c r="D91" i="66"/>
  <c r="D13" i="66" s="1"/>
  <c r="O184" i="65"/>
  <c r="O23" i="65" s="1"/>
  <c r="M184" i="65"/>
  <c r="M185" i="65" s="1"/>
  <c r="P90" i="65"/>
  <c r="Q106" i="65"/>
  <c r="I111" i="65"/>
  <c r="M106" i="65"/>
  <c r="E111" i="65"/>
  <c r="I91" i="65"/>
  <c r="Q86" i="65"/>
  <c r="P100" i="65"/>
  <c r="N100" i="65"/>
  <c r="I101" i="65"/>
  <c r="Q96" i="65"/>
  <c r="Q110" i="65"/>
  <c r="E80" i="66"/>
  <c r="E81" i="66" s="1"/>
  <c r="L101" i="65"/>
  <c r="L14" i="65" s="1"/>
  <c r="O86" i="65"/>
  <c r="G91" i="65"/>
  <c r="Q174" i="65"/>
  <c r="Q175" i="65" s="1"/>
  <c r="D101" i="66"/>
  <c r="D14" i="66" s="1"/>
  <c r="O106" i="65"/>
  <c r="G111" i="65"/>
  <c r="P110" i="65"/>
  <c r="N90" i="65"/>
  <c r="N86" i="65"/>
  <c r="F91" i="65"/>
  <c r="Q90" i="65"/>
  <c r="M100" i="65"/>
  <c r="P174" i="65"/>
  <c r="P22" i="65" s="1"/>
  <c r="P86" i="65"/>
  <c r="H91" i="65"/>
  <c r="G101" i="65"/>
  <c r="O96" i="65"/>
  <c r="L91" i="65"/>
  <c r="L13" i="65" s="1"/>
  <c r="O110" i="65"/>
  <c r="N110" i="65"/>
  <c r="F101" i="65"/>
  <c r="N96" i="65"/>
  <c r="Q100" i="65"/>
  <c r="M90" i="65"/>
  <c r="L163" i="65"/>
  <c r="L21" i="65" s="1"/>
  <c r="E101" i="65"/>
  <c r="M96" i="65"/>
  <c r="H101" i="65"/>
  <c r="P96" i="65"/>
  <c r="G80" i="66"/>
  <c r="G81" i="66" s="1"/>
  <c r="O100" i="65"/>
  <c r="N106" i="65"/>
  <c r="F111" i="65"/>
  <c r="M110" i="65"/>
  <c r="D111" i="66"/>
  <c r="D15" i="66" s="1"/>
  <c r="P106" i="65"/>
  <c r="H111" i="65"/>
  <c r="L163" i="66"/>
  <c r="L21" i="66" s="1"/>
  <c r="H80" i="66"/>
  <c r="H81" i="66" s="1"/>
  <c r="O90" i="65"/>
  <c r="F80" i="66"/>
  <c r="F81" i="66" s="1"/>
  <c r="M86" i="65"/>
  <c r="E91" i="65"/>
  <c r="L111" i="65"/>
  <c r="L15" i="65" s="1"/>
  <c r="I45" i="65"/>
  <c r="F45" i="65"/>
  <c r="P51" i="65"/>
  <c r="H55" i="65"/>
  <c r="H11" i="65" s="1"/>
  <c r="G45" i="65"/>
  <c r="M51" i="65"/>
  <c r="E55" i="65"/>
  <c r="E11" i="65" s="1"/>
  <c r="N51" i="65"/>
  <c r="F55" i="65"/>
  <c r="F11" i="65" s="1"/>
  <c r="Q51" i="65"/>
  <c r="I55" i="65"/>
  <c r="I11" i="65" s="1"/>
  <c r="H45" i="65"/>
  <c r="M42" i="65"/>
  <c r="E45" i="65"/>
  <c r="O51" i="65"/>
  <c r="G55" i="65"/>
  <c r="G11" i="65" s="1"/>
  <c r="Q204" i="65"/>
  <c r="Q205" i="65" s="1"/>
  <c r="Q204" i="66"/>
  <c r="Q205" i="66" s="1"/>
  <c r="O204" i="66"/>
  <c r="N204" i="66"/>
  <c r="M204" i="66"/>
  <c r="P204" i="66"/>
  <c r="L10" i="66"/>
  <c r="D10" i="66"/>
  <c r="D10" i="65"/>
  <c r="L24" i="65"/>
  <c r="E204" i="66"/>
  <c r="E205" i="66" s="1"/>
  <c r="D24" i="66"/>
  <c r="G204" i="66"/>
  <c r="G205" i="66" s="1"/>
  <c r="I204" i="66"/>
  <c r="I205" i="66" s="1"/>
  <c r="F204" i="66"/>
  <c r="F205" i="66" s="1"/>
  <c r="H204" i="66"/>
  <c r="H205" i="66" s="1"/>
  <c r="H64" i="66"/>
  <c r="H65" i="66" s="1"/>
  <c r="F64" i="66"/>
  <c r="F65" i="66" s="1"/>
  <c r="G64" i="66"/>
  <c r="G65" i="66" s="1"/>
  <c r="E64" i="66"/>
  <c r="E65" i="66" s="1"/>
  <c r="H64" i="65"/>
  <c r="H12" i="65" s="1"/>
  <c r="E64" i="65"/>
  <c r="I64" i="65"/>
  <c r="I65" i="65" s="1"/>
  <c r="H57" i="61" s="1"/>
  <c r="F64" i="65"/>
  <c r="F65" i="65" s="1"/>
  <c r="E57" i="61" s="1"/>
  <c r="G64" i="65"/>
  <c r="G12" i="65" s="1"/>
  <c r="I23" i="66"/>
  <c r="G185" i="65"/>
  <c r="F80" i="61" s="1"/>
  <c r="I175" i="65"/>
  <c r="H79" i="61" s="1"/>
  <c r="H22" i="65"/>
  <c r="D82" i="61"/>
  <c r="E22" i="65"/>
  <c r="D81" i="61"/>
  <c r="H82" i="61"/>
  <c r="G23" i="66"/>
  <c r="H185" i="65"/>
  <c r="G80" i="61" s="1"/>
  <c r="F23" i="65"/>
  <c r="E23" i="65"/>
  <c r="G22" i="66"/>
  <c r="F22" i="65"/>
  <c r="G82" i="61"/>
  <c r="F82" i="61"/>
  <c r="I23" i="65"/>
  <c r="E81" i="61"/>
  <c r="H81" i="61"/>
  <c r="F20" i="66"/>
  <c r="F71" i="61"/>
  <c r="F23" i="66"/>
  <c r="M64" i="66"/>
  <c r="H145" i="65"/>
  <c r="F52" i="61"/>
  <c r="G71" i="61"/>
  <c r="P41" i="66"/>
  <c r="N97" i="65"/>
  <c r="N204" i="65"/>
  <c r="F204" i="65"/>
  <c r="O64" i="66"/>
  <c r="D71" i="61"/>
  <c r="H152" i="65"/>
  <c r="P149" i="65"/>
  <c r="P152" i="65" s="1"/>
  <c r="P153" i="65" s="1"/>
  <c r="P107" i="65"/>
  <c r="M159" i="65"/>
  <c r="G152" i="65"/>
  <c r="O149" i="65"/>
  <c r="O152" i="65" s="1"/>
  <c r="O153" i="65" s="1"/>
  <c r="P41" i="65"/>
  <c r="N107" i="65"/>
  <c r="E72" i="61"/>
  <c r="D72" i="61"/>
  <c r="I145" i="65"/>
  <c r="Q32" i="66"/>
  <c r="Q35" i="66" s="1"/>
  <c r="I35" i="66"/>
  <c r="H52" i="61"/>
  <c r="N159" i="65"/>
  <c r="N41" i="65"/>
  <c r="H71" i="61"/>
  <c r="I137" i="65"/>
  <c r="F137" i="65"/>
  <c r="M159" i="66"/>
  <c r="P159" i="65"/>
  <c r="H137" i="65"/>
  <c r="O204" i="65"/>
  <c r="G204" i="65"/>
  <c r="G35" i="65"/>
  <c r="O32" i="65"/>
  <c r="O35" i="65" s="1"/>
  <c r="Q159" i="66"/>
  <c r="Q159" i="65"/>
  <c r="G52" i="61"/>
  <c r="F35" i="65"/>
  <c r="N32" i="65"/>
  <c r="N35" i="65" s="1"/>
  <c r="P97" i="65"/>
  <c r="I35" i="65"/>
  <c r="Q32" i="65"/>
  <c r="Q35" i="65" s="1"/>
  <c r="E152" i="65"/>
  <c r="M149" i="65"/>
  <c r="M152" i="65" s="1"/>
  <c r="M153" i="65" s="1"/>
  <c r="I152" i="65"/>
  <c r="Q149" i="65"/>
  <c r="Q152" i="65" s="1"/>
  <c r="Q153" i="65" s="1"/>
  <c r="E145" i="65"/>
  <c r="F145" i="65"/>
  <c r="G175" i="65"/>
  <c r="F79" i="61" s="1"/>
  <c r="G22" i="65"/>
  <c r="M97" i="65"/>
  <c r="P32" i="66"/>
  <c r="P35" i="66" s="1"/>
  <c r="H35" i="66"/>
  <c r="O41" i="65"/>
  <c r="E137" i="65"/>
  <c r="I204" i="65"/>
  <c r="N159" i="66"/>
  <c r="G35" i="66"/>
  <c r="O32" i="66"/>
  <c r="O35" i="66" s="1"/>
  <c r="H72" i="61"/>
  <c r="G72" i="61"/>
  <c r="M107" i="65"/>
  <c r="E35" i="65"/>
  <c r="M32" i="65"/>
  <c r="M35" i="65" s="1"/>
  <c r="M36" i="65" s="1"/>
  <c r="M41" i="66"/>
  <c r="H204" i="65"/>
  <c r="P204" i="65"/>
  <c r="E52" i="61"/>
  <c r="O41" i="66"/>
  <c r="Q107" i="65"/>
  <c r="Q41" i="66"/>
  <c r="N32" i="66"/>
  <c r="N35" i="66" s="1"/>
  <c r="F35" i="66"/>
  <c r="M41" i="65"/>
  <c r="G137" i="65"/>
  <c r="H22" i="66"/>
  <c r="P64" i="66"/>
  <c r="G145" i="65"/>
  <c r="F72" i="61"/>
  <c r="E35" i="66"/>
  <c r="M32" i="66"/>
  <c r="M35" i="66" s="1"/>
  <c r="O107" i="65"/>
  <c r="P159" i="66"/>
  <c r="O159" i="66"/>
  <c r="Q41" i="65"/>
  <c r="N64" i="66"/>
  <c r="F152" i="65"/>
  <c r="N149" i="65"/>
  <c r="N152" i="65" s="1"/>
  <c r="N153" i="65" s="1"/>
  <c r="E204" i="65"/>
  <c r="O97" i="65"/>
  <c r="H35" i="65"/>
  <c r="P32" i="65"/>
  <c r="P35" i="65" s="1"/>
  <c r="O159" i="65"/>
  <c r="E71" i="61"/>
  <c r="Q97" i="65"/>
  <c r="N41" i="66"/>
  <c r="I22" i="66" l="1"/>
  <c r="G36" i="62"/>
  <c r="N45" i="66"/>
  <c r="F55" i="66"/>
  <c r="E36" i="62"/>
  <c r="H23" i="66"/>
  <c r="F22" i="66"/>
  <c r="E22" i="66"/>
  <c r="H55" i="66"/>
  <c r="H11" i="66" s="1"/>
  <c r="P163" i="66"/>
  <c r="P21" i="66" s="1"/>
  <c r="E24" i="61"/>
  <c r="E27" i="61" s="1"/>
  <c r="O163" i="66"/>
  <c r="M163" i="66"/>
  <c r="M21" i="66" s="1"/>
  <c r="O163" i="65"/>
  <c r="O21" i="65" s="1"/>
  <c r="P55" i="65"/>
  <c r="P56" i="65" s="1"/>
  <c r="I55" i="66"/>
  <c r="I56" i="66" s="1"/>
  <c r="M45" i="66"/>
  <c r="M10" i="66" s="1"/>
  <c r="G45" i="66"/>
  <c r="G46" i="66" s="1"/>
  <c r="O45" i="66"/>
  <c r="O10" i="66" s="1"/>
  <c r="P45" i="66"/>
  <c r="Q55" i="65"/>
  <c r="Q11" i="65" s="1"/>
  <c r="E45" i="66"/>
  <c r="E46" i="66" s="1"/>
  <c r="H45" i="66"/>
  <c r="H46" i="66" s="1"/>
  <c r="E55" i="66"/>
  <c r="E11" i="66" s="1"/>
  <c r="N55" i="65"/>
  <c r="N11" i="65" s="1"/>
  <c r="E163" i="66"/>
  <c r="E164" i="66" s="1"/>
  <c r="G55" i="66"/>
  <c r="G11" i="66" s="1"/>
  <c r="M163" i="65"/>
  <c r="M21" i="65" s="1"/>
  <c r="O55" i="65"/>
  <c r="O56" i="65" s="1"/>
  <c r="P163" i="65"/>
  <c r="P21" i="65" s="1"/>
  <c r="H163" i="66"/>
  <c r="H164" i="66" s="1"/>
  <c r="G163" i="66"/>
  <c r="G164" i="66" s="1"/>
  <c r="I45" i="66"/>
  <c r="I46" i="66" s="1"/>
  <c r="N158" i="65"/>
  <c r="N163" i="65" s="1"/>
  <c r="Q158" i="65"/>
  <c r="Q163" i="65" s="1"/>
  <c r="H36" i="62"/>
  <c r="G24" i="61"/>
  <c r="G27" i="61" s="1"/>
  <c r="I64" i="66"/>
  <c r="I65" i="66" s="1"/>
  <c r="N91" i="65"/>
  <c r="N92" i="65" s="1"/>
  <c r="H91" i="66"/>
  <c r="H92" i="66" s="1"/>
  <c r="E101" i="66"/>
  <c r="E102" i="66" s="1"/>
  <c r="M91" i="65"/>
  <c r="M13" i="65" s="1"/>
  <c r="G101" i="66"/>
  <c r="G14" i="66" s="1"/>
  <c r="I111" i="66"/>
  <c r="I112" i="66" s="1"/>
  <c r="P91" i="65"/>
  <c r="P92" i="65" s="1"/>
  <c r="G111" i="66"/>
  <c r="G112" i="66" s="1"/>
  <c r="E91" i="66"/>
  <c r="E92" i="66" s="1"/>
  <c r="I101" i="66"/>
  <c r="I102" i="66" s="1"/>
  <c r="H101" i="66"/>
  <c r="H102" i="66" s="1"/>
  <c r="M101" i="65"/>
  <c r="M14" i="65" s="1"/>
  <c r="O91" i="65"/>
  <c r="O13" i="65" s="1"/>
  <c r="N101" i="65"/>
  <c r="N14" i="65" s="1"/>
  <c r="G91" i="66"/>
  <c r="G92" i="66" s="1"/>
  <c r="F101" i="66"/>
  <c r="F102" i="66" s="1"/>
  <c r="E111" i="66"/>
  <c r="E112" i="66" s="1"/>
  <c r="M55" i="65"/>
  <c r="M56" i="65" s="1"/>
  <c r="H111" i="66"/>
  <c r="H112" i="66" s="1"/>
  <c r="F111" i="66"/>
  <c r="F112" i="66" s="1"/>
  <c r="O111" i="65"/>
  <c r="O112" i="65" s="1"/>
  <c r="P101" i="65"/>
  <c r="P14" i="65" s="1"/>
  <c r="M111" i="65"/>
  <c r="M112" i="65" s="1"/>
  <c r="N111" i="65"/>
  <c r="N112" i="65" s="1"/>
  <c r="Q91" i="65"/>
  <c r="Q92" i="65" s="1"/>
  <c r="Q111" i="65"/>
  <c r="Q112" i="65" s="1"/>
  <c r="P111" i="65"/>
  <c r="P112" i="65" s="1"/>
  <c r="Q101" i="65"/>
  <c r="Q14" i="65" s="1"/>
  <c r="L25" i="66"/>
  <c r="C34" i="61" s="1"/>
  <c r="C40" i="61" s="1"/>
  <c r="Q45" i="66"/>
  <c r="Q46" i="66" s="1"/>
  <c r="O101" i="65"/>
  <c r="O102" i="65" s="1"/>
  <c r="F91" i="66"/>
  <c r="F92" i="66" s="1"/>
  <c r="I91" i="66"/>
  <c r="I92" i="66" s="1"/>
  <c r="N45" i="65"/>
  <c r="N46" i="65" s="1"/>
  <c r="P45" i="65"/>
  <c r="P46" i="65" s="1"/>
  <c r="Q45" i="65"/>
  <c r="Q46" i="65" s="1"/>
  <c r="M45" i="65"/>
  <c r="M10" i="65" s="1"/>
  <c r="O45" i="65"/>
  <c r="O46" i="65" s="1"/>
  <c r="F56" i="65"/>
  <c r="E61" i="61" s="1"/>
  <c r="H56" i="65"/>
  <c r="G61" i="61" s="1"/>
  <c r="G56" i="65"/>
  <c r="F61" i="61" s="1"/>
  <c r="I56" i="65"/>
  <c r="H61" i="61" s="1"/>
  <c r="F11" i="66"/>
  <c r="F56" i="66"/>
  <c r="G56" i="66"/>
  <c r="E56" i="65"/>
  <c r="D61" i="61" s="1"/>
  <c r="L25" i="65"/>
  <c r="M204" i="65"/>
  <c r="M205" i="65" s="1"/>
  <c r="O22" i="65"/>
  <c r="P175" i="65"/>
  <c r="I22" i="65"/>
  <c r="E23" i="66"/>
  <c r="N185" i="65"/>
  <c r="G23" i="65"/>
  <c r="O185" i="65"/>
  <c r="Q22" i="65"/>
  <c r="G81" i="61"/>
  <c r="M23" i="65"/>
  <c r="E82" i="61"/>
  <c r="Q185" i="65"/>
  <c r="H23" i="65"/>
  <c r="P36" i="65"/>
  <c r="E175" i="65"/>
  <c r="D79" i="61" s="1"/>
  <c r="N36" i="65"/>
  <c r="H175" i="65"/>
  <c r="G79" i="61" s="1"/>
  <c r="Q36" i="65"/>
  <c r="O36" i="65"/>
  <c r="M175" i="65"/>
  <c r="F185" i="65"/>
  <c r="E80" i="61" s="1"/>
  <c r="N22" i="65"/>
  <c r="E185" i="65"/>
  <c r="D80" i="61" s="1"/>
  <c r="P185" i="65"/>
  <c r="F175" i="65"/>
  <c r="E79" i="61" s="1"/>
  <c r="I185" i="65"/>
  <c r="H80" i="61" s="1"/>
  <c r="F81" i="61"/>
  <c r="H65" i="65"/>
  <c r="G57" i="61" s="1"/>
  <c r="F12" i="65"/>
  <c r="G65" i="65"/>
  <c r="F57" i="61" s="1"/>
  <c r="F12" i="66"/>
  <c r="M24" i="66"/>
  <c r="M205" i="66"/>
  <c r="I112" i="65"/>
  <c r="H66" i="61" s="1"/>
  <c r="I15" i="65"/>
  <c r="G36" i="66"/>
  <c r="F73" i="61"/>
  <c r="I164" i="65"/>
  <c r="H76" i="61" s="1"/>
  <c r="I21" i="65"/>
  <c r="F14" i="65"/>
  <c r="F102" i="65"/>
  <c r="E65" i="61" s="1"/>
  <c r="G92" i="65"/>
  <c r="F64" i="61" s="1"/>
  <c r="G13" i="65"/>
  <c r="M36" i="66"/>
  <c r="E205" i="65"/>
  <c r="D85" i="61" s="1"/>
  <c r="E24" i="65"/>
  <c r="F153" i="65"/>
  <c r="N65" i="66"/>
  <c r="N12" i="66"/>
  <c r="E24" i="66"/>
  <c r="E46" i="65"/>
  <c r="D56" i="61" s="1"/>
  <c r="E10" i="65"/>
  <c r="P24" i="65"/>
  <c r="P205" i="65"/>
  <c r="I24" i="66"/>
  <c r="F15" i="65"/>
  <c r="F112" i="65"/>
  <c r="E66" i="61" s="1"/>
  <c r="P10" i="66"/>
  <c r="P46" i="66"/>
  <c r="G73" i="61"/>
  <c r="D73" i="61"/>
  <c r="G14" i="65"/>
  <c r="G102" i="65"/>
  <c r="F65" i="61" s="1"/>
  <c r="E36" i="66"/>
  <c r="H12" i="66"/>
  <c r="F24" i="66"/>
  <c r="G23" i="61"/>
  <c r="H35" i="62"/>
  <c r="I36" i="65"/>
  <c r="H55" i="61" s="1"/>
  <c r="H21" i="65"/>
  <c r="H164" i="65"/>
  <c r="G76" i="61" s="1"/>
  <c r="Q36" i="66"/>
  <c r="P205" i="66"/>
  <c r="P24" i="66"/>
  <c r="E102" i="65"/>
  <c r="D65" i="61" s="1"/>
  <c r="E14" i="65"/>
  <c r="E23" i="61"/>
  <c r="G153" i="65"/>
  <c r="I13" i="65"/>
  <c r="I92" i="65"/>
  <c r="H64" i="61" s="1"/>
  <c r="P12" i="66"/>
  <c r="P65" i="66"/>
  <c r="H73" i="61"/>
  <c r="F46" i="65"/>
  <c r="E56" i="61" s="1"/>
  <c r="F10" i="65"/>
  <c r="H24" i="66"/>
  <c r="E164" i="65"/>
  <c r="D76" i="61" s="1"/>
  <c r="E21" i="65"/>
  <c r="H153" i="65"/>
  <c r="G12" i="66"/>
  <c r="F24" i="65"/>
  <c r="F205" i="65"/>
  <c r="E85" i="61" s="1"/>
  <c r="I20" i="66"/>
  <c r="M65" i="66"/>
  <c r="M12" i="66"/>
  <c r="Q24" i="66"/>
  <c r="I36" i="66"/>
  <c r="H36" i="66"/>
  <c r="F10" i="66"/>
  <c r="G15" i="65"/>
  <c r="G112" i="65"/>
  <c r="F66" i="61" s="1"/>
  <c r="E13" i="65"/>
  <c r="E92" i="65"/>
  <c r="D64" i="61" s="1"/>
  <c r="F36" i="66"/>
  <c r="O46" i="66"/>
  <c r="H20" i="66"/>
  <c r="I24" i="65"/>
  <c r="I205" i="65"/>
  <c r="H85" i="61" s="1"/>
  <c r="O24" i="66"/>
  <c r="O205" i="66"/>
  <c r="P36" i="66"/>
  <c r="G36" i="65"/>
  <c r="F55" i="61" s="1"/>
  <c r="M164" i="66"/>
  <c r="O65" i="66"/>
  <c r="O12" i="66"/>
  <c r="N24" i="65"/>
  <c r="N205" i="65"/>
  <c r="H13" i="65"/>
  <c r="H92" i="65"/>
  <c r="G64" i="61" s="1"/>
  <c r="E12" i="66"/>
  <c r="N24" i="66"/>
  <c r="N205" i="66"/>
  <c r="D23" i="61"/>
  <c r="F36" i="65"/>
  <c r="E55" i="61" s="1"/>
  <c r="N10" i="66"/>
  <c r="N46" i="66"/>
  <c r="I10" i="65"/>
  <c r="I46" i="65"/>
  <c r="H56" i="61" s="1"/>
  <c r="O21" i="66"/>
  <c r="O164" i="66"/>
  <c r="N36" i="66"/>
  <c r="E112" i="65"/>
  <c r="D66" i="61" s="1"/>
  <c r="E15" i="65"/>
  <c r="Q24" i="65"/>
  <c r="G24" i="66"/>
  <c r="G20" i="66"/>
  <c r="I153" i="65"/>
  <c r="Q12" i="66"/>
  <c r="H14" i="65"/>
  <c r="H102" i="65"/>
  <c r="G65" i="61" s="1"/>
  <c r="G24" i="65"/>
  <c r="G205" i="65"/>
  <c r="F85" i="61" s="1"/>
  <c r="E73" i="61"/>
  <c r="F164" i="65"/>
  <c r="E76" i="61" s="1"/>
  <c r="F21" i="65"/>
  <c r="G35" i="62"/>
  <c r="F23" i="61"/>
  <c r="H46" i="65"/>
  <c r="G56" i="61" s="1"/>
  <c r="H10" i="65"/>
  <c r="H15" i="65"/>
  <c r="H112" i="65"/>
  <c r="G66" i="61" s="1"/>
  <c r="E65" i="65"/>
  <c r="D57" i="61" s="1"/>
  <c r="E12" i="65"/>
  <c r="G164" i="65"/>
  <c r="F76" i="61" s="1"/>
  <c r="G21" i="65"/>
  <c r="H205" i="65"/>
  <c r="G85" i="61" s="1"/>
  <c r="H24" i="65"/>
  <c r="H36" i="65"/>
  <c r="G55" i="61" s="1"/>
  <c r="E36" i="65"/>
  <c r="D55" i="61" s="1"/>
  <c r="H23" i="61"/>
  <c r="E153" i="65"/>
  <c r="I102" i="65"/>
  <c r="H65" i="61" s="1"/>
  <c r="I14" i="65"/>
  <c r="F13" i="65"/>
  <c r="F92" i="65"/>
  <c r="E64" i="61" s="1"/>
  <c r="I12" i="65"/>
  <c r="O36" i="66"/>
  <c r="G10" i="65"/>
  <c r="G46" i="65"/>
  <c r="F56" i="61" s="1"/>
  <c r="O24" i="65"/>
  <c r="O205" i="65"/>
  <c r="E20" i="66"/>
  <c r="Q15" i="65" l="1"/>
  <c r="P164" i="66"/>
  <c r="M46" i="66"/>
  <c r="H56" i="66"/>
  <c r="O164" i="65"/>
  <c r="E10" i="66"/>
  <c r="H10" i="66"/>
  <c r="H21" i="66"/>
  <c r="O11" i="65"/>
  <c r="Q56" i="65"/>
  <c r="P11" i="65"/>
  <c r="P164" i="65"/>
  <c r="I10" i="66"/>
  <c r="H14" i="66"/>
  <c r="E21" i="66"/>
  <c r="I11" i="66"/>
  <c r="G10" i="66"/>
  <c r="H13" i="66"/>
  <c r="N56" i="65"/>
  <c r="M164" i="65"/>
  <c r="Q10" i="65"/>
  <c r="E56" i="66"/>
  <c r="G21" i="66"/>
  <c r="N21" i="65"/>
  <c r="N164" i="65"/>
  <c r="Q21" i="65"/>
  <c r="Q164" i="65"/>
  <c r="Q158" i="66"/>
  <c r="Q163" i="66" s="1"/>
  <c r="I163" i="66"/>
  <c r="N158" i="66"/>
  <c r="N163" i="66" s="1"/>
  <c r="F163" i="66"/>
  <c r="G26" i="61"/>
  <c r="E26" i="61"/>
  <c r="F13" i="66"/>
  <c r="M92" i="65"/>
  <c r="I12" i="66"/>
  <c r="G15" i="66"/>
  <c r="E14" i="66"/>
  <c r="P13" i="65"/>
  <c r="E13" i="66"/>
  <c r="N13" i="65"/>
  <c r="I15" i="66"/>
  <c r="G102" i="66"/>
  <c r="O92" i="65"/>
  <c r="I13" i="66"/>
  <c r="H15" i="66"/>
  <c r="M102" i="65"/>
  <c r="M15" i="65"/>
  <c r="N102" i="65"/>
  <c r="P102" i="65"/>
  <c r="Q10" i="66"/>
  <c r="N15" i="65"/>
  <c r="I14" i="66"/>
  <c r="F14" i="66"/>
  <c r="G13" i="66"/>
  <c r="Q102" i="65"/>
  <c r="F15" i="66"/>
  <c r="P15" i="65"/>
  <c r="M11" i="65"/>
  <c r="O14" i="65"/>
  <c r="N10" i="65"/>
  <c r="E15" i="66"/>
  <c r="O15" i="65"/>
  <c r="P10" i="65"/>
  <c r="O10" i="65"/>
  <c r="M46" i="65"/>
  <c r="M24" i="65"/>
  <c r="Q13" i="65"/>
  <c r="O25" i="66"/>
  <c r="F34" i="61" s="1"/>
  <c r="F40" i="61" s="1"/>
  <c r="H26" i="61"/>
  <c r="H25" i="61"/>
  <c r="D25" i="61"/>
  <c r="D26" i="61"/>
  <c r="F26" i="61"/>
  <c r="F25" i="61"/>
  <c r="P25" i="66"/>
  <c r="G34" i="61" s="1"/>
  <c r="G40" i="61" s="1"/>
  <c r="G25" i="61"/>
  <c r="E25" i="61"/>
  <c r="M25" i="66"/>
  <c r="D34" i="61" s="1"/>
  <c r="D40" i="61" s="1"/>
  <c r="Q25" i="65" l="1"/>
  <c r="I164" i="66"/>
  <c r="I21" i="66"/>
  <c r="Q164" i="66"/>
  <c r="Q21" i="66"/>
  <c r="Q25" i="66" s="1"/>
  <c r="H34" i="61" s="1"/>
  <c r="H40" i="61" s="1"/>
  <c r="F164" i="66"/>
  <c r="F21" i="66"/>
  <c r="N21" i="66"/>
  <c r="N25" i="66" s="1"/>
  <c r="E34" i="61" s="1"/>
  <c r="E40" i="61" s="1"/>
  <c r="E41" i="61" s="1"/>
  <c r="N164" i="66"/>
  <c r="N25" i="65"/>
  <c r="O25" i="65"/>
  <c r="P25" i="65"/>
  <c r="M25" i="65"/>
  <c r="F41" i="61"/>
  <c r="G35" i="61"/>
  <c r="H41" i="61" l="1"/>
  <c r="H35" i="61"/>
  <c r="E35" i="61"/>
  <c r="E42" i="61"/>
  <c r="F35" i="61"/>
  <c r="F36" i="61"/>
  <c r="F42" i="61"/>
  <c r="D42" i="61"/>
  <c r="D36" i="61"/>
  <c r="D35" i="61"/>
  <c r="E36" i="61"/>
  <c r="D41" i="61"/>
  <c r="G36" i="61"/>
  <c r="G42" i="61"/>
  <c r="H36" i="61"/>
  <c r="H42" i="61" l="1"/>
  <c r="G41"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FCC5466D-22BF-43AD-A38F-1B298939CD19}">
      <text>
        <r>
          <rPr>
            <b/>
            <sz val="9"/>
            <color indexed="81"/>
            <rFont val="Tahoma"/>
            <family val="2"/>
          </rPr>
          <t>Author:</t>
        </r>
        <r>
          <rPr>
            <sz val="9"/>
            <color indexed="81"/>
            <rFont val="Tahoma"/>
            <family val="2"/>
          </rPr>
          <t xml:space="preserve">
0,1 and 2 years completed as a consultant
</t>
        </r>
      </text>
    </comment>
    <comment ref="B46" authorId="0" shapeId="0" xr:uid="{8667F20D-59C1-4513-BAD5-4B9B182A580D}">
      <text>
        <r>
          <rPr>
            <b/>
            <sz val="9"/>
            <color indexed="81"/>
            <rFont val="Tahoma"/>
            <family val="2"/>
          </rPr>
          <t>Author:</t>
        </r>
        <r>
          <rPr>
            <sz val="9"/>
            <color indexed="81"/>
            <rFont val="Tahoma"/>
            <family val="2"/>
          </rPr>
          <t xml:space="preserve">
4 to 13 years completed as a consultant (average pay)
</t>
        </r>
      </text>
    </comment>
    <comment ref="B47" authorId="0" shapeId="0" xr:uid="{357513B5-0C51-4777-BBDC-3ADA34428A2F}">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<sst xmlns="http://schemas.openxmlformats.org/spreadsheetml/2006/main" count="2888" uniqueCount="1201">
  <si>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</si>
  <si>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</si>
  <si>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</si>
  <si>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</si>
  <si>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</si>
  <si>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</si>
  <si>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</si>
  <si>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</si>
  <si>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</si>
  <si>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</si>
  <si>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</si>
  <si>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</si>
  <si>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</si>
  <si>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</si>
  <si>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</si>
  <si>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</si>
  <si>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</si>
  <si>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</si>
  <si>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</si>
  <si>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</si>
  <si>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</si>
  <si>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</si>
  <si>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</si>
  <si>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</si>
  <si>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</si>
  <si>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</si>
  <si>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</si>
  <si>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</si>
  <si>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</si>
  <si>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</si>
  <si>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</si>
  <si>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</si>
  <si>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</si>
  <si>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</si>
  <si>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</si>
  <si>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</si>
  <si>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</si>
  <si>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</si>
  <si>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</si>
  <si>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</si>
  <si>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</si>
  <si>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</si>
  <si>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</si>
  <si>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</si>
  <si>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Eligible population calculation</t>
  </si>
  <si>
    <t>Current practice -
year 0</t>
  </si>
  <si>
    <t>Future practice - year 5 (with population growth/disease change)</t>
  </si>
  <si>
    <t>References and data sources</t>
  </si>
  <si>
    <t>Adult population</t>
  </si>
  <si>
    <t>See notes below</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</si>
  <si>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</si>
  <si>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</si>
  <si>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</si>
  <si>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</si>
  <si>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</si>
  <si>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</si>
  <si>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</si>
  <si>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</si>
  <si>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</si>
  <si>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</si>
  <si>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day(s)</t>
  </si>
  <si>
    <t>Drug</t>
  </si>
  <si>
    <t>Strength, container type, quantity</t>
  </si>
  <si>
    <t>Price</t>
  </si>
  <si>
    <t>VAT rate applicable</t>
  </si>
  <si>
    <t>Source</t>
  </si>
  <si>
    <t>Average weight (kg)</t>
  </si>
  <si>
    <r>
      <t>Average body surface area (m</t>
    </r>
    <r>
      <rPr>
        <vertAlign val="superscript"/>
        <sz val="11"/>
        <rFont val="Calibri"/>
        <family val="2"/>
        <scheme val="minor"/>
      </rPr>
      <t>2</t>
    </r>
    <r>
      <rPr>
        <sz val="11"/>
        <rFont val="Calibri"/>
        <family val="2"/>
        <scheme val="minor"/>
      </rPr>
      <t>)</t>
    </r>
  </si>
  <si>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</si>
  <si>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</si>
  <si>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</si>
  <si>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</si>
  <si>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</si>
  <si>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</si>
  <si>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</si>
  <si>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</si>
  <si>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</si>
  <si>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</si>
  <si>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</si>
  <si>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</si>
  <si>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</si>
  <si>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</si>
  <si>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</si>
  <si>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Number of first attendances</t>
  </si>
  <si>
    <t>per patient per visit</t>
  </si>
  <si>
    <t>Number of follow up attendances</t>
  </si>
  <si>
    <t>nursing</t>
  </si>
  <si>
    <t>Duration of administration (minutes)</t>
  </si>
  <si>
    <t>Band 7 Mid</t>
  </si>
  <si>
    <t>Preparation time before administration
(mins)</t>
  </si>
  <si>
    <t>Post administration nursing time (mins)</t>
  </si>
  <si>
    <t>Band 5 Mid</t>
  </si>
  <si>
    <t>pharmacy</t>
  </si>
  <si>
    <t>In-house number of aseptic unit preparations</t>
  </si>
  <si>
    <t>Bought-in number of aseptic unit preparations</t>
  </si>
  <si>
    <t>handling time per prep</t>
  </si>
  <si>
    <t>Drug regimen prep (mins)</t>
  </si>
  <si>
    <t>Band 8a Mid</t>
  </si>
  <si>
    <t>Consultant mid</t>
  </si>
  <si>
    <t>Specialty x</t>
  </si>
  <si>
    <t>Appointments with x specialty</t>
  </si>
  <si>
    <t>pathology / diagnostics / radiology</t>
  </si>
  <si>
    <t>Band 6 Mid</t>
  </si>
  <si>
    <t>Adverse events</t>
  </si>
  <si>
    <t>Adverse events, various (rate of cases)</t>
  </si>
  <si>
    <t>Notes</t>
  </si>
  <si>
    <t>Adverse events rates driven by inputs in blue cells on unit costs worksheet</t>
  </si>
  <si>
    <t>Population data notes</t>
  </si>
  <si>
    <t>-</t>
  </si>
  <si>
    <t>Unit costs</t>
  </si>
  <si>
    <t>Review the data in each blue cell below.  Enter a local value or leave NICE standard assumptions.</t>
  </si>
  <si>
    <t>Drug cost workings</t>
  </si>
  <si>
    <t>Regimen</t>
  </si>
  <si>
    <t>Drug name</t>
  </si>
  <si>
    <t>Pack type</t>
  </si>
  <si>
    <t>Quantity</t>
  </si>
  <si>
    <t>Strength (mg)</t>
  </si>
  <si>
    <t>Total contents (mg)</t>
  </si>
  <si>
    <t xml:space="preserve">Cost </t>
  </si>
  <si>
    <t>Cycles</t>
  </si>
  <si>
    <t>Admin method</t>
  </si>
  <si>
    <t>VAT rate</t>
  </si>
  <si>
    <t>Annual cost</t>
  </si>
  <si>
    <t>All components</t>
  </si>
  <si>
    <t>Administrations</t>
  </si>
  <si>
    <t>Treatment option</t>
  </si>
  <si>
    <t>HRG code</t>
  </si>
  <si>
    <t>HRG description</t>
  </si>
  <si>
    <t>Tariff</t>
  </si>
  <si>
    <t xml:space="preserve">National  </t>
  </si>
  <si>
    <t xml:space="preserve">prices </t>
  </si>
  <si>
    <t>are</t>
  </si>
  <si>
    <t>used</t>
  </si>
  <si>
    <t>on the</t>
  </si>
  <si>
    <t>all options</t>
  </si>
  <si>
    <t>left.</t>
  </si>
  <si>
    <t>Local</t>
  </si>
  <si>
    <t>prices</t>
  </si>
  <si>
    <t xml:space="preserve">can be </t>
  </si>
  <si>
    <t>Appointments with x specialist</t>
  </si>
  <si>
    <t xml:space="preserve">used as </t>
  </si>
  <si>
    <t xml:space="preserve">as an </t>
  </si>
  <si>
    <t>alternative.</t>
  </si>
  <si>
    <t>The</t>
  </si>
  <si>
    <t xml:space="preserve">selection </t>
  </si>
  <si>
    <t>between</t>
  </si>
  <si>
    <t xml:space="preserve">using </t>
  </si>
  <si>
    <t>local or</t>
  </si>
  <si>
    <t>national</t>
  </si>
  <si>
    <t>is made</t>
  </si>
  <si>
    <t>summary</t>
  </si>
  <si>
    <t>national prices</t>
  </si>
  <si>
    <t>local prices</t>
  </si>
  <si>
    <t>Event</t>
  </si>
  <si>
    <t>Unit cost (£) 
national prices</t>
  </si>
  <si>
    <t>Unit cost (£) local prices</t>
  </si>
  <si>
    <t>Amend data in blue cells locally where necessary.</t>
  </si>
  <si>
    <t>Estimated number of administrations</t>
  </si>
  <si>
    <t>Current practice</t>
  </si>
  <si>
    <t>Cash items</t>
  </si>
  <si>
    <t>£'000</t>
  </si>
  <si>
    <t>Drug resource impact per year</t>
  </si>
  <si>
    <t>Increase in cost to current practice</t>
  </si>
  <si>
    <t>Year on year increase in cost</t>
  </si>
  <si>
    <t>Basis upon which the resource impact of capacity items are calculated is</t>
  </si>
  <si>
    <t>Non-cash</t>
  </si>
  <si>
    <t>All capacity items</t>
  </si>
  <si>
    <t>Cash items and financial impact of capacity items</t>
  </si>
  <si>
    <t>Capacity impact, activity</t>
  </si>
  <si>
    <t>Capacity impact on activity</t>
  </si>
  <si>
    <t xml:space="preserve">Administrations - change in volume of HRGs </t>
  </si>
  <si>
    <t>Administrations cycles per year - change</t>
  </si>
  <si>
    <t>Capacity impact on nursing staffing - hours</t>
  </si>
  <si>
    <t xml:space="preserve">Administrations - change in duration </t>
  </si>
  <si>
    <t>Preparation time before administration - change</t>
  </si>
  <si>
    <t>Post administration nursing time (hours)</t>
  </si>
  <si>
    <t>Capacity impact on pharmacy</t>
  </si>
  <si>
    <t>Aseptic unit preparations (number) made in house - change to current practice</t>
  </si>
  <si>
    <t>Aseptic unit preparations (number) bought in - change to current practice</t>
  </si>
  <si>
    <t>Aseptic unit preparation time (hours) in house time - change to current practice</t>
  </si>
  <si>
    <t>Aseptic unit preparation time (hours) bought in time - change to current practice</t>
  </si>
  <si>
    <t>Drug regimen prep (hours) - change to current practice</t>
  </si>
  <si>
    <t>Capacity impact on x service</t>
  </si>
  <si>
    <t>Appointments with x specialty - change</t>
  </si>
  <si>
    <t>Capacity impact on pathology/ radiology /diagnostics</t>
  </si>
  <si>
    <t>Capacity impact due to adverse events</t>
  </si>
  <si>
    <t>Adverse events, various (cases) - change</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</si>
  <si>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</si>
  <si>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</si>
  <si>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</si>
  <si>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</si>
  <si>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</si>
  <si>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</si>
  <si>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</si>
  <si>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</si>
  <si>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</si>
  <si>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</si>
  <si>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</si>
  <si>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</si>
  <si>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</si>
  <si>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</si>
  <si>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</si>
  <si>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ENGLANDICS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</si>
  <si>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</si>
  <si>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</si>
  <si>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</si>
  <si>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</si>
  <si>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</si>
  <si>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</si>
  <si>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</si>
  <si>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</si>
  <si>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</si>
  <si>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</si>
  <si>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</si>
  <si>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</si>
  <si>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</si>
  <si>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</si>
  <si>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</si>
  <si>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</si>
  <si>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</si>
  <si>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</si>
  <si>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</si>
  <si>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</si>
  <si>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</si>
  <si>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</si>
  <si>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</si>
  <si>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</si>
  <si>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</si>
  <si>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</si>
  <si>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</si>
  <si>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</si>
  <si>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</si>
  <si>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</si>
  <si>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</si>
  <si>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</si>
  <si>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</si>
  <si>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</si>
  <si>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</si>
  <si>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</si>
  <si>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</si>
  <si>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</si>
  <si>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</si>
  <si>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</si>
  <si>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</si>
  <si>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</si>
  <si>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</si>
  <si>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</si>
  <si>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</si>
  <si>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</si>
  <si>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</si>
  <si>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</si>
  <si>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</si>
  <si>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</si>
  <si>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</si>
  <si>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</si>
  <si>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</si>
  <si>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</si>
  <si>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</si>
  <si>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</si>
  <si>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</si>
  <si>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</si>
  <si>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</si>
  <si>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</si>
  <si>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</si>
  <si>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</si>
  <si>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</si>
  <si>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</si>
  <si>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</si>
  <si>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</si>
  <si>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</si>
  <si>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</si>
  <si>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</si>
  <si>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</si>
  <si>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</si>
  <si>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</si>
  <si>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</si>
  <si>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</si>
  <si>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</si>
  <si>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</si>
  <si>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</si>
  <si>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</si>
  <si>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</si>
  <si>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</si>
  <si>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</si>
  <si>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</si>
  <si>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</si>
  <si>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</si>
  <si>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</si>
  <si>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</si>
  <si>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</si>
  <si>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</si>
  <si>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</si>
  <si>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</si>
  <si>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</si>
  <si>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</si>
  <si>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</si>
  <si>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</si>
  <si>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</si>
  <si>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</si>
  <si>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</si>
  <si>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</si>
  <si>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</si>
  <si>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</si>
  <si>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</si>
  <si>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</si>
  <si>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</si>
  <si>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</si>
  <si>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</si>
  <si>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</si>
  <si>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</si>
  <si>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</si>
  <si>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</si>
  <si>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</si>
  <si>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</si>
  <si>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</si>
  <si>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</si>
  <si>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</si>
  <si>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</si>
  <si>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</si>
  <si>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</si>
  <si>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</si>
  <si>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</si>
  <si>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</si>
  <si>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</si>
  <si>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</si>
  <si>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</si>
  <si>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</si>
  <si>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</si>
  <si>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</si>
  <si>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</si>
  <si>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</si>
  <si>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</si>
  <si>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</si>
  <si>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</si>
  <si>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</si>
  <si>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</si>
  <si>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</si>
  <si>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</si>
  <si>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</si>
  <si>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</si>
  <si>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</si>
  <si>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</si>
  <si>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</si>
  <si>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</si>
  <si>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</si>
  <si>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</si>
  <si>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</si>
  <si>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</si>
  <si>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</si>
  <si>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</si>
  <si>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</si>
  <si>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</si>
  <si>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</si>
  <si>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</si>
  <si>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</si>
  <si>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</si>
  <si>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</si>
  <si>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</si>
  <si>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</si>
  <si>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</si>
  <si>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</si>
  <si>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</si>
  <si>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</si>
  <si>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</si>
  <si>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</si>
  <si>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</si>
  <si>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</si>
  <si>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</si>
  <si>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</si>
  <si>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</si>
  <si>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</si>
  <si>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</si>
  <si>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Dorset</t>
  </si>
  <si>
    <t>Somerset</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</si>
  <si>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</si>
  <si>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</si>
  <si>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</si>
  <si>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</si>
  <si>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</si>
  <si>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</si>
  <si>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</si>
  <si>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</si>
  <si>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</si>
  <si>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</si>
  <si>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</si>
  <si>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</si>
  <si>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</si>
  <si>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</si>
  <si>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</si>
  <si>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</si>
  <si>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</si>
  <si>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</si>
  <si>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</si>
  <si>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</si>
  <si>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</si>
  <si>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</si>
  <si>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</si>
  <si>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</si>
  <si>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</si>
  <si>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</si>
  <si>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</si>
  <si>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</si>
  <si>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</si>
  <si>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</si>
  <si>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</si>
  <si>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</si>
  <si>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</si>
  <si>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</si>
  <si>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</si>
  <si>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</si>
  <si>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</si>
  <si>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</si>
  <si>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</si>
  <si>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</si>
  <si>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</si>
  <si>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</si>
  <si>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</si>
  <si>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</si>
  <si>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</si>
  <si>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</si>
  <si>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</si>
  <si>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</si>
  <si>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</si>
  <si>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</si>
  <si>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</si>
  <si>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</si>
  <si>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</si>
  <si>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</si>
  <si>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</si>
  <si>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</si>
  <si>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</si>
  <si>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</si>
  <si>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</si>
  <si>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</si>
  <si>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</si>
  <si>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</si>
  <si>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</si>
  <si>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Dacorum</t>
  </si>
  <si>
    <t>Darlington</t>
  </si>
  <si>
    <t>Dartford</t>
  </si>
  <si>
    <t>Derby</t>
  </si>
  <si>
    <t>Derbyshire Dales</t>
  </si>
  <si>
    <t>Doncaster</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</si>
  <si>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</si>
  <si>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</si>
  <si>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</si>
  <si>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</si>
  <si>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</si>
  <si>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</si>
  <si>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</si>
  <si>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</si>
  <si>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</si>
  <si>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</si>
  <si>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</si>
  <si>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</si>
  <si>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</si>
  <si>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</si>
  <si>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</si>
  <si>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</si>
  <si>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</si>
  <si>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</si>
  <si>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</si>
  <si>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</si>
  <si>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</si>
  <si>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</si>
  <si>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</si>
  <si>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</si>
  <si>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</si>
  <si>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</si>
  <si>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</si>
  <si>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</si>
  <si>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</si>
  <si>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</si>
  <si>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</si>
  <si>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</si>
  <si>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</si>
  <si>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</si>
  <si>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</si>
  <si>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</si>
  <si>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</si>
  <si>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</si>
  <si>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</si>
  <si>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</si>
  <si>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</si>
  <si>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</si>
  <si>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</si>
  <si>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</si>
  <si>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</si>
  <si>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</si>
  <si>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</si>
  <si>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</si>
  <si>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</si>
  <si>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</si>
  <si>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</si>
  <si>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</si>
  <si>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</si>
  <si>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</si>
  <si>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</si>
  <si>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</si>
  <si>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</si>
  <si>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</si>
  <si>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</si>
  <si>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</si>
  <si>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</si>
  <si>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</si>
  <si>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</si>
  <si>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</si>
  <si>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</si>
  <si>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</si>
  <si>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</si>
  <si>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</si>
  <si>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</si>
  <si>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</si>
  <si>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</si>
  <si>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</si>
  <si>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</si>
  <si>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</si>
  <si>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</si>
  <si>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</si>
  <si>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</si>
  <si>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</si>
  <si>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</si>
  <si>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</si>
  <si>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</si>
  <si>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</si>
  <si>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</si>
  <si>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</si>
  <si>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</si>
  <si>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</si>
  <si>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</si>
  <si>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</si>
  <si>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</si>
  <si>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</si>
  <si>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</si>
  <si>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</si>
  <si>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</si>
  <si>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</si>
  <si>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</si>
  <si>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</si>
  <si>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</si>
  <si>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</si>
  <si>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</si>
  <si>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</si>
  <si>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</si>
  <si>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</si>
  <si>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</si>
  <si>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</si>
  <si>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</si>
  <si>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</si>
  <si>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</si>
  <si>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</si>
  <si>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</si>
  <si>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</si>
  <si>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</si>
  <si>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</si>
  <si>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</si>
  <si>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</si>
  <si>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</si>
  <si>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</si>
  <si>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</si>
  <si>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</si>
  <si>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</si>
  <si>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</si>
  <si>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</si>
  <si>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</si>
  <si>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</si>
  <si>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</si>
  <si>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</si>
  <si>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</si>
  <si>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</si>
  <si>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</si>
  <si>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</si>
  <si>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</si>
  <si>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</si>
  <si>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</si>
  <si>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</si>
  <si>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</si>
  <si>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</si>
  <si>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</si>
  <si>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</si>
  <si>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</si>
  <si>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</si>
  <si>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</si>
  <si>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</si>
  <si>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</si>
  <si>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</si>
  <si>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</si>
  <si>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</si>
  <si>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</si>
  <si>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</si>
  <si>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</si>
  <si>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</si>
  <si>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</si>
  <si>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</si>
  <si>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</si>
  <si>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</si>
  <si>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</si>
  <si>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</si>
  <si>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</si>
  <si>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</si>
  <si>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</si>
  <si>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</si>
  <si>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</si>
  <si>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</si>
  <si>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</si>
  <si>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</si>
  <si>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</si>
  <si>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</si>
  <si>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</si>
  <si>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</si>
  <si>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</si>
  <si>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</si>
  <si>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</si>
  <si>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</si>
  <si>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</si>
  <si>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</si>
  <si>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</si>
  <si>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</si>
  <si>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</si>
  <si>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</si>
  <si>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</si>
  <si>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</si>
  <si>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</si>
  <si>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</si>
  <si>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</si>
  <si>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</si>
  <si>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</si>
  <si>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</si>
  <si>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</si>
  <si>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</si>
  <si>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</si>
  <si>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</si>
  <si>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</si>
  <si>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</si>
  <si>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</si>
  <si>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</si>
  <si>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</si>
  <si>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</si>
  <si>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</si>
  <si>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</si>
  <si>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</si>
  <si>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</si>
  <si>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</si>
  <si>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</si>
  <si>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</si>
  <si>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</si>
  <si>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</si>
  <si>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</si>
  <si>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</si>
  <si>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</si>
  <si>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</si>
  <si>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</si>
  <si>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</si>
  <si>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</si>
  <si>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</si>
  <si>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</si>
  <si>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</si>
  <si>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</si>
  <si>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</si>
  <si>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</si>
  <si>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</si>
  <si>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</si>
  <si>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</si>
  <si>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</si>
  <si>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</si>
  <si>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</si>
  <si>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</si>
  <si>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</si>
  <si>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</si>
  <si>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</si>
  <si>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</si>
  <si>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</si>
  <si>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</si>
  <si>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</si>
  <si>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</si>
  <si>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</si>
  <si>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</si>
  <si>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</si>
  <si>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</si>
  <si>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</si>
  <si>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</si>
  <si>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</si>
  <si>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</si>
  <si>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</si>
  <si>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</si>
  <si>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</si>
  <si>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</si>
  <si>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</si>
  <si>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</si>
  <si>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</si>
  <si>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</si>
  <si>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</si>
  <si>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</si>
  <si>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</si>
  <si>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</si>
  <si>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</si>
  <si>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</si>
  <si>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</si>
  <si>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</si>
  <si>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</si>
  <si>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</si>
  <si>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</si>
  <si>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</si>
  <si>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</si>
  <si>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</si>
  <si>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</si>
  <si>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</si>
  <si>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</si>
  <si>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</si>
  <si>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</si>
  <si>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</si>
  <si>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</si>
  <si>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</si>
  <si>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</si>
  <si>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</si>
  <si>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</si>
  <si>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</si>
  <si>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</si>
  <si>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</si>
  <si>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</si>
  <si>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</si>
  <si>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</si>
  <si>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</si>
  <si>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</si>
  <si>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</si>
  <si>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</si>
  <si>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</si>
  <si>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</si>
  <si>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</si>
  <si>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</si>
  <si>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</si>
  <si>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</si>
  <si>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</si>
  <si>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</si>
  <si>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</si>
  <si>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</si>
  <si>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</si>
  <si>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</si>
  <si>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</si>
  <si>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</si>
  <si>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Unit Cost</t>
  </si>
  <si>
    <t>Capacity impact (local prices)</t>
  </si>
  <si>
    <t>This sheet shows the capacity impact of the guidance.</t>
  </si>
  <si>
    <t>Summary table</t>
  </si>
  <si>
    <t>Each item of capacity is modelled in an individual table below to give an overall estimate of resource impact</t>
  </si>
  <si>
    <t>Number per patient per year</t>
  </si>
  <si>
    <t>Administrations - change in volume of HRGs to current practice</t>
  </si>
  <si>
    <t>Administrations - number of cycles</t>
  </si>
  <si>
    <t>Number of cycles</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</si>
  <si>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</si>
  <si>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</si>
  <si>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</si>
  <si>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</si>
  <si>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</si>
  <si>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</si>
  <si>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</si>
  <si>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</si>
  <si>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</si>
  <si>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</si>
  <si>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In-house aseptic unit preparations, number made</t>
  </si>
  <si>
    <t>In-house aseptic unit preparations (number made)</t>
  </si>
  <si>
    <t>Bought-in aseptic unit preparations, number bought in</t>
  </si>
  <si>
    <t>Bought-in aseptic unit preparations (number bought)</t>
  </si>
  <si>
    <t>In-house aseptic unit preparations, pharmacy time (hours)</t>
  </si>
  <si>
    <t>In-house aseptic unit preparations handling (mins)</t>
  </si>
  <si>
    <t>Bought-in aseptic unit preparations, pharmacy time (hours)</t>
  </si>
  <si>
    <t>Bought-in aseptic unit preparations handling (mins)</t>
  </si>
  <si>
    <t>Drug regimen prep (hours)</t>
  </si>
  <si>
    <t>X specialty</t>
  </si>
  <si>
    <t>Appointments with x specialty - change to current practice</t>
  </si>
  <si>
    <t>Pathology/ radiology/ diagnostics</t>
  </si>
  <si>
    <t>Adverse events, various (cases)</t>
  </si>
  <si>
    <t>Adverse events - change to current practice</t>
  </si>
  <si>
    <t>Capacity impact (national prices)</t>
  </si>
  <si>
    <t>Band</t>
  </si>
  <si>
    <t>Enhancements Mon-Fri</t>
  </si>
  <si>
    <t>Enhancements Sun</t>
  </si>
  <si>
    <t>Hourly rate</t>
  </si>
  <si>
    <t>Band 2 Bottom</t>
  </si>
  <si>
    <t>Band 2 Top</t>
  </si>
  <si>
    <t>Band 3 Bottom</t>
  </si>
  <si>
    <t>Band 3 Top</t>
  </si>
  <si>
    <t>Band 4 Bottom</t>
  </si>
  <si>
    <t>Band 4 Top</t>
  </si>
  <si>
    <t>Band 5 Bottom</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</si>
  <si>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</si>
  <si>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</si>
  <si>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</si>
  <si>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</si>
  <si>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</si>
  <si>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</si>
  <si>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</si>
  <si>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</si>
  <si>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</si>
  <si>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</si>
  <si>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</si>
  <si>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</si>
  <si>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</si>
  <si>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</si>
  <si>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</si>
  <si>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</si>
  <si>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</si>
  <si>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</si>
  <si>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</si>
  <si>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</si>
  <si>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</si>
  <si>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</si>
  <si>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</si>
  <si>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8A</t>
  </si>
  <si>
    <t>8B</t>
  </si>
  <si>
    <t>8C</t>
  </si>
  <si>
    <t>8D</t>
  </si>
  <si>
    <t>Non medical staffing</t>
  </si>
  <si>
    <t>Day per year</t>
  </si>
  <si>
    <t>Annual leave/bank holidays</t>
  </si>
  <si>
    <t>Mandatory training</t>
  </si>
  <si>
    <t>Sickness at 4%</t>
  </si>
  <si>
    <t>Annual hours per year</t>
  </si>
  <si>
    <t>Sessions worked per week (4 hour sessions)</t>
  </si>
  <si>
    <t>Less SPA allowance (4 hour sessions)</t>
  </si>
  <si>
    <t>Hours of clinical work per year</t>
  </si>
  <si>
    <t>Weeks worked (net of annual leave/training leave)</t>
  </si>
  <si>
    <t>Number of working weeks per year</t>
  </si>
  <si>
    <t>Average working hours per week</t>
  </si>
  <si>
    <t>Total hours per year</t>
  </si>
  <si>
    <t>% of direct patient care</t>
  </si>
  <si>
    <t>Number of hours of direct patient care</t>
  </si>
  <si>
    <t>Staff time per test (minutes)</t>
  </si>
  <si>
    <t>Staff time per appointment (minutes)</t>
  </si>
  <si>
    <t>Based on 2023/25 National Tariff Payment System -  24/25 prices</t>
  </si>
  <si>
    <r>
      <rPr>
        <b/>
        <sz val="11"/>
        <rFont val="Calibri"/>
        <family val="2"/>
        <scheme val="minor"/>
      </rPr>
      <t>Adult population</t>
    </r>
    <r>
      <rPr>
        <sz val="11"/>
        <rFont val="Calibri"/>
        <family val="2"/>
        <scheme val="minor"/>
      </rPr>
      <t xml:space="preserve"> forecast at year 5</t>
    </r>
  </si>
  <si>
    <t>England ICB</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</si>
  <si>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</si>
  <si>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</si>
  <si>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</si>
  <si>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</si>
  <si>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</si>
  <si>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</si>
  <si>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</si>
  <si>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</si>
  <si>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</si>
  <si>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</si>
  <si>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</si>
  <si>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</si>
  <si>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</si>
  <si>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</si>
  <si>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</si>
  <si>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</si>
  <si>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</si>
  <si>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</si>
  <si>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</si>
  <si>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</si>
  <si>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</si>
  <si>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</si>
  <si>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</si>
  <si>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</si>
  <si>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</si>
  <si>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</si>
  <si>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</si>
  <si>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</si>
  <si>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</si>
  <si>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</si>
  <si>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</si>
  <si>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</si>
  <si>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</si>
  <si>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</si>
  <si>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</si>
  <si>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</si>
  <si>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</si>
  <si>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</si>
  <si>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</si>
  <si>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</si>
  <si>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</si>
  <si>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</si>
  <si>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Cumberland</t>
  </si>
  <si>
    <t>North Northamptonshire</t>
  </si>
  <si>
    <t>North Yorkshire</t>
  </si>
  <si>
    <t>West Northamptonshire</t>
  </si>
  <si>
    <t>Westmorland and Furness</t>
  </si>
  <si>
    <t>5 year view</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</si>
  <si>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</si>
  <si>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</si>
  <si>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</si>
  <si>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</si>
  <si>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</si>
  <si>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</si>
  <si>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</si>
  <si>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</si>
  <si>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</si>
  <si>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</si>
  <si>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</si>
  <si>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</si>
  <si>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</si>
  <si>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</si>
  <si>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</si>
  <si>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10 year view</t>
  </si>
  <si>
    <t>10 year rates</t>
  </si>
  <si>
    <t>Value to use</t>
  </si>
  <si>
    <t>this column above</t>
  </si>
  <si>
    <t>Population specific growth rate</t>
  </si>
  <si>
    <t>Population % growth per year</t>
  </si>
  <si>
    <t>Disease rate % change per year</t>
  </si>
  <si>
    <t>Population above inflated to estimated 2024 value, current year</t>
  </si>
  <si>
    <t>Cancer</t>
  </si>
  <si>
    <t>NHS England</t>
  </si>
  <si>
    <t>This template allows the resource impact to be modelled.  It allows users to tailor data to suit local circumstances. Blue cells are not locked.  Data can be entered or changed locally.</t>
  </si>
  <si>
    <t>Data in the blue cells are used throughout the worksheets to show a tailored resource impact. Where no entries are made in blue cells, NICE standard assumptions are used.</t>
  </si>
  <si>
    <t>To show key information</t>
  </si>
  <si>
    <t>oral</t>
  </si>
  <si>
    <t>packet</t>
  </si>
  <si>
    <t xml:space="preserve">1.3mg/m2 subcutaneously once weekly on days 1, 8, 15, and 22 </t>
  </si>
  <si>
    <t>Bortezomib</t>
  </si>
  <si>
    <t>Subcutaneous</t>
  </si>
  <si>
    <t>Vial</t>
  </si>
  <si>
    <t>Dexamethasone</t>
  </si>
  <si>
    <t>SB15Z</t>
  </si>
  <si>
    <t>SB15Z Deliver Subsequent Elements of a Chemotherapy Cycle</t>
  </si>
  <si>
    <t>SB11Z</t>
  </si>
  <si>
    <t>SB11Z Deliver Exclusively Oral Chemotherapy</t>
  </si>
  <si>
    <t>NHS England » 2023-25 NHS Payment Scheme (amended)</t>
  </si>
  <si>
    <t>First attendances</t>
  </si>
  <si>
    <t>WF01B</t>
  </si>
  <si>
    <t>First Attendance - Single Professional.  TFC 303</t>
  </si>
  <si>
    <t>Follow up attendances</t>
  </si>
  <si>
    <t>WF01A</t>
  </si>
  <si>
    <t>Follow Up Attendance - Single Professional.  TFC 303</t>
  </si>
  <si>
    <t>First Attendance - Single Professional.  TFC x &lt;specialty&gt;</t>
  </si>
  <si>
    <t>National prices</t>
  </si>
  <si>
    <t>Local prices</t>
  </si>
  <si>
    <t>Anaemia</t>
  </si>
  <si>
    <t>Fatigue</t>
  </si>
  <si>
    <t>Hypertension</t>
  </si>
  <si>
    <t>Leukopenia</t>
  </si>
  <si>
    <t>Lymphopenia</t>
  </si>
  <si>
    <t>Neutropenia</t>
  </si>
  <si>
    <t>Pneumonia</t>
  </si>
  <si>
    <t>Thrombocytopenia</t>
  </si>
  <si>
    <t>People receiving panobinostat with bortezomib and dexamethasone</t>
  </si>
  <si>
    <t>Adverse events at local prices are currently costed at 80% of the HRG.</t>
  </si>
  <si>
    <t>Immunoglobulin - change in number of</t>
  </si>
  <si>
    <t>Protein electrophoresis tests - change in number of</t>
  </si>
  <si>
    <t>Full blood count</t>
  </si>
  <si>
    <t>Biochemistry tests</t>
  </si>
  <si>
    <t>Attendances</t>
  </si>
  <si>
    <t>People receiving olaparib with abiraterone and prednisolone</t>
  </si>
  <si>
    <t>People receiving abiraterone with prednisolone</t>
  </si>
  <si>
    <t>People receiving enzalutamide</t>
  </si>
  <si>
    <t>Full blood count - change in number to current practice</t>
  </si>
  <si>
    <t>Number of biochemistry tests</t>
  </si>
  <si>
    <t>Biochemistry tests - change in number to current practice</t>
  </si>
  <si>
    <t>change in number of attendances current practice</t>
  </si>
  <si>
    <t>Incidence of multiple myeloma</t>
  </si>
  <si>
    <t>Yong K, Delforge M, Driessen C, et al.[2016] Multiple myeloma: patient outcomes in real-world practice. Br J Haematol. 2016;175(2):252-264.</t>
  </si>
  <si>
    <t>1 x 3.5mg vial</t>
  </si>
  <si>
    <t>eMIT</t>
  </si>
  <si>
    <t>50 x 8mg tablets</t>
  </si>
  <si>
    <t>Panobinostat</t>
  </si>
  <si>
    <t>6 x 20mg capsules</t>
  </si>
  <si>
    <t>Haematologist appointment</t>
  </si>
  <si>
    <t>per patient per year</t>
  </si>
  <si>
    <t>Number of full blood count</t>
  </si>
  <si>
    <t>See unit cost tab</t>
  </si>
  <si>
    <t>Number of full blood counts as per company submission</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</si>
  <si>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</si>
  <si>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</si>
  <si>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</si>
  <si>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</si>
  <si>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</si>
  <si>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</si>
  <si>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</si>
  <si>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</si>
  <si>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</si>
  <si>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</si>
  <si>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 xml:space="preserve">Rates of adverse events and costs, based on EAG model. </t>
  </si>
  <si>
    <t>People receiving selinexor with bortezomib and dexamethasone</t>
  </si>
  <si>
    <t>People receiving lenalidomide plus dexamethasone</t>
  </si>
  <si>
    <t>Unit cost</t>
  </si>
  <si>
    <t>worksheet</t>
  </si>
  <si>
    <t xml:space="preserve">Population </t>
  </si>
  <si>
    <t>per patient/yr.</t>
  </si>
  <si>
    <t>Panobinostat, bortezomib and dexamethasone</t>
  </si>
  <si>
    <t>Panobinostat with bortezomib and dexamethasone (Year 1)</t>
  </si>
  <si>
    <t>Pack size</t>
  </si>
  <si>
    <t>Dosage and cost</t>
  </si>
  <si>
    <t>Dose per day (mg)</t>
  </si>
  <si>
    <t>Frequency per cycle of 28 days (days)</t>
  </si>
  <si>
    <t>Total dosage</t>
  </si>
  <si>
    <t>Full treatment dose of 76 mg weekly from Week 2 to Week 24</t>
  </si>
  <si>
    <t>Full treatment dose of 76 mg every 2 weeks from Week 24</t>
  </si>
  <si>
    <t>1 x 44mg vial</t>
  </si>
  <si>
    <t>1 x 76mg vial</t>
  </si>
  <si>
    <t>20 mg on days 1,3,5,8,10 and 12 of each 21 day cycle</t>
  </si>
  <si>
    <t>Pomalidomide with dexamethasone (Year 1)</t>
  </si>
  <si>
    <t>Pomalidomide</t>
  </si>
  <si>
    <t>4 mg on days 1 to 21 of each 28 day cycle</t>
  </si>
  <si>
    <t>40mg on days 1,8,15 and 22 of each 28 day cycle</t>
  </si>
  <si>
    <t>21 x 4mg capsules</t>
  </si>
  <si>
    <t xml:space="preserve">People receiving panobinostat with bortezomib and dexamethasone </t>
  </si>
  <si>
    <t>People receiving pomalidomide plus dexamethasone</t>
  </si>
  <si>
    <t>Number of biochemistry tests as per company submission</t>
  </si>
  <si>
    <t>Alanine aminotransferase increased</t>
  </si>
  <si>
    <t>Sepsis</t>
  </si>
  <si>
    <t>Neurotoxicity (grade 1-2)</t>
  </si>
  <si>
    <t>Neurotoxicity (grade 3-4)</t>
  </si>
  <si>
    <t>Cytokine release syndrome (CRS) (grade 1-2)</t>
  </si>
  <si>
    <t>SA30C Plasma Cell Disorders with CC Score 5-7. Elective spell</t>
  </si>
  <si>
    <t>SA30C</t>
  </si>
  <si>
    <t>Pomalidomide and dexamethasone</t>
  </si>
  <si>
    <t>SB12Z</t>
  </si>
  <si>
    <t>SB12Z Deliver Simple Parenteral Chemotherapy at First Attendance</t>
  </si>
  <si>
    <t>People receiving panobinostat with bortezomib and dexamethasone (SB12Z)</t>
  </si>
  <si>
    <t>People receiving panobinostat with bortezomib and dexamethasone (SB15Z)</t>
  </si>
  <si>
    <t>People receiving pomalidomide with dexamethasone (SB11Z)</t>
  </si>
  <si>
    <t>Hypogammaglobulinemia IVIG Replacement</t>
  </si>
  <si>
    <t>Step-up doses of 12 mg on Day 1</t>
  </si>
  <si>
    <t xml:space="preserve">Step-up doses of 32 mg on Day 4 </t>
  </si>
  <si>
    <t>Bed days
 (days)</t>
  </si>
  <si>
    <t>Bed day costs - days</t>
  </si>
  <si>
    <t>Cost per day</t>
  </si>
  <si>
    <t>Average number of days per patient</t>
  </si>
  <si>
    <t>Reference</t>
  </si>
  <si>
    <t>Bed days</t>
  </si>
  <si>
    <t>Capacity impact on bed days</t>
  </si>
  <si>
    <t>Bed days - change in days</t>
  </si>
  <si>
    <t>Service Code</t>
  </si>
  <si>
    <t>Service Description</t>
  </si>
  <si>
    <t>Currency Code</t>
  </si>
  <si>
    <t>Currency Description</t>
  </si>
  <si>
    <t>National Average Unit Cost</t>
  </si>
  <si>
    <t>Weighted average cost</t>
  </si>
  <si>
    <t>CCU03</t>
  </si>
  <si>
    <t>Medical adult PATIENTS (unspecified specialty)</t>
  </si>
  <si>
    <t>XC01Z</t>
  </si>
  <si>
    <t>Adult Critical Care, 6 or more Organs Supported</t>
  </si>
  <si>
    <t>XC02Z</t>
  </si>
  <si>
    <t>Adult Critical Care, 5 Organs Supported</t>
  </si>
  <si>
    <t>XC03Z</t>
  </si>
  <si>
    <t>Adult Critical Care, 4 Organs Supported</t>
  </si>
  <si>
    <t>XC04Z</t>
  </si>
  <si>
    <t>Adult Critical Care, 3 Organs Supported</t>
  </si>
  <si>
    <t>XC05Z</t>
  </si>
  <si>
    <t>Adult Critical Care, 2 Organs Supported</t>
  </si>
  <si>
    <t>XC06Z</t>
  </si>
  <si>
    <t>Adult Critical Care, 1 Organ Supported</t>
  </si>
  <si>
    <t>XC07Z</t>
  </si>
  <si>
    <t>Adult Critical Care, 0 Organs Supported</t>
  </si>
  <si>
    <t xml:space="preserve">Dose (mg)
</t>
  </si>
  <si>
    <t>Number of 10mg vials per admin</t>
  </si>
  <si>
    <t>Number of 20mg vials per admin</t>
  </si>
  <si>
    <t>Total number of admins</t>
  </si>
  <si>
    <t>Cost per 10mg vial</t>
  </si>
  <si>
    <t>Cost per 20mg vial</t>
  </si>
  <si>
    <t>Total cost of treatment exc. VAT</t>
  </si>
  <si>
    <t>VAT</t>
  </si>
  <si>
    <t>Total cost of treatment inc. VAT</t>
  </si>
  <si>
    <t xml:space="preserve">Drug </t>
  </si>
  <si>
    <t xml:space="preserve">0.4g/kg/month. </t>
  </si>
  <si>
    <t>Intravenous immunoglobulin (IVIg)</t>
  </si>
  <si>
    <t>SB14Z</t>
  </si>
  <si>
    <t>SB14Z Deliver Complex Chemotherapy, including Prolonged Infusional Treatment, at First Attendance</t>
  </si>
  <si>
    <t>Drug costs</t>
  </si>
  <si>
    <t xml:space="preserve">Dose (mg/kg)
</t>
  </si>
  <si>
    <t>Average dose (mg)</t>
  </si>
  <si>
    <t>Tocilizumab - one dose</t>
  </si>
  <si>
    <t>8 mg/kg for treatment of CRS given as a 60-minute intravenous infusion</t>
  </si>
  <si>
    <t>Tocilizumab (IV)</t>
  </si>
  <si>
    <t>Intravenous immunoglobulin</t>
  </si>
  <si>
    <t>Elranatamab</t>
  </si>
  <si>
    <t>People receiving elranatamab</t>
  </si>
  <si>
    <t>Capacity impact, financial - £'000</t>
  </si>
  <si>
    <t>Total resource impact - £'000</t>
  </si>
  <si>
    <t>Proportion of people who have 4th line treatment</t>
  </si>
  <si>
    <t>Total 4th line population</t>
  </si>
  <si>
    <t>Population (4th line)</t>
  </si>
  <si>
    <t>Cash items (4th Line)</t>
  </si>
  <si>
    <t>Drugs - people receiving treatment options (4th Line)</t>
  </si>
  <si>
    <t>Drugs - resource impact (4th Line)</t>
  </si>
  <si>
    <t>Drug resource impact cash (4th Line)</t>
  </si>
  <si>
    <t>Population and uptake (4th line)</t>
  </si>
  <si>
    <t>People receiving the treatment options (4th line)</t>
  </si>
  <si>
    <t>Financial resource impact (4th Line) - £'000</t>
  </si>
  <si>
    <t>Adverse events, annual costs and rates (4th line)</t>
  </si>
  <si>
    <t>CCU01</t>
  </si>
  <si>
    <t>Non-specific, general adult critical care PATIENTS predominate</t>
  </si>
  <si>
    <t>Input a cost per day to reflect the additional costs incurred on the local price tab</t>
  </si>
  <si>
    <t>90 days</t>
  </si>
  <si>
    <t>Multiple myeloma</t>
  </si>
  <si>
    <t>Secondary care - acute</t>
  </si>
  <si>
    <t>02I cancer,  Haematological</t>
  </si>
  <si>
    <t>Treating relapsed and refractory multiple myeloma after 3 or more treatments</t>
  </si>
  <si>
    <t>Uptake rate for elranatamab (%)</t>
  </si>
  <si>
    <t>Population receiving elranatamab each year</t>
  </si>
  <si>
    <t>Weighted cost using reference cost activity and costs</t>
  </si>
  <si>
    <t>People receiving elranatamab (SA30C)</t>
  </si>
  <si>
    <t>People receiving elranatamab (SB15Z)</t>
  </si>
  <si>
    <t>People receiving daratumumab</t>
  </si>
  <si>
    <t>1,800mg once a week, week 1 to 8</t>
  </si>
  <si>
    <t>Daratumumab</t>
  </si>
  <si>
    <t>subcut</t>
  </si>
  <si>
    <t>vial</t>
  </si>
  <si>
    <t>1,800mg once every 2 weeks, week 9 to 24</t>
  </si>
  <si>
    <t>Daratumumab (year 1)</t>
  </si>
  <si>
    <t>1 x 1800mg vial</t>
  </si>
  <si>
    <t>Local input</t>
  </si>
  <si>
    <t>SB12Z Deliver simple parenteral chemotherapy at first Attendance</t>
  </si>
  <si>
    <t>0.06mg/kg day 1</t>
  </si>
  <si>
    <t xml:space="preserve">Teclistamab </t>
  </si>
  <si>
    <t>0.3mg/kg day 3</t>
  </si>
  <si>
    <t>1.5mg/kg weekly day 5 and then weekly</t>
  </si>
  <si>
    <t>Teclistamab</t>
  </si>
  <si>
    <t>1 x 153mg vial</t>
  </si>
  <si>
    <t>1 x 30mg vial</t>
  </si>
  <si>
    <t>People receiving teclistamab</t>
  </si>
  <si>
    <t xml:space="preserve">SA30C </t>
  </si>
  <si>
    <t>SA30C Plasma Cell Disorders with CC Score 5-7</t>
  </si>
  <si>
    <t>SB12Z Deliver simple parenteral chemotherapy at first Attendance (year 1)</t>
  </si>
  <si>
    <t>Adverse event drug costs</t>
  </si>
  <si>
    <t>People receiving tocilizumab</t>
  </si>
  <si>
    <t>People receiving immunoglobin</t>
  </si>
  <si>
    <t>Drugs - resource impact</t>
  </si>
  <si>
    <t xml:space="preserve"> Teclistamab</t>
  </si>
  <si>
    <t xml:space="preserve"> Elranatamab</t>
  </si>
  <si>
    <t xml:space="preserve"> Panobinostat with bortezomib and dexamethasone </t>
  </si>
  <si>
    <t xml:space="preserve"> Pomalidomide plus dexamethasone</t>
  </si>
  <si>
    <t xml:space="preserve"> Daratumumab</t>
  </si>
  <si>
    <t>People receiving teclistamab (SA30C)</t>
  </si>
  <si>
    <t>People receiving teclistamab (SB12Z)</t>
  </si>
  <si>
    <t>People receiving daratumumab (SB12Z)</t>
  </si>
  <si>
    <t>People receiving daratumumab (SB15Z)</t>
  </si>
  <si>
    <t xml:space="preserve">SB12Z Deliver simple parenteral chemotherapy at first Attendance </t>
  </si>
  <si>
    <t>Uptake rate for teclistamab (%)</t>
  </si>
  <si>
    <t>Elranatamab (Year 1)</t>
  </si>
  <si>
    <t>Full blood count - change in number of tests</t>
  </si>
  <si>
    <t>Biochemistry tests - change in number of tests</t>
  </si>
  <si>
    <t>Panobinostat with bortezomib and dexamethasone treatment duration based on expert opinion</t>
  </si>
  <si>
    <t>Total eligible population</t>
  </si>
  <si>
    <t>Uptake estimates</t>
  </si>
  <si>
    <t>Total local cost (£)</t>
  </si>
  <si>
    <t>Population receiving teclistamab each year</t>
  </si>
  <si>
    <t>Cytokine release syndrome critical care episodes (weighted average cost)</t>
  </si>
  <si>
    <t>People receiving elranatamab (recommended for use in the CDF in draft guidance)</t>
  </si>
  <si>
    <t>Elranatamab (recommended for use in the CDF in draft guidance)</t>
  </si>
  <si>
    <t>People receiving elranatamab (recommended for use in CDF in draft guidance)</t>
  </si>
  <si>
    <t>Elranatamab NICE assumption as zero cost for routine commissioning as currently recommended for use in the CDF in draft guidance</t>
  </si>
  <si>
    <t>All treatment options are available with discounts to their list prices that are commercial in confidence.</t>
  </si>
  <si>
    <t xml:space="preserve">Adverse event drug resource impact cash </t>
  </si>
  <si>
    <t>Adverse event drug resource impact per year</t>
  </si>
  <si>
    <t xml:space="preserve">Increase in cost to current practice (4th Line) </t>
  </si>
  <si>
    <t xml:space="preserve">Increase in cost to current practice adverse events (cash) </t>
  </si>
  <si>
    <t>Adverse events increase in cost to current practice</t>
  </si>
  <si>
    <t>Appointments based on clinical expert opinion</t>
  </si>
  <si>
    <t>Treatments for treating relapsed and refractory multiple myeloma after 3 or more treatments</t>
  </si>
  <si>
    <t>https://www.nice.org.uk/guidance/indevelopment/gid-ta10918/documents</t>
  </si>
  <si>
    <t>Published: November 2024</t>
  </si>
  <si>
    <t>Cancer Registration Statistics, England 2021 - NHS Digital C90 Multiple myeloma and malignant plasma cell neoplasms age 20 and over</t>
  </si>
  <si>
    <t>Treatments are available with discounts to their list prices that are commercial in confidence, these should be entered locally</t>
  </si>
  <si>
    <t>https://digital.nhs.uk/data-and-information/publications/statistical/health-survey-for-england/2021/health-survey-for-england-2021-data-tables</t>
  </si>
  <si>
    <t>https://www.ncbi.nlm.nih.gov/pmc/articles/PMC2812484/</t>
  </si>
  <si>
    <t>Payscales</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</si>
  <si>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</si>
  <si>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</si>
  <si>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</si>
  <si>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</si>
  <si>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</si>
  <si>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</si>
  <si>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</si>
  <si>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</si>
  <si>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</si>
  <si>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</si>
  <si>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</si>
  <si>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</si>
  <si>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</si>
  <si>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</si>
  <si>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</si>
  <si>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</si>
  <si>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</si>
  <si>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</si>
  <si>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</si>
  <si>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</si>
  <si>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</si>
  <si>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</si>
  <si>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</si>
  <si>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GP Bottom</t>
  </si>
  <si>
    <t>GP Mid</t>
  </si>
  <si>
    <t>Current practice based on consultant haematologist opinion. Future practice can be amended to reflect local practice</t>
  </si>
  <si>
    <t>Accessed 17.10.24</t>
  </si>
  <si>
    <t>Tocilizumab - two doses</t>
  </si>
  <si>
    <t>Number of 400mg vials required in total</t>
  </si>
  <si>
    <t>Price per 400mg vial</t>
  </si>
  <si>
    <t>Proportion receiving 1 or 2 doses</t>
  </si>
  <si>
    <t>People receiving elranatamab (SB12Z)</t>
  </si>
  <si>
    <t>People receiving teclistamab (SB15Z)</t>
  </si>
  <si>
    <t>Adverse events data costs based on HRG costs</t>
  </si>
  <si>
    <t>(TA1015)</t>
  </si>
  <si>
    <t>Treatments for treating relapsed and refractory multiple</t>
  </si>
  <si>
    <t>myeloma after 3 or more treatments</t>
  </si>
  <si>
    <t>Now incorporates teclistamab for treating relapsed and</t>
  </si>
  <si>
    <t>refractory multiple myeloma after 3 or more treatments</t>
  </si>
  <si>
    <t>Teclistamab (recommended for use in routine commissioning in the NHS)</t>
  </si>
  <si>
    <t>People receiving teclistamab (recommended for use in routine commissioning in the NHS)</t>
  </si>
  <si>
    <t>Teclistamab (Year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</si>
</sst>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_-* #,##0.0_-;\-* #,##0.0_-;_-* &quot;-&quot;??_-;_-@_-"/>
    <numFmt numFmtId="176" formatCode="#,##0_ ;\-#,##0\ "/>
    <numFmt numFmtId="177" formatCode="0.0%"/>
    <numFmt numFmtId="178" formatCode="#,##0.0"/>
  </numFmts>
  <fonts count="83">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11"/>
      <color rgb="FF000000"/>
      <name val="Calibri"/>
      <family val="2"/>
      <scheme val="minor"/>
    </font>
    <font>
      <sz val="7"/>
      <color theme="1"/>
      <name val="Segoe UI"/>
      <family val="2"/>
    </font>
    <font>
      <sz val="11"/>
      <color indexed="81"/>
      <name val="Calibri"/>
      <family val="2"/>
    </font>
    <font>
      <b/>
      <sz val="10"/>
      <name val="Arial"/>
      <family val="2"/>
    </font>
    <font>
      <u/>
      <sz val="10"/>
      <color theme="10"/>
      <name val="Arial"/>
      <family val="2"/>
    </font>
    <font>
      <sz val="10"/>
      <color rgb="FF000000"/>
      <name val="Arial"/>
      <family val="2"/>
    </font>
    <font>
      <b/>
      <sz val="10"/>
      <color rgb="FFFFFFFF"/>
      <name val="Arial"/>
      <family val="2"/>
    </font>
    <font>
      <b/>
      <sz val="11"/>
      <name val="Calibri"/>
      <family val="2"/>
    </font>
    <font>
      <i/>
      <sz val="11"/>
      <name val="Calibri"/>
      <family val="2"/>
      <scheme val="minor"/>
    </font>
    <font>
      <b/>
      <sz val="11"/>
      <color theme="1"/>
      <name val="Aptos Narrow"/>
      <family val="2"/>
    </font>
    <font>
      <b/>
      <sz val="11"/>
      <name val="Aptos Narrow"/>
      <family val="2"/>
    </font>
    <font>
      <b/>
      <sz val="9"/>
      <color indexed="81"/>
      <name val="Tahoma"/>
      <family val="2"/>
    </font>
    <font>
      <sz val="9"/>
      <color indexed="81"/>
      <name val="Tahoma"/>
      <family val="2"/>
    </font>
    <font>
      <b/>
      <sz val="10"/>
      <color rgb="FFFFFFFF"/>
      <name val="Arial"/>
    </font>
    <font>
      <sz val="10"/>
      <color theme="0"/>
      <name val="Arial"/>
    </font>
    <font>
      <sz val="11"/>
      <name val="Arial"/>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FF"/>
        <bgColor rgb="FF000000"/>
      </patternFill>
    </fill>
    <fill>
      <patternFill patternType="solid">
        <fgColor rgb="FFD9D9D9"/>
        <bgColor rgb="FF000000"/>
      </patternFill>
    </fill>
    <fill>
      <patternFill patternType="solid">
        <fgColor theme="0"/>
        <bgColor rgb="FF000000"/>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916">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3"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0" fontId="44" fillId="24" borderId="11" xfId="0" applyFont="1" applyFill="1" applyBorder="1"/>
    <xf numFmtId="165" fontId="44" fillId="24" borderId="11"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0" fontId="46" fillId="25" borderId="0" xfId="82" applyFont="1" applyFill="1" applyAlignment="1">
      <alignment horizontal="left"/>
    </xf>
    <xf numFmtId="0" fontId="46" fillId="0" borderId="0" xfId="82" applyFont="1" applyAlignment="1">
      <alignment vertical="top"/>
    </xf>
    <xf numFmtId="165" fontId="44" fillId="0" borderId="11" xfId="56" applyNumberFormat="1" applyFont="1" applyBorder="1"/>
    <xf numFmtId="0" fontId="0" fillId="0" borderId="20" xfId="0" applyBorder="1"/>
    <xf numFmtId="0" fontId="56" fillId="0" borderId="0" xfId="0" applyFont="1"/>
    <xf numFmtId="0" fontId="46" fillId="0" borderId="11" xfId="82" applyFont="1" applyBorder="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0" borderId="0" xfId="0" applyFont="1" applyFill="1"/>
    <xf numFmtId="0" fontId="39" fillId="43" borderId="17" xfId="0" applyFont="1" applyFill="1" applyBorder="1"/>
    <xf numFmtId="0" fontId="39" fillId="43" borderId="0" xfId="0" applyFont="1" applyFill="1"/>
    <xf numFmtId="0" fontId="39" fillId="41" borderId="17" xfId="0" applyFont="1" applyFill="1" applyBorder="1"/>
    <xf numFmtId="0" fontId="39" fillId="41" borderId="0" xfId="0" applyFont="1" applyFill="1"/>
    <xf numFmtId="0" fontId="39" fillId="44" borderId="17" xfId="0" applyFont="1" applyFill="1" applyBorder="1"/>
    <xf numFmtId="0" fontId="39" fillId="44" borderId="0" xfId="0" applyFont="1" applyFill="1"/>
    <xf numFmtId="0" fontId="39" fillId="42" borderId="17" xfId="0" applyFont="1" applyFill="1" applyBorder="1"/>
    <xf numFmtId="0" fontId="39" fillId="42" borderId="0" xfId="0" applyFont="1" applyFill="1"/>
    <xf numFmtId="0" fontId="39" fillId="31" borderId="17" xfId="0" applyFont="1" applyFill="1" applyBorder="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60"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8" fillId="24" borderId="12" xfId="82" applyFont="1" applyFill="1" applyBorder="1" applyAlignment="1">
      <alignment horizontal="left"/>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0" fillId="0" borderId="12" xfId="0" applyBorder="1" applyAlignment="1">
      <alignment vertical="center" wrapText="1"/>
    </xf>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6"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60"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3" borderId="0" xfId="0" applyFill="1"/>
    <xf numFmtId="0" fontId="0" fillId="41" borderId="0" xfId="0" applyFill="1"/>
    <xf numFmtId="0" fontId="0" fillId="44" borderId="0" xfId="0" applyFill="1"/>
    <xf numFmtId="0" fontId="0" fillId="42" borderId="0" xfId="0" applyFill="1"/>
    <xf numFmtId="0" fontId="0" fillId="31" borderId="0" xfId="0" applyFill="1"/>
    <xf numFmtId="164" fontId="0" fillId="39" borderId="11" xfId="0" applyNumberFormat="1" applyFill="1" applyBorder="1"/>
    <xf numFmtId="165" fontId="0" fillId="0" borderId="11" xfId="0" applyNumberFormat="1" applyBorder="1"/>
    <xf numFmtId="165" fontId="44" fillId="0" borderId="11" xfId="0" applyNumberFormat="1" applyFont="1" applyBorder="1"/>
    <xf numFmtId="0" fontId="44" fillId="0" borderId="12" xfId="82" applyFont="1" applyBorder="1"/>
    <xf numFmtId="0" fontId="0" fillId="40" borderId="0" xfId="0" applyFill="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4" fontId="0" fillId="43" borderId="20" xfId="0" applyNumberFormat="1" applyFill="1" applyBorder="1"/>
    <xf numFmtId="0" fontId="0" fillId="43" borderId="20" xfId="0" applyFill="1" applyBorder="1" applyAlignment="1">
      <alignment horizontal="center"/>
    </xf>
    <xf numFmtId="164" fontId="0" fillId="43" borderId="20" xfId="0" applyNumberFormat="1" applyFill="1" applyBorder="1"/>
    <xf numFmtId="0" fontId="0" fillId="43" borderId="20" xfId="0" applyFill="1" applyBorder="1"/>
    <xf numFmtId="0" fontId="0" fillId="24" borderId="12" xfId="0" applyFill="1" applyBorder="1"/>
    <xf numFmtId="0" fontId="0" fillId="41" borderId="20" xfId="0" applyFill="1" applyBorder="1"/>
    <xf numFmtId="4" fontId="0" fillId="44" borderId="20" xfId="0" applyNumberFormat="1" applyFill="1" applyBorder="1"/>
    <xf numFmtId="0" fontId="0" fillId="44" borderId="20" xfId="0" applyFill="1" applyBorder="1" applyAlignment="1">
      <alignment horizontal="center"/>
    </xf>
    <xf numFmtId="164" fontId="0" fillId="44" borderId="20" xfId="0" applyNumberFormat="1" applyFill="1" applyBorder="1"/>
    <xf numFmtId="0" fontId="0" fillId="44" borderId="20" xfId="0" applyFill="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0" fillId="31" borderId="20"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48" fillId="43" borderId="12" xfId="0" applyFont="1" applyFill="1" applyBorder="1" applyAlignment="1">
      <alignment horizontal="left" vertical="center"/>
    </xf>
    <xf numFmtId="0" fontId="39" fillId="43" borderId="0" xfId="82" applyFont="1" applyFill="1"/>
    <xf numFmtId="0" fontId="48" fillId="44" borderId="12" xfId="0" applyFont="1" applyFill="1" applyBorder="1" applyAlignment="1">
      <alignment horizontal="left" vertical="center"/>
    </xf>
    <xf numFmtId="0" fontId="39" fillId="44" borderId="0" xfId="82" applyFont="1" applyFill="1"/>
    <xf numFmtId="0" fontId="48" fillId="42" borderId="12" xfId="0" applyFont="1" applyFill="1" applyBorder="1" applyAlignment="1">
      <alignment horizontal="left" vertical="center"/>
    </xf>
    <xf numFmtId="0" fontId="39" fillId="42" borderId="0" xfId="82" applyFont="1" applyFill="1"/>
    <xf numFmtId="0" fontId="48" fillId="31" borderId="12" xfId="0" applyFont="1" applyFill="1" applyBorder="1" applyAlignment="1">
      <alignment horizontal="left" vertical="center"/>
    </xf>
    <xf numFmtId="0" fontId="0" fillId="0" borderId="33" xfId="0" applyBorder="1"/>
    <xf numFmtId="0" fontId="0" fillId="45" borderId="0" xfId="0" applyFill="1"/>
    <xf numFmtId="0" fontId="48" fillId="45" borderId="12" xfId="0" applyFont="1" applyFill="1" applyBorder="1" applyAlignment="1">
      <alignment horizontal="left" vertical="center"/>
    </xf>
    <xf numFmtId="4" fontId="0" fillId="45" borderId="20" xfId="0" applyNumberFormat="1" applyFill="1" applyBorder="1"/>
    <xf numFmtId="0" fontId="0" fillId="45" borderId="20" xfId="0" applyFill="1" applyBorder="1" applyAlignment="1">
      <alignment horizontal="center"/>
    </xf>
    <xf numFmtId="164" fontId="0" fillId="45" borderId="20" xfId="0" applyNumberFormat="1" applyFill="1" applyBorder="1"/>
    <xf numFmtId="0" fontId="0" fillId="45" borderId="20" xfId="0" applyFill="1" applyBorder="1"/>
    <xf numFmtId="0" fontId="39" fillId="45" borderId="17" xfId="0" applyFont="1" applyFill="1" applyBorder="1"/>
    <xf numFmtId="168" fontId="2" fillId="0" borderId="0" xfId="82" applyNumberFormat="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9"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61" fillId="0" borderId="0" xfId="0" applyFont="1" applyAlignment="1">
      <alignment vertical="center"/>
    </xf>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28" fillId="0" borderId="11" xfId="72" applyBorder="1" applyAlignment="1" applyProtection="1"/>
    <xf numFmtId="0" fontId="0" fillId="0" borderId="0" xfId="0" applyAlignment="1">
      <alignment horizontal="right" vertical="center"/>
    </xf>
    <xf numFmtId="0" fontId="28" fillId="0" borderId="0" xfId="72" applyAlignment="1" applyProtection="1"/>
    <xf numFmtId="0" fontId="48" fillId="24" borderId="17" xfId="0" applyFont="1" applyFill="1" applyBorder="1" applyAlignment="1">
      <alignment horizontal="right"/>
    </xf>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0" fillId="44" borderId="17" xfId="0" applyFill="1" applyBorder="1"/>
    <xf numFmtId="0" fontId="0" fillId="31" borderId="11" xfId="0" applyFill="1" applyBorder="1" applyAlignment="1">
      <alignment horizontal="center" wrapText="1"/>
    </xf>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4" fillId="39" borderId="11" xfId="0" applyFont="1" applyFill="1" applyBorder="1" applyAlignment="1">
      <alignment horizontal="center" vertical="center" wrapText="1"/>
    </xf>
    <xf numFmtId="0" fontId="64" fillId="0" borderId="0" xfId="0" applyFont="1" applyAlignment="1">
      <alignment horizontal="center" vertical="center"/>
    </xf>
    <xf numFmtId="0" fontId="65" fillId="46"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9"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6" fillId="37" borderId="20" xfId="0" applyFont="1" applyFill="1" applyBorder="1" applyAlignment="1">
      <alignment horizontal="left"/>
    </xf>
    <xf numFmtId="0" fontId="0" fillId="41" borderId="17" xfId="0" applyFill="1" applyBorder="1"/>
    <xf numFmtId="0" fontId="0" fillId="45" borderId="17" xfId="0" applyFill="1" applyBorder="1"/>
    <xf numFmtId="0" fontId="44" fillId="40" borderId="20" xfId="0" applyFont="1" applyFill="1" applyBorder="1" applyAlignment="1">
      <alignment horizontal="left"/>
    </xf>
    <xf numFmtId="0" fontId="39" fillId="40" borderId="20" xfId="0" applyFont="1" applyFill="1" applyBorder="1"/>
    <xf numFmtId="0" fontId="44" fillId="43" borderId="12" xfId="0" applyFont="1" applyFill="1" applyBorder="1" applyAlignment="1">
      <alignment horizontal="left"/>
    </xf>
    <xf numFmtId="0" fontId="39" fillId="43" borderId="20" xfId="0" applyFont="1" applyFill="1" applyBorder="1"/>
    <xf numFmtId="0" fontId="44" fillId="43" borderId="12" xfId="0" applyFont="1" applyFill="1" applyBorder="1" applyAlignment="1">
      <alignment horizontal="left" wrapText="1"/>
    </xf>
    <xf numFmtId="0" fontId="44" fillId="44" borderId="12" xfId="0" applyFont="1" applyFill="1" applyBorder="1" applyAlignment="1">
      <alignment horizontal="left"/>
    </xf>
    <xf numFmtId="0" fontId="39" fillId="44" borderId="20" xfId="0" applyFont="1" applyFill="1" applyBorder="1"/>
    <xf numFmtId="0" fontId="44" fillId="41" borderId="12" xfId="0" applyFont="1" applyFill="1" applyBorder="1" applyAlignment="1">
      <alignment horizontal="left"/>
    </xf>
    <xf numFmtId="0" fontId="39" fillId="41" borderId="20" xfId="0" applyFont="1" applyFill="1" applyBorder="1"/>
    <xf numFmtId="0" fontId="44" fillId="45" borderId="12" xfId="0" applyFont="1" applyFill="1" applyBorder="1" applyAlignment="1">
      <alignment horizontal="left"/>
    </xf>
    <xf numFmtId="0" fontId="39" fillId="45" borderId="20" xfId="0" applyFont="1" applyFill="1" applyBorder="1"/>
    <xf numFmtId="0" fontId="44" fillId="42" borderId="12" xfId="0" applyFont="1" applyFill="1" applyBorder="1" applyAlignment="1">
      <alignment horizontal="left"/>
    </xf>
    <xf numFmtId="0" fontId="39" fillId="42" borderId="20" xfId="0" applyFont="1" applyFill="1" applyBorder="1"/>
    <xf numFmtId="0" fontId="44" fillId="31" borderId="12" xfId="0" applyFont="1" applyFill="1" applyBorder="1" applyAlignment="1">
      <alignment horizontal="left"/>
    </xf>
    <xf numFmtId="0" fontId="39" fillId="3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3" xfId="0" applyFill="1" applyBorder="1"/>
    <xf numFmtId="0" fontId="44" fillId="24" borderId="13" xfId="0" applyFont="1" applyFill="1" applyBorder="1"/>
    <xf numFmtId="0" fontId="39" fillId="45"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3" borderId="11" xfId="0" applyFill="1" applyBorder="1" applyAlignment="1">
      <alignment horizontal="center"/>
    </xf>
    <xf numFmtId="0" fontId="0" fillId="44" borderId="11" xfId="0" applyFill="1" applyBorder="1" applyAlignment="1">
      <alignment horizontal="center"/>
    </xf>
    <xf numFmtId="0" fontId="44" fillId="24" borderId="11" xfId="0" applyFont="1" applyFill="1" applyBorder="1" applyAlignment="1">
      <alignment horizontal="center" wrapText="1"/>
    </xf>
    <xf numFmtId="0" fontId="0" fillId="45" borderId="11" xfId="0" applyFill="1" applyBorder="1" applyAlignment="1">
      <alignment horizontal="center"/>
    </xf>
    <xf numFmtId="0" fontId="0" fillId="41" borderId="11" xfId="0" applyFill="1" applyBorder="1" applyAlignment="1">
      <alignment horizontal="center"/>
    </xf>
    <xf numFmtId="2" fontId="0" fillId="42" borderId="11" xfId="0" applyNumberFormat="1" applyFill="1" applyBorder="1" applyAlignment="1">
      <alignment horizontal="center"/>
    </xf>
    <xf numFmtId="0" fontId="29" fillId="29" borderId="11" xfId="0" applyFont="1" applyFill="1" applyBorder="1" applyAlignment="1">
      <alignment horizontal="center" wrapText="1"/>
    </xf>
    <xf numFmtId="0" fontId="39" fillId="24" borderId="11" xfId="0" applyFont="1" applyFill="1" applyBorder="1"/>
    <xf numFmtId="3" fontId="0" fillId="40" borderId="11" xfId="0" applyNumberFormat="1" applyFill="1" applyBorder="1"/>
    <xf numFmtId="3" fontId="0" fillId="40" borderId="17" xfId="0" applyNumberFormat="1" applyFill="1" applyBorder="1"/>
    <xf numFmtId="3" fontId="0" fillId="43" borderId="11" xfId="0" applyNumberFormat="1" applyFill="1" applyBorder="1"/>
    <xf numFmtId="3" fontId="0" fillId="43" borderId="17" xfId="0" applyNumberFormat="1" applyFill="1" applyBorder="1"/>
    <xf numFmtId="3" fontId="0" fillId="44" borderId="11" xfId="0" applyNumberFormat="1" applyFill="1" applyBorder="1"/>
    <xf numFmtId="0" fontId="39" fillId="37" borderId="33"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3" fontId="0" fillId="45" borderId="11" xfId="0" applyNumberFormat="1" applyFill="1" applyBorder="1"/>
    <xf numFmtId="3" fontId="0" fillId="42" borderId="11" xfId="0" applyNumberFormat="1" applyFill="1" applyBorder="1"/>
    <xf numFmtId="3" fontId="0" fillId="31" borderId="11" xfId="0" applyNumberFormat="1" applyFill="1" applyBorder="1"/>
    <xf numFmtId="0" fontId="39" fillId="40" borderId="14" xfId="0" applyFont="1" applyFill="1" applyBorder="1"/>
    <xf numFmtId="0" fontId="39" fillId="43" borderId="10" xfId="0" applyFont="1" applyFill="1" applyBorder="1"/>
    <xf numFmtId="0" fontId="39" fillId="43" borderId="14" xfId="0" applyFont="1" applyFill="1" applyBorder="1"/>
    <xf numFmtId="0" fontId="39" fillId="42" borderId="10" xfId="0" applyFont="1" applyFill="1" applyBorder="1"/>
    <xf numFmtId="0" fontId="0" fillId="31" borderId="17" xfId="0" applyFill="1" applyBorder="1"/>
    <xf numFmtId="0" fontId="0" fillId="43" borderId="14" xfId="0" applyFill="1" applyBorder="1"/>
    <xf numFmtId="0" fontId="39" fillId="45" borderId="10" xfId="0" applyFont="1" applyFill="1" applyBorder="1"/>
    <xf numFmtId="0" fontId="0" fillId="42" borderId="17" xfId="0" applyFill="1" applyBorder="1"/>
    <xf numFmtId="0" fontId="39" fillId="31" borderId="0" xfId="0" applyFont="1" applyFill="1"/>
    <xf numFmtId="0" fontId="39" fillId="31" borderId="10" xfId="0" applyFont="1" applyFill="1" applyBorder="1"/>
    <xf numFmtId="0" fontId="0" fillId="31"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9" fillId="24" borderId="20" xfId="0" applyFont="1" applyFill="1" applyBorder="1"/>
    <xf numFmtId="0" fontId="0" fillId="40" borderId="12" xfId="0" applyFill="1" applyBorder="1" applyAlignment="1">
      <alignment wrapText="1"/>
    </xf>
    <xf numFmtId="0" fontId="0" fillId="43" borderId="12" xfId="0" applyFill="1" applyBorder="1" applyAlignment="1">
      <alignment wrapText="1"/>
    </xf>
    <xf numFmtId="0" fontId="0" fillId="44" borderId="12" xfId="0" applyFill="1" applyBorder="1" applyAlignment="1">
      <alignment wrapText="1"/>
    </xf>
    <xf numFmtId="0" fontId="0" fillId="41" borderId="12" xfId="0" applyFill="1" applyBorder="1" applyAlignment="1">
      <alignment wrapText="1"/>
    </xf>
    <xf numFmtId="0" fontId="0" fillId="45" borderId="12" xfId="0" applyFill="1" applyBorder="1" applyAlignment="1">
      <alignment wrapText="1"/>
    </xf>
    <xf numFmtId="0" fontId="0" fillId="42" borderId="12" xfId="0" applyFill="1" applyBorder="1" applyAlignment="1">
      <alignment wrapText="1"/>
    </xf>
    <xf numFmtId="0" fontId="46" fillId="31" borderId="12" xfId="82" applyFont="1" applyFill="1" applyBorder="1"/>
    <xf numFmtId="3" fontId="44" fillId="43" borderId="17" xfId="0" applyNumberFormat="1" applyFont="1" applyFill="1" applyBorder="1"/>
    <xf numFmtId="3" fontId="44" fillId="44" borderId="17" xfId="0" applyNumberFormat="1" applyFont="1" applyFill="1" applyBorder="1"/>
    <xf numFmtId="3" fontId="44" fillId="45" borderId="17" xfId="0" applyNumberFormat="1" applyFont="1" applyFill="1" applyBorder="1"/>
    <xf numFmtId="3" fontId="44" fillId="42" borderId="17" xfId="0" applyNumberFormat="1" applyFont="1" applyFill="1" applyBorder="1"/>
    <xf numFmtId="0" fontId="6" fillId="24" borderId="20" xfId="82" applyFont="1" applyFill="1" applyBorder="1" applyAlignment="1">
      <alignment horizontal="left"/>
    </xf>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48" fillId="0" borderId="0" xfId="82" applyFont="1" applyAlignment="1">
      <alignment horizontal="left"/>
    </xf>
    <xf numFmtId="0" fontId="48" fillId="24" borderId="11" xfId="82" applyFont="1" applyFill="1" applyBorder="1" applyAlignment="1">
      <alignment horizontal="left"/>
    </xf>
    <xf numFmtId="0" fontId="6" fillId="25" borderId="0" xfId="82" applyFont="1" applyFill="1"/>
    <xf numFmtId="0" fontId="48" fillId="24" borderId="20" xfId="82" applyFont="1" applyFill="1" applyBorder="1" applyAlignment="1">
      <alignment horizontal="center"/>
    </xf>
    <xf numFmtId="0" fontId="48" fillId="24" borderId="20" xfId="82" applyFont="1" applyFill="1" applyBorder="1" applyAlignment="1">
      <alignment horizontal="left"/>
    </xf>
    <xf numFmtId="0" fontId="48" fillId="0" borderId="11" xfId="0" applyFont="1" applyBorder="1" applyAlignment="1">
      <alignment horizontal="left"/>
    </xf>
    <xf numFmtId="0" fontId="64" fillId="39" borderId="11" xfId="0" applyFont="1" applyFill="1" applyBorder="1" applyAlignment="1">
      <alignment horizontal="center" vertical="center"/>
    </xf>
    <xf numFmtId="0" fontId="0" fillId="0" borderId="34"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4" fillId="24" borderId="0" xfId="0" applyFont="1" applyFill="1" applyAlignment="1">
      <alignment horizontal="center" vertical="center"/>
    </xf>
    <xf numFmtId="0" fontId="64"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4" fillId="24" borderId="14" xfId="0" applyFont="1" applyFill="1" applyBorder="1" applyAlignment="1">
      <alignment horizontal="center" vertical="center"/>
    </xf>
    <xf numFmtId="0" fontId="27" fillId="24" borderId="14" xfId="0" applyFont="1" applyFill="1" applyBorder="1"/>
    <xf numFmtId="0" fontId="0" fillId="24" borderId="34"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0" fontId="6" fillId="24" borderId="15" xfId="82" applyFont="1" applyFill="1" applyBorder="1"/>
    <xf numFmtId="0" fontId="6" fillId="24" borderId="16" xfId="82" applyFont="1" applyFill="1" applyBorder="1"/>
    <xf numFmtId="0" fontId="46" fillId="24" borderId="16" xfId="82" applyFont="1" applyFill="1" applyBorder="1" applyAlignment="1">
      <alignment horizontal="center"/>
    </xf>
    <xf numFmtId="3" fontId="0" fillId="0" borderId="0" xfId="0" applyNumberFormat="1" applyAlignment="1">
      <alignment horizontal="right"/>
    </xf>
    <xf numFmtId="170" fontId="46" fillId="0" borderId="11" xfId="82" applyNumberFormat="1" applyFont="1" applyBorder="1"/>
    <xf numFmtId="0" fontId="0" fillId="25" borderId="0" xfId="0" applyFill="1"/>
    <xf numFmtId="9" fontId="0" fillId="0" borderId="11" xfId="0" applyNumberFormat="1" applyBorder="1"/>
    <xf numFmtId="9" fontId="27" fillId="0" borderId="11" xfId="92" applyFont="1" applyFill="1" applyBorder="1" applyAlignment="1" applyProtection="1">
      <alignment horizontal="right" vertical="center"/>
      <protection locked="0"/>
    </xf>
    <xf numFmtId="170"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70" fontId="46" fillId="0" borderId="29" xfId="82" applyNumberFormat="1" applyFont="1" applyBorder="1"/>
    <xf numFmtId="170"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68"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0" fontId="29" fillId="47" borderId="11" xfId="0" applyFont="1" applyFill="1" applyBorder="1" applyAlignment="1">
      <alignment horizontal="left"/>
    </xf>
    <xf numFmtId="10" fontId="29" fillId="47"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10" fontId="29" fillId="47" borderId="11" xfId="0" applyNumberFormat="1" applyFont="1" applyFill="1" applyBorder="1"/>
    <xf numFmtId="171" fontId="29" fillId="47" borderId="11" xfId="0" applyNumberFormat="1" applyFont="1" applyFill="1" applyBorder="1" applyAlignment="1">
      <alignment horizontal="center"/>
    </xf>
    <xf numFmtId="0" fontId="29" fillId="47" borderId="0" xfId="0" applyFont="1" applyFill="1" applyAlignment="1">
      <alignment horizontal="left"/>
    </xf>
    <xf numFmtId="0" fontId="29" fillId="26" borderId="33" xfId="0" applyFont="1" applyFill="1" applyBorder="1" applyAlignment="1">
      <alignment horizontal="left"/>
    </xf>
    <xf numFmtId="0" fontId="29" fillId="26" borderId="33" xfId="0" applyFont="1" applyFill="1" applyBorder="1"/>
    <xf numFmtId="0" fontId="32" fillId="30" borderId="33" xfId="0" applyFont="1" applyFill="1" applyBorder="1" applyAlignment="1">
      <alignment vertical="center" wrapText="1"/>
    </xf>
    <xf numFmtId="0" fontId="32" fillId="27" borderId="33" xfId="0" applyFont="1" applyFill="1" applyBorder="1"/>
    <xf numFmtId="0" fontId="29" fillId="0" borderId="33" xfId="0" applyFont="1" applyBorder="1"/>
    <xf numFmtId="3" fontId="32" fillId="0" borderId="33" xfId="0" applyNumberFormat="1" applyFont="1" applyBorder="1"/>
    <xf numFmtId="3" fontId="7" fillId="0" borderId="33" xfId="0" applyNumberFormat="1" applyFont="1" applyBorder="1"/>
    <xf numFmtId="3" fontId="29" fillId="0" borderId="33" xfId="0" applyNumberFormat="1" applyFont="1" applyBorder="1"/>
    <xf numFmtId="3" fontId="6" fillId="0" borderId="33" xfId="0" applyNumberFormat="1" applyFont="1" applyBorder="1"/>
    <xf numFmtId="0" fontId="6" fillId="0" borderId="33" xfId="0" applyFont="1" applyBorder="1"/>
    <xf numFmtId="0" fontId="0" fillId="24" borderId="21" xfId="0" applyFill="1" applyBorder="1" applyAlignment="1">
      <alignment horizontal="center" wrapText="1"/>
    </xf>
    <xf numFmtId="0" fontId="44" fillId="43" borderId="21" xfId="0" applyFont="1" applyFill="1" applyBorder="1"/>
    <xf numFmtId="0" fontId="0" fillId="44" borderId="21" xfId="0" applyFill="1" applyBorder="1"/>
    <xf numFmtId="0" fontId="0" fillId="45" borderId="21" xfId="0" applyFill="1" applyBorder="1"/>
    <xf numFmtId="0" fontId="0" fillId="42" borderId="21" xfId="0" applyFill="1" applyBorder="1"/>
    <xf numFmtId="0" fontId="0" fillId="31" borderId="21" xfId="0" applyFill="1" applyBorder="1"/>
    <xf numFmtId="0" fontId="44" fillId="40" borderId="21" xfId="0" applyFont="1" applyFill="1" applyBorder="1"/>
    <xf numFmtId="0" fontId="44" fillId="0" borderId="33" xfId="0" applyFont="1" applyBorder="1" applyAlignment="1">
      <alignment horizontal="right"/>
    </xf>
    <xf numFmtId="170" fontId="48" fillId="0" borderId="14" xfId="82" applyNumberFormat="1" applyFont="1" applyBorder="1"/>
    <xf numFmtId="170" fontId="46" fillId="0" borderId="14" xfId="82" applyNumberFormat="1" applyFont="1" applyBorder="1"/>
    <xf numFmtId="9" fontId="0" fillId="0" borderId="0" xfId="0" applyNumberFormat="1"/>
    <xf numFmtId="0" fontId="4" fillId="0" borderId="10" xfId="0" applyFont="1" applyBorder="1" applyAlignment="1">
      <alignment vertical="center"/>
    </xf>
    <xf numFmtId="170" fontId="46" fillId="0" borderId="15" xfId="82" applyNumberFormat="1" applyFont="1" applyBorder="1"/>
    <xf numFmtId="10" fontId="0" fillId="0" borderId="0" xfId="92" applyNumberFormat="1" applyFont="1" applyFill="1" applyBorder="1"/>
    <xf numFmtId="0" fontId="28" fillId="0" borderId="0" xfId="72" applyBorder="1" applyAlignment="1" applyProtection="1"/>
    <xf numFmtId="0" fontId="50" fillId="0" borderId="14" xfId="0" applyFont="1" applyBorder="1"/>
    <xf numFmtId="166" fontId="50" fillId="0" borderId="0" xfId="56" applyNumberFormat="1" applyFont="1" applyFill="1" applyBorder="1" applyAlignment="1">
      <alignment horizontal="left"/>
    </xf>
    <xf numFmtId="0" fontId="0" fillId="0" borderId="0" xfId="0" applyAlignment="1">
      <alignment horizontal="center" wrapText="1"/>
    </xf>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1" fontId="29" fillId="47"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1" fontId="0" fillId="0" borderId="12" xfId="92" applyNumberFormat="1" applyFont="1" applyFill="1" applyBorder="1"/>
    <xf numFmtId="171" fontId="44" fillId="0" borderId="11" xfId="93" applyNumberFormat="1" applyFont="1" applyFill="1" applyBorder="1"/>
    <xf numFmtId="174" fontId="6" fillId="47"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1" fontId="29" fillId="45" borderId="11" xfId="0" applyNumberFormat="1" applyFont="1" applyFill="1" applyBorder="1" applyAlignment="1">
      <alignment horizontal="center"/>
    </xf>
    <xf numFmtId="0" fontId="29" fillId="45" borderId="0" xfId="0" applyFont="1" applyFill="1" applyAlignment="1">
      <alignment horizontal="center"/>
    </xf>
    <xf numFmtId="0" fontId="29" fillId="24" borderId="11" xfId="0" applyFont="1" applyFill="1" applyBorder="1" applyAlignment="1">
      <alignment horizontal="center" wrapText="1"/>
    </xf>
    <xf numFmtId="0" fontId="29" fillId="45"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0" fillId="0" borderId="15" xfId="0" applyBorder="1"/>
    <xf numFmtId="0" fontId="0" fillId="0" borderId="11" xfId="0" applyBorder="1" applyAlignment="1">
      <alignment horizontal="center" vertical="center"/>
    </xf>
    <xf numFmtId="0" fontId="0" fillId="0" borderId="20" xfId="0" applyBorder="1" applyAlignment="1">
      <alignment horizontal="center" vertical="center" wrapText="1"/>
    </xf>
    <xf numFmtId="168" fontId="6" fillId="0" borderId="0" xfId="82" applyNumberFormat="1" applyFont="1"/>
    <xf numFmtId="166" fontId="46" fillId="39" borderId="11" xfId="56" applyNumberFormat="1" applyFont="1" applyFill="1" applyBorder="1" applyAlignment="1" applyProtection="1">
      <alignment horizontal="center"/>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0" fontId="46" fillId="24" borderId="19" xfId="82" applyFont="1" applyFill="1" applyBorder="1" applyAlignment="1">
      <alignment horizontal="center"/>
    </xf>
    <xf numFmtId="10" fontId="46" fillId="39" borderId="11" xfId="92" applyNumberFormat="1" applyFont="1" applyFill="1" applyBorder="1" applyProtection="1">
      <protection locked="0"/>
    </xf>
    <xf numFmtId="165" fontId="46" fillId="39" borderId="12" xfId="82" applyNumberFormat="1" applyFont="1" applyFill="1" applyBorder="1" applyProtection="1">
      <protection locked="0"/>
    </xf>
    <xf numFmtId="168" fontId="46" fillId="39" borderId="11" xfId="82" applyNumberFormat="1" applyFont="1" applyFill="1" applyBorder="1" applyProtection="1">
      <protection locked="0"/>
    </xf>
    <xf numFmtId="10" fontId="48" fillId="0" borderId="0" xfId="92" applyNumberFormat="1" applyFont="1" applyFill="1" applyBorder="1" applyProtection="1">
      <protection locked="0"/>
    </xf>
    <xf numFmtId="165" fontId="48" fillId="0" borderId="0" xfId="82" applyNumberFormat="1" applyFont="1"/>
    <xf numFmtId="9" fontId="2" fillId="24" borderId="0" xfId="92" applyFont="1" applyFill="1"/>
    <xf numFmtId="0" fontId="44" fillId="0" borderId="17" xfId="0" applyFont="1" applyBorder="1" applyAlignment="1">
      <alignment wrapText="1"/>
    </xf>
    <xf numFmtId="0" fontId="0" fillId="0" borderId="17" xfId="0" applyBorder="1" applyAlignment="1">
      <alignment vertical="center" wrapText="1"/>
    </xf>
    <xf numFmtId="9" fontId="0" fillId="0" borderId="11" xfId="92" applyFont="1" applyBorder="1"/>
    <xf numFmtId="3" fontId="46" fillId="0" borderId="0" xfId="0" applyNumberFormat="1" applyFont="1"/>
    <xf numFmtId="0" fontId="48" fillId="0" borderId="0" xfId="0" applyFont="1" applyAlignment="1">
      <alignment horizontal="left"/>
    </xf>
    <xf numFmtId="0" fontId="0" fillId="39" borderId="11" xfId="0" applyFill="1" applyBorder="1" applyAlignment="1" applyProtection="1">
      <alignment horizontal="right"/>
      <protection locked="0"/>
    </xf>
    <xf numFmtId="0" fontId="46" fillId="0" borderId="21" xfId="0" applyFont="1" applyBorder="1" applyAlignment="1">
      <alignment horizontal="left" vertical="center"/>
    </xf>
    <xf numFmtId="3" fontId="0" fillId="0" borderId="12" xfId="0" applyNumberFormat="1" applyBorder="1" applyAlignment="1">
      <alignment horizontal="right"/>
    </xf>
    <xf numFmtId="0" fontId="46" fillId="0" borderId="33" xfId="0" applyFont="1" applyBorder="1" applyAlignment="1">
      <alignment horizontal="left"/>
    </xf>
    <xf numFmtId="0" fontId="46" fillId="0" borderId="21" xfId="0" applyFont="1" applyBorder="1" applyAlignment="1">
      <alignment horizontal="left"/>
    </xf>
    <xf numFmtId="3" fontId="44" fillId="0" borderId="12" xfId="0" applyNumberFormat="1" applyFont="1" applyBorder="1" applyAlignment="1">
      <alignment horizontal="right"/>
    </xf>
    <xf numFmtId="165" fontId="27" fillId="0" borderId="10" xfId="0" applyNumberFormat="1" applyFont="1" applyBorder="1"/>
    <xf numFmtId="1" fontId="0" fillId="0" borderId="11" xfId="0" applyNumberFormat="1" applyBorder="1"/>
    <xf numFmtId="0" fontId="0" fillId="0" borderId="17" xfId="0" applyBorder="1" applyAlignment="1">
      <alignment horizontal="left"/>
    </xf>
    <xf numFmtId="0" fontId="0" fillId="0" borderId="17" xfId="0" applyBorder="1" applyAlignment="1">
      <alignment horizontal="left" vertical="center"/>
    </xf>
    <xf numFmtId="0" fontId="48" fillId="41" borderId="12" xfId="0" applyFont="1" applyFill="1" applyBorder="1" applyAlignment="1">
      <alignment horizontal="left" vertical="center"/>
    </xf>
    <xf numFmtId="0" fontId="0" fillId="41" borderId="20" xfId="0" applyFill="1" applyBorder="1" applyAlignment="1">
      <alignment horizontal="center"/>
    </xf>
    <xf numFmtId="164" fontId="0" fillId="41" borderId="20" xfId="0" applyNumberFormat="1" applyFill="1" applyBorder="1"/>
    <xf numFmtId="165" fontId="44" fillId="0" borderId="20" xfId="0" applyNumberFormat="1" applyFont="1" applyBorder="1"/>
    <xf numFmtId="43" fontId="46" fillId="0" borderId="0" xfId="56" applyFont="1"/>
    <xf numFmtId="0" fontId="58" fillId="0" borderId="20" xfId="72" applyFont="1" applyFill="1" applyBorder="1" applyAlignment="1" applyProtection="1">
      <alignment horizontal="left" vertical="center"/>
    </xf>
    <xf numFmtId="0" fontId="48" fillId="0" borderId="13" xfId="0" applyFont="1" applyBorder="1"/>
    <xf numFmtId="0" fontId="0" fillId="0" borderId="16" xfId="0" applyBorder="1"/>
    <xf numFmtId="169" fontId="0" fillId="39" borderId="11" xfId="0" applyNumberFormat="1" applyFill="1" applyBorder="1" applyProtection="1">
      <protection locked="0"/>
    </xf>
    <xf numFmtId="0" fontId="0" fillId="39" borderId="11" xfId="0" applyFill="1" applyBorder="1" applyProtection="1">
      <protection locked="0"/>
    </xf>
    <xf numFmtId="1" fontId="0" fillId="39" borderId="11" xfId="0" applyNumberFormat="1" applyFill="1" applyBorder="1" applyProtection="1">
      <protection locked="0"/>
    </xf>
    <xf numFmtId="0" fontId="2" fillId="24" borderId="0" xfId="87" applyFont="1" applyFill="1" applyAlignment="1">
      <alignment horizontal="left"/>
    </xf>
    <xf numFmtId="0" fontId="70" fillId="24" borderId="0" xfId="0" applyFont="1" applyFill="1" applyAlignment="1">
      <alignment horizontal="left"/>
    </xf>
    <xf numFmtId="0" fontId="71" fillId="24" borderId="0" xfId="72" applyFont="1" applyFill="1" applyBorder="1" applyAlignment="1" applyProtection="1">
      <alignment horizontal="left"/>
    </xf>
    <xf numFmtId="0" fontId="70" fillId="24" borderId="0" xfId="72" applyFont="1" applyFill="1" applyBorder="1" applyAlignment="1" applyProtection="1">
      <alignment horizontal="left"/>
    </xf>
    <xf numFmtId="0" fontId="2" fillId="24" borderId="0" xfId="72" applyFont="1" applyFill="1" applyBorder="1" applyAlignment="1" applyProtection="1">
      <alignment horizontal="left"/>
    </xf>
    <xf numFmtId="0" fontId="70" fillId="24" borderId="0" xfId="82" applyFont="1" applyFill="1" applyAlignment="1">
      <alignment horizontal="left"/>
    </xf>
    <xf numFmtId="0" fontId="71" fillId="24" borderId="0" xfId="72" applyFont="1" applyFill="1" applyBorder="1" applyAlignment="1" applyProtection="1"/>
    <xf numFmtId="0" fontId="72" fillId="24" borderId="0" xfId="0" applyFont="1" applyFill="1"/>
    <xf numFmtId="0" fontId="70" fillId="24" borderId="0" xfId="105" applyFont="1" applyFill="1"/>
    <xf numFmtId="0" fontId="0" fillId="0" borderId="0" xfId="82" applyFont="1" applyAlignment="1">
      <alignment vertical="top"/>
    </xf>
    <xf numFmtId="4" fontId="0" fillId="41" borderId="0" xfId="0" applyNumberFormat="1" applyFill="1"/>
    <xf numFmtId="0" fontId="0" fillId="41" borderId="0" xfId="0" applyFill="1" applyAlignment="1">
      <alignment horizontal="center"/>
    </xf>
    <xf numFmtId="164" fontId="0" fillId="41" borderId="0" xfId="0" applyNumberFormat="1" applyFill="1"/>
    <xf numFmtId="0" fontId="0" fillId="41" borderId="18" xfId="0" applyFill="1" applyBorder="1"/>
    <xf numFmtId="0" fontId="44" fillId="41" borderId="20" xfId="0" applyFont="1" applyFill="1" applyBorder="1" applyAlignment="1">
      <alignment horizontal="left"/>
    </xf>
    <xf numFmtId="0" fontId="46" fillId="41" borderId="0" xfId="0" applyFont="1" applyFill="1" applyAlignment="1">
      <alignment horizontal="left" vertical="center"/>
    </xf>
    <xf numFmtId="0" fontId="48" fillId="41" borderId="0" xfId="0" applyFont="1" applyFill="1" applyAlignment="1">
      <alignment horizontal="right" vertical="center"/>
    </xf>
    <xf numFmtId="3" fontId="44" fillId="41" borderId="0" xfId="0" applyNumberFormat="1" applyFont="1" applyFill="1"/>
    <xf numFmtId="0" fontId="39" fillId="41" borderId="14" xfId="0" applyFont="1" applyFill="1" applyBorder="1"/>
    <xf numFmtId="0" fontId="0" fillId="41" borderId="12" xfId="0" applyFill="1" applyBorder="1"/>
    <xf numFmtId="4" fontId="0" fillId="41" borderId="20" xfId="0" applyNumberFormat="1" applyFill="1" applyBorder="1"/>
    <xf numFmtId="0" fontId="0" fillId="41" borderId="14" xfId="0" applyFill="1" applyBorder="1"/>
    <xf numFmtId="0" fontId="46" fillId="24" borderId="11" xfId="0" applyFont="1" applyFill="1" applyBorder="1" applyAlignment="1">
      <alignment horizontal="center" wrapText="1"/>
    </xf>
    <xf numFmtId="164" fontId="46" fillId="0" borderId="11" xfId="0" applyNumberFormat="1" applyFont="1" applyBorder="1"/>
    <xf numFmtId="165" fontId="46" fillId="0" borderId="11" xfId="0" applyNumberFormat="1" applyFont="1" applyBorder="1"/>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3" fontId="44" fillId="39" borderId="11" xfId="0" applyNumberFormat="1" applyFont="1" applyFill="1" applyBorder="1" applyProtection="1">
      <protection locked="0"/>
    </xf>
    <xf numFmtId="166" fontId="27" fillId="39" borderId="11" xfId="56" applyNumberFormat="1" applyFont="1" applyFill="1" applyBorder="1" applyAlignment="1" applyProtection="1">
      <alignment horizontal="right"/>
      <protection locked="0"/>
    </xf>
    <xf numFmtId="164" fontId="58" fillId="39" borderId="11" xfId="82" applyNumberFormat="1" applyFont="1" applyFill="1" applyBorder="1" applyProtection="1">
      <protection locked="0"/>
    </xf>
    <xf numFmtId="9" fontId="58" fillId="39" borderId="11" xfId="92" applyFont="1" applyFill="1" applyBorder="1" applyProtection="1">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1" fontId="46" fillId="39" borderId="11" xfId="82" applyNumberFormat="1" applyFont="1" applyFill="1" applyBorder="1" applyProtection="1">
      <protection locked="0"/>
    </xf>
    <xf numFmtId="164" fontId="46" fillId="39" borderId="12" xfId="82" applyNumberFormat="1" applyFont="1" applyFill="1" applyBorder="1" applyProtection="1">
      <protection locked="0"/>
    </xf>
    <xf numFmtId="175" fontId="46" fillId="39" borderId="11" xfId="56" applyNumberFormat="1" applyFont="1" applyFill="1" applyBorder="1" applyProtection="1">
      <protection locked="0"/>
    </xf>
    <xf numFmtId="0" fontId="48" fillId="39" borderId="11" xfId="82" applyFont="1" applyFill="1" applyBorder="1" applyProtection="1">
      <protection locked="0"/>
    </xf>
    <xf numFmtId="166" fontId="46" fillId="39" borderId="12" xfId="56" applyNumberFormat="1" applyFont="1" applyFill="1" applyBorder="1" applyAlignment="1" applyProtection="1">
      <alignment horizontal="center"/>
      <protection locked="0"/>
    </xf>
    <xf numFmtId="0" fontId="58" fillId="39" borderId="11" xfId="82" applyFont="1" applyFill="1" applyBorder="1" applyProtection="1">
      <protection locked="0"/>
    </xf>
    <xf numFmtId="0" fontId="4" fillId="25" borderId="0" xfId="0" applyFont="1" applyFill="1" applyAlignment="1">
      <alignment vertical="center"/>
    </xf>
    <xf numFmtId="10" fontId="0" fillId="0" borderId="11" xfId="92" applyNumberFormat="1" applyFont="1" applyFill="1" applyBorder="1" applyAlignment="1">
      <alignment horizontal="center" vertical="center" wrapText="1"/>
    </xf>
    <xf numFmtId="0" fontId="0" fillId="0" borderId="12" xfId="0" applyBorder="1" applyAlignment="1">
      <alignment horizontal="left" vertical="center" wrapText="1"/>
    </xf>
    <xf numFmtId="2" fontId="0" fillId="0" borderId="10" xfId="0" applyNumberFormat="1" applyBorder="1" applyAlignment="1">
      <alignment horizontal="center" wrapText="1"/>
    </xf>
    <xf numFmtId="0" fontId="0" fillId="0" borderId="10" xfId="0" applyBorder="1" applyAlignment="1">
      <alignment horizontal="center" wrapText="1"/>
    </xf>
    <xf numFmtId="2" fontId="0" fillId="0" borderId="10" xfId="0" applyNumberFormat="1" applyBorder="1" applyAlignment="1">
      <alignment horizontal="center"/>
    </xf>
    <xf numFmtId="0" fontId="46" fillId="39" borderId="12" xfId="82" applyFont="1" applyFill="1" applyBorder="1" applyProtection="1">
      <protection locked="0"/>
    </xf>
    <xf numFmtId="0" fontId="46" fillId="0" borderId="10" xfId="82" applyFont="1" applyBorder="1"/>
    <xf numFmtId="9" fontId="46" fillId="39" borderId="12" xfId="82" applyNumberFormat="1" applyFont="1" applyFill="1" applyBorder="1" applyProtection="1">
      <protection locked="0"/>
    </xf>
    <xf numFmtId="0" fontId="28" fillId="0" borderId="20" xfId="72" applyFill="1" applyBorder="1" applyAlignment="1" applyProtection="1">
      <alignment horizontal="left" vertical="center"/>
    </xf>
    <xf numFmtId="2" fontId="0" fillId="0" borderId="0" xfId="0" applyNumberFormat="1" applyAlignment="1">
      <alignment horizontal="center"/>
    </xf>
    <xf numFmtId="165" fontId="44" fillId="24" borderId="17" xfId="0" applyNumberFormat="1" applyFont="1" applyFill="1" applyBorder="1" applyAlignment="1">
      <alignment horizontal="center" wrapText="1"/>
    </xf>
    <xf numFmtId="166" fontId="74" fillId="24" borderId="11" xfId="56" applyNumberFormat="1" applyFont="1" applyFill="1" applyBorder="1" applyAlignment="1">
      <alignment wrapText="1"/>
    </xf>
    <xf numFmtId="0" fontId="74" fillId="24" borderId="11" xfId="82" applyFont="1" applyFill="1" applyBorder="1" applyAlignment="1">
      <alignment wrapText="1"/>
    </xf>
    <xf numFmtId="166" fontId="58" fillId="39" borderId="11" xfId="56" applyNumberFormat="1" applyFont="1" applyFill="1" applyBorder="1" applyProtection="1">
      <protection locked="0"/>
    </xf>
    <xf numFmtId="165" fontId="58" fillId="39" borderId="11" xfId="82" applyNumberFormat="1" applyFont="1" applyFill="1" applyBorder="1" applyProtection="1">
      <protection locked="0"/>
    </xf>
    <xf numFmtId="166" fontId="46" fillId="0" borderId="20" xfId="56" applyNumberFormat="1" applyFont="1" applyFill="1" applyBorder="1" applyAlignment="1" applyProtection="1">
      <alignment horizontal="center"/>
      <protection locked="0"/>
    </xf>
    <xf numFmtId="0" fontId="46" fillId="0" borderId="20" xfId="82" applyFont="1" applyBorder="1" applyAlignment="1" applyProtection="1">
      <alignment horizontal="left"/>
      <protection locked="0"/>
    </xf>
    <xf numFmtId="0" fontId="6" fillId="0" borderId="20" xfId="82" applyFont="1" applyBorder="1" applyAlignment="1" applyProtection="1">
      <alignment horizontal="left"/>
      <protection locked="0"/>
    </xf>
    <xf numFmtId="0" fontId="6" fillId="0" borderId="20" xfId="82" applyFont="1" applyBorder="1" applyAlignment="1" applyProtection="1">
      <alignment horizontal="right"/>
      <protection locked="0"/>
    </xf>
    <xf numFmtId="166" fontId="6" fillId="0" borderId="20" xfId="56" applyNumberFormat="1" applyFont="1" applyFill="1" applyBorder="1" applyProtection="1">
      <protection locked="0"/>
    </xf>
    <xf numFmtId="0" fontId="6" fillId="0" borderId="20" xfId="82" applyFont="1" applyBorder="1" applyProtection="1">
      <protection locked="0"/>
    </xf>
    <xf numFmtId="0" fontId="0" fillId="39" borderId="37" xfId="0" applyFill="1" applyBorder="1" applyAlignment="1" applyProtection="1">
      <alignment horizontal="center" wrapText="1"/>
      <protection locked="0"/>
    </xf>
    <xf numFmtId="164" fontId="0" fillId="39" borderId="15" xfId="0" applyNumberFormat="1" applyFill="1" applyBorder="1" applyProtection="1">
      <protection locked="0"/>
    </xf>
    <xf numFmtId="0" fontId="0" fillId="39" borderId="11" xfId="0" applyFill="1" applyBorder="1" applyAlignment="1" applyProtection="1">
      <alignment horizontal="center" wrapText="1"/>
      <protection locked="0"/>
    </xf>
    <xf numFmtId="0" fontId="0" fillId="39" borderId="11" xfId="0" applyFill="1" applyBorder="1" applyAlignment="1">
      <alignment horizontal="center" wrapText="1"/>
    </xf>
    <xf numFmtId="0" fontId="67" fillId="49" borderId="11" xfId="0" applyFont="1" applyFill="1" applyBorder="1" applyAlignment="1">
      <alignment horizontal="center" wrapText="1"/>
    </xf>
    <xf numFmtId="165" fontId="48" fillId="0" borderId="0" xfId="0" applyNumberFormat="1" applyFont="1"/>
    <xf numFmtId="0" fontId="0" fillId="0" borderId="11" xfId="0" applyBorder="1" applyAlignment="1">
      <alignment wrapText="1"/>
    </xf>
    <xf numFmtId="164" fontId="0" fillId="0" borderId="11" xfId="0" applyNumberFormat="1" applyBorder="1"/>
    <xf numFmtId="164" fontId="44" fillId="0" borderId="11" xfId="0" applyNumberFormat="1" applyFont="1" applyBorder="1"/>
    <xf numFmtId="0" fontId="48" fillId="0" borderId="0" xfId="72" applyFont="1" applyFill="1" applyAlignment="1" applyProtection="1"/>
    <xf numFmtId="0" fontId="46" fillId="0" borderId="11" xfId="0" applyFont="1" applyBorder="1"/>
    <xf numFmtId="0" fontId="46" fillId="0" borderId="11" xfId="0" applyFont="1" applyBorder="1" applyAlignment="1">
      <alignment wrapText="1"/>
    </xf>
    <xf numFmtId="164" fontId="44" fillId="0" borderId="0" xfId="0" applyNumberFormat="1" applyFont="1"/>
    <xf numFmtId="0" fontId="48" fillId="24" borderId="17" xfId="82" applyFont="1" applyFill="1" applyBorder="1" applyAlignment="1">
      <alignment horizontal="center"/>
    </xf>
    <xf numFmtId="8" fontId="0" fillId="0" borderId="11" xfId="0" applyNumberFormat="1" applyBorder="1"/>
    <xf numFmtId="6" fontId="0" fillId="0" borderId="11" xfId="0" applyNumberFormat="1" applyBorder="1"/>
    <xf numFmtId="9" fontId="46" fillId="39" borderId="11" xfId="82" applyNumberFormat="1" applyFont="1" applyFill="1" applyBorder="1" applyProtection="1">
      <protection locked="0"/>
    </xf>
    <xf numFmtId="0" fontId="75" fillId="0" borderId="11" xfId="82" applyFont="1" applyBorder="1"/>
    <xf numFmtId="0" fontId="44" fillId="24" borderId="11" xfId="0" quotePrefix="1" applyFont="1" applyFill="1" applyBorder="1" applyAlignment="1">
      <alignment horizontal="center"/>
    </xf>
    <xf numFmtId="165" fontId="44" fillId="24" borderId="15" xfId="0" applyNumberFormat="1" applyFont="1" applyFill="1" applyBorder="1" applyAlignment="1">
      <alignment horizontal="center" wrapText="1"/>
    </xf>
    <xf numFmtId="0" fontId="59" fillId="0" borderId="0" xfId="0" applyFont="1"/>
    <xf numFmtId="166" fontId="44" fillId="0" borderId="11" xfId="56" applyNumberFormat="1" applyFont="1" applyBorder="1"/>
    <xf numFmtId="0" fontId="46" fillId="0" borderId="0" xfId="72" applyFont="1" applyFill="1" applyAlignment="1" applyProtection="1"/>
    <xf numFmtId="166" fontId="44" fillId="0" borderId="0" xfId="56" applyNumberFormat="1" applyFont="1" applyBorder="1"/>
    <xf numFmtId="3" fontId="46" fillId="39" borderId="11" xfId="82" applyNumberFormat="1" applyFont="1" applyFill="1" applyBorder="1" applyProtection="1">
      <protection locked="0"/>
    </xf>
    <xf numFmtId="0" fontId="48" fillId="0" borderId="0" xfId="82" applyFont="1" applyProtection="1">
      <protection locked="0"/>
    </xf>
    <xf numFmtId="164" fontId="48" fillId="0" borderId="0" xfId="82" applyNumberFormat="1" applyFont="1" applyProtection="1">
      <protection locked="0"/>
    </xf>
    <xf numFmtId="9" fontId="46" fillId="0" borderId="22" xfId="82" applyNumberFormat="1" applyFont="1" applyBorder="1"/>
    <xf numFmtId="164" fontId="46" fillId="39" borderId="11" xfId="82" applyNumberFormat="1" applyFont="1" applyFill="1" applyBorder="1" applyProtection="1">
      <protection locked="0"/>
    </xf>
    <xf numFmtId="0" fontId="46" fillId="25" borderId="0" xfId="82" applyFont="1" applyFill="1" applyAlignment="1">
      <alignment horizontal="center"/>
    </xf>
    <xf numFmtId="168" fontId="6" fillId="25" borderId="0" xfId="82" applyNumberFormat="1" applyFont="1" applyFill="1"/>
    <xf numFmtId="0" fontId="46" fillId="25" borderId="0" xfId="82" applyFont="1" applyFill="1"/>
    <xf numFmtId="165" fontId="27" fillId="0" borderId="21" xfId="0" applyNumberFormat="1" applyFont="1" applyBorder="1"/>
    <xf numFmtId="3" fontId="27" fillId="24" borderId="11" xfId="0" applyNumberFormat="1" applyFont="1" applyFill="1" applyBorder="1"/>
    <xf numFmtId="0" fontId="44" fillId="0" borderId="12" xfId="0" applyFont="1" applyBorder="1" applyAlignment="1">
      <alignment horizontal="left" vertical="center"/>
    </xf>
    <xf numFmtId="165" fontId="27" fillId="24" borderId="11" xfId="0" applyNumberFormat="1" applyFont="1" applyFill="1" applyBorder="1"/>
    <xf numFmtId="165" fontId="27" fillId="24" borderId="20" xfId="0" applyNumberFormat="1" applyFont="1" applyFill="1" applyBorder="1"/>
    <xf numFmtId="2" fontId="46" fillId="39" borderId="11" xfId="82" applyNumberFormat="1" applyFont="1" applyFill="1" applyBorder="1" applyProtection="1">
      <protection locked="0"/>
    </xf>
    <xf numFmtId="0" fontId="0" fillId="0" borderId="0" xfId="0" applyAlignment="1">
      <alignment vertical="center" wrapText="1"/>
    </xf>
    <xf numFmtId="3" fontId="44" fillId="0" borderId="11" xfId="0" applyNumberFormat="1" applyFont="1" applyBorder="1" applyAlignment="1">
      <alignment horizontal="right"/>
    </xf>
    <xf numFmtId="0" fontId="39" fillId="25" borderId="0" xfId="0" applyFont="1" applyFill="1"/>
    <xf numFmtId="164" fontId="48" fillId="0" borderId="0" xfId="82" applyNumberFormat="1" applyFont="1"/>
    <xf numFmtId="0" fontId="48" fillId="25" borderId="0" xfId="82" applyFont="1" applyFill="1" applyAlignment="1">
      <alignment horizontal="center" wrapText="1"/>
    </xf>
    <xf numFmtId="0" fontId="48" fillId="50" borderId="0" xfId="0" applyFont="1" applyFill="1" applyAlignment="1">
      <alignment horizontal="center" wrapText="1"/>
    </xf>
    <xf numFmtId="0" fontId="48" fillId="25" borderId="0" xfId="82" applyFont="1" applyFill="1" applyAlignment="1">
      <alignment horizontal="center"/>
    </xf>
    <xf numFmtId="166" fontId="46" fillId="39" borderId="17" xfId="56" applyNumberFormat="1" applyFont="1" applyFill="1" applyBorder="1" applyProtection="1">
      <protection locked="0"/>
    </xf>
    <xf numFmtId="169" fontId="46" fillId="39" borderId="11" xfId="82" applyNumberFormat="1" applyFont="1" applyFill="1" applyBorder="1" applyProtection="1">
      <protection locked="0"/>
    </xf>
    <xf numFmtId="0" fontId="46" fillId="0" borderId="0" xfId="82" applyFont="1" applyAlignment="1">
      <alignment horizontal="left"/>
    </xf>
    <xf numFmtId="0" fontId="28" fillId="0" borderId="0" xfId="72" applyFill="1" applyAlignment="1" applyProtection="1"/>
    <xf numFmtId="0" fontId="0" fillId="0" borderId="11" xfId="82" applyFont="1" applyBorder="1"/>
    <xf numFmtId="10" fontId="0" fillId="0" borderId="0" xfId="92" applyNumberFormat="1" applyFont="1" applyAlignment="1">
      <alignment horizontal="left"/>
    </xf>
    <xf numFmtId="0" fontId="58" fillId="0" borderId="0" xfId="72" applyFont="1" applyBorder="1" applyAlignment="1" applyProtection="1"/>
    <xf numFmtId="0" fontId="28" fillId="0" borderId="12" xfId="72" applyBorder="1" applyAlignment="1" applyProtection="1"/>
    <xf numFmtId="0" fontId="40" fillId="37" borderId="0" xfId="0" applyFont="1" applyFill="1" applyAlignment="1">
      <alignment vertical="center"/>
    </xf>
    <xf numFmtId="0" fontId="76" fillId="24" borderId="38" xfId="0" applyFont="1" applyFill="1" applyBorder="1" applyAlignment="1">
      <alignment horizontal="center" vertical="center"/>
    </xf>
    <xf numFmtId="0" fontId="40" fillId="24" borderId="39" xfId="0" applyFont="1" applyFill="1" applyBorder="1" applyAlignment="1">
      <alignment vertical="center"/>
    </xf>
    <xf numFmtId="170" fontId="46" fillId="0" borderId="24" xfId="57" applyNumberFormat="1" applyFont="1" applyFill="1" applyBorder="1" applyProtection="1"/>
    <xf numFmtId="0" fontId="77" fillId="0" borderId="0" xfId="0" applyFont="1" applyAlignment="1">
      <alignment vertical="center"/>
    </xf>
    <xf numFmtId="170" fontId="46" fillId="0" borderId="28" xfId="57" applyNumberFormat="1" applyFont="1" applyFill="1" applyBorder="1" applyProtection="1"/>
    <xf numFmtId="170" fontId="0" fillId="0" borderId="0" xfId="0" applyNumberFormat="1"/>
    <xf numFmtId="43" fontId="0" fillId="0" borderId="0" xfId="0" applyNumberFormat="1"/>
    <xf numFmtId="0" fontId="44" fillId="24" borderId="40" xfId="0" applyFont="1" applyFill="1" applyBorder="1" applyAlignment="1">
      <alignment horizontal="center"/>
    </xf>
    <xf numFmtId="0" fontId="44" fillId="24" borderId="41" xfId="82" applyFont="1" applyFill="1" applyBorder="1" applyAlignment="1">
      <alignment horizontal="center"/>
    </xf>
    <xf numFmtId="0" fontId="44" fillId="24" borderId="41" xfId="110" applyFont="1" applyFill="1" applyBorder="1" applyAlignment="1">
      <alignment horizontal="center" wrapText="1"/>
    </xf>
    <xf numFmtId="3" fontId="44" fillId="24" borderId="41" xfId="110" applyNumberFormat="1" applyFont="1" applyFill="1" applyBorder="1" applyAlignment="1">
      <alignment horizontal="center" wrapText="1"/>
    </xf>
    <xf numFmtId="0" fontId="44" fillId="24" borderId="42" xfId="110" applyFont="1" applyFill="1" applyBorder="1" applyAlignment="1">
      <alignment horizontal="center" wrapText="1"/>
    </xf>
    <xf numFmtId="0" fontId="44" fillId="24" borderId="40" xfId="0" applyFont="1" applyFill="1" applyBorder="1" applyAlignment="1">
      <alignment horizontal="center" wrapText="1"/>
    </xf>
    <xf numFmtId="0" fontId="44" fillId="47" borderId="41" xfId="0" applyFont="1" applyFill="1" applyBorder="1" applyAlignment="1">
      <alignment horizontal="center" wrapText="1"/>
    </xf>
    <xf numFmtId="0" fontId="44" fillId="24" borderId="41" xfId="0" applyFont="1" applyFill="1" applyBorder="1" applyAlignment="1">
      <alignment horizontal="center" wrapText="1"/>
    </xf>
    <xf numFmtId="0" fontId="44" fillId="24" borderId="42" xfId="0" applyFont="1" applyFill="1" applyBorder="1" applyAlignment="1">
      <alignment horizontal="center" wrapText="1"/>
    </xf>
    <xf numFmtId="0" fontId="0" fillId="0" borderId="43" xfId="0" applyBorder="1" applyAlignment="1">
      <alignment horizontal="center"/>
    </xf>
    <xf numFmtId="170" fontId="46" fillId="0" borderId="19" xfId="57" applyNumberFormat="1" applyFont="1" applyFill="1" applyBorder="1" applyProtection="1"/>
    <xf numFmtId="170" fontId="46" fillId="0" borderId="19" xfId="82" applyNumberFormat="1" applyFont="1" applyBorder="1"/>
    <xf numFmtId="3" fontId="46" fillId="0" borderId="19" xfId="82" applyNumberFormat="1" applyFont="1" applyBorder="1" applyAlignment="1">
      <alignment horizontal="right"/>
    </xf>
    <xf numFmtId="170" fontId="46" fillId="0" borderId="25" xfId="82" applyNumberFormat="1" applyFont="1" applyBorder="1"/>
    <xf numFmtId="3" fontId="0" fillId="0" borderId="19" xfId="0" applyNumberForma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9" fontId="0" fillId="0" borderId="35" xfId="0" applyNumberFormat="1" applyBorder="1"/>
    <xf numFmtId="9" fontId="27" fillId="0" borderId="35" xfId="92" applyFont="1" applyFill="1" applyBorder="1" applyAlignment="1" applyProtection="1">
      <alignment horizontal="right" vertical="center"/>
      <protection locked="0"/>
    </xf>
    <xf numFmtId="0" fontId="0" fillId="0" borderId="44" xfId="0" applyBorder="1" applyAlignment="1">
      <alignment horizontal="center"/>
    </xf>
    <xf numFmtId="3" fontId="46" fillId="0" borderId="29" xfId="82" applyNumberFormat="1" applyFont="1" applyBorder="1" applyAlignment="1">
      <alignment horizontal="right"/>
    </xf>
    <xf numFmtId="3" fontId="0" fillId="0" borderId="29" xfId="0" applyNumberFormat="1" applyBorder="1"/>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176" fontId="46" fillId="0" borderId="11" xfId="0" applyNumberFormat="1" applyFont="1" applyBorder="1"/>
    <xf numFmtId="3" fontId="0" fillId="0" borderId="17" xfId="0" applyNumberFormat="1" applyBorder="1"/>
    <xf numFmtId="169" fontId="58" fillId="39" borderId="11" xfId="82" applyNumberFormat="1" applyFont="1" applyFill="1" applyBorder="1" applyProtection="1">
      <protection locked="0"/>
    </xf>
    <xf numFmtId="1" fontId="58" fillId="39" borderId="11" xfId="82" applyNumberFormat="1" applyFont="1" applyFill="1" applyBorder="1" applyProtection="1">
      <protection locked="0"/>
    </xf>
    <xf numFmtId="1" fontId="58" fillId="39" borderId="12" xfId="82" applyNumberFormat="1" applyFont="1" applyFill="1" applyBorder="1" applyProtection="1">
      <protection locked="0"/>
    </xf>
    <xf numFmtId="166" fontId="58" fillId="39" borderId="11" xfId="82" applyNumberFormat="1" applyFont="1" applyFill="1" applyBorder="1" applyProtection="1">
      <protection locked="0"/>
    </xf>
    <xf numFmtId="3" fontId="58" fillId="39" borderId="11" xfId="82" applyNumberFormat="1" applyFont="1" applyFill="1" applyBorder="1" applyProtection="1">
      <protection locked="0"/>
    </xf>
    <xf numFmtId="178" fontId="0" fillId="0" borderId="15" xfId="0" applyNumberFormat="1" applyBorder="1"/>
    <xf numFmtId="178" fontId="0" fillId="0" borderId="11" xfId="0" applyNumberFormat="1" applyBorder="1"/>
    <xf numFmtId="0" fontId="48" fillId="24" borderId="19" xfId="82" applyFont="1" applyFill="1" applyBorder="1" applyAlignment="1">
      <alignment horizontal="center" wrapText="1"/>
    </xf>
    <xf numFmtId="0" fontId="48" fillId="49" borderId="19" xfId="0" applyFont="1" applyFill="1" applyBorder="1" applyAlignment="1">
      <alignment horizontal="center" wrapText="1"/>
    </xf>
    <xf numFmtId="0" fontId="48" fillId="24" borderId="19" xfId="82" applyFont="1" applyFill="1" applyBorder="1" applyAlignment="1">
      <alignment horizontal="center"/>
    </xf>
    <xf numFmtId="0" fontId="48" fillId="0" borderId="45" xfId="0" applyFont="1" applyBorder="1"/>
    <xf numFmtId="0" fontId="46" fillId="0" borderId="46" xfId="0" applyFont="1" applyBorder="1"/>
    <xf numFmtId="0" fontId="46" fillId="0" borderId="46" xfId="82" applyFont="1" applyBorder="1"/>
    <xf numFmtId="0" fontId="46" fillId="0" borderId="47" xfId="82" applyFont="1" applyBorder="1"/>
    <xf numFmtId="0" fontId="48" fillId="0" borderId="46" xfId="0" applyFont="1" applyBorder="1"/>
    <xf numFmtId="0" fontId="73" fillId="48" borderId="46" xfId="0" applyFont="1" applyFill="1" applyBorder="1"/>
    <xf numFmtId="0" fontId="48" fillId="0" borderId="47" xfId="0" applyFont="1" applyBorder="1"/>
    <xf numFmtId="0" fontId="80" fillId="48" borderId="46" xfId="0" applyFont="1" applyFill="1" applyBorder="1"/>
    <xf numFmtId="0" fontId="81" fillId="0" borderId="0" xfId="82" applyFont="1"/>
    <xf numFmtId="0" fontId="82" fillId="25" borderId="0" xfId="82" applyFont="1" applyFill="1"/>
    <xf numFmtId="0" fontId="46" fillId="39" borderId="19" xfId="82" applyFont="1" applyFill="1" applyBorder="1" applyAlignment="1" applyProtection="1">
      <alignment horizontal="center"/>
      <protection locked="0"/>
    </xf>
    <xf numFmtId="166" fontId="46" fillId="39" borderId="19" xfId="56" applyNumberFormat="1" applyFont="1" applyFill="1" applyBorder="1" applyProtection="1">
      <protection locked="0"/>
    </xf>
    <xf numFmtId="0" fontId="46" fillId="39" borderId="19" xfId="82" applyFont="1" applyFill="1" applyBorder="1" applyProtection="1">
      <protection locked="0"/>
    </xf>
    <xf numFmtId="0" fontId="48" fillId="24" borderId="48" xfId="82" applyFont="1" applyFill="1" applyBorder="1" applyAlignment="1">
      <alignment horizontal="center" wrapText="1"/>
    </xf>
    <xf numFmtId="0" fontId="48" fillId="24" borderId="49" xfId="82" applyFont="1" applyFill="1" applyBorder="1" applyAlignment="1">
      <alignment horizontal="center" wrapText="1"/>
    </xf>
    <xf numFmtId="0" fontId="48" fillId="24" borderId="50" xfId="82" applyFont="1" applyFill="1" applyBorder="1" applyAlignment="1">
      <alignment horizontal="center" wrapText="1"/>
    </xf>
    <xf numFmtId="1" fontId="46" fillId="39" borderId="19" xfId="82" applyNumberFormat="1" applyFont="1" applyFill="1" applyBorder="1" applyProtection="1">
      <protection locked="0"/>
    </xf>
    <xf numFmtId="164" fontId="46" fillId="39" borderId="19" xfId="82" applyNumberFormat="1" applyFont="1" applyFill="1" applyBorder="1" applyProtection="1">
      <protection locked="0"/>
    </xf>
    <xf numFmtId="9" fontId="46" fillId="39" borderId="19" xfId="82" applyNumberFormat="1" applyFont="1" applyFill="1" applyBorder="1" applyProtection="1">
      <protection locked="0"/>
    </xf>
    <xf numFmtId="0" fontId="48" fillId="24" borderId="51" xfId="82" applyFont="1" applyFill="1" applyBorder="1" applyAlignment="1">
      <alignment horizontal="center" wrapText="1"/>
    </xf>
    <xf numFmtId="0" fontId="48" fillId="49" borderId="49" xfId="0" applyFont="1" applyFill="1" applyBorder="1" applyAlignment="1">
      <alignment horizontal="center" wrapText="1"/>
    </xf>
    <xf numFmtId="0" fontId="48" fillId="24" borderId="49" xfId="82" applyFont="1" applyFill="1" applyBorder="1" applyAlignment="1">
      <alignment horizontal="center"/>
    </xf>
    <xf numFmtId="166" fontId="46" fillId="39" borderId="23" xfId="56" applyNumberFormat="1" applyFont="1" applyFill="1" applyBorder="1" applyProtection="1">
      <protection locked="0"/>
    </xf>
    <xf numFmtId="166" fontId="46" fillId="39" borderId="12" xfId="56" applyNumberFormat="1" applyFont="1" applyFill="1" applyBorder="1" applyProtection="1">
      <protection locked="0"/>
    </xf>
    <xf numFmtId="166" fontId="46" fillId="39" borderId="24" xfId="56" applyNumberFormat="1" applyFont="1" applyFill="1" applyBorder="1" applyProtection="1">
      <protection locked="0"/>
    </xf>
    <xf numFmtId="0" fontId="48" fillId="24" borderId="43" xfId="82" applyFont="1" applyFill="1" applyBorder="1" applyAlignment="1">
      <alignment horizontal="center" wrapText="1"/>
    </xf>
    <xf numFmtId="43" fontId="46" fillId="39" borderId="24" xfId="56" applyFont="1" applyFill="1" applyBorder="1" applyProtection="1">
      <protection locked="0"/>
    </xf>
    <xf numFmtId="164" fontId="48" fillId="39" borderId="19" xfId="82" applyNumberFormat="1" applyFont="1" applyFill="1" applyBorder="1" applyProtection="1">
      <protection locked="0"/>
    </xf>
    <xf numFmtId="0" fontId="48" fillId="24" borderId="25" xfId="82" applyFont="1" applyFill="1" applyBorder="1" applyAlignment="1">
      <alignment horizontal="center" wrapText="1"/>
    </xf>
    <xf numFmtId="164" fontId="46" fillId="39" borderId="35" xfId="82" applyNumberFormat="1" applyFont="1" applyFill="1" applyBorder="1" applyProtection="1">
      <protection locked="0"/>
    </xf>
    <xf numFmtId="43" fontId="46" fillId="39" borderId="28" xfId="56" applyFont="1" applyFill="1" applyBorder="1" applyProtection="1">
      <protection locked="0"/>
    </xf>
    <xf numFmtId="0" fontId="46" fillId="39" borderId="29" xfId="82" applyFont="1" applyFill="1" applyBorder="1" applyProtection="1">
      <protection locked="0"/>
    </xf>
    <xf numFmtId="1" fontId="46" fillId="39" borderId="29" xfId="82" applyNumberFormat="1" applyFont="1" applyFill="1" applyBorder="1" applyProtection="1">
      <protection locked="0"/>
    </xf>
    <xf numFmtId="164" fontId="46" fillId="39" borderId="29" xfId="82" applyNumberFormat="1" applyFont="1" applyFill="1" applyBorder="1" applyProtection="1">
      <protection locked="0"/>
    </xf>
    <xf numFmtId="9" fontId="46" fillId="39" borderId="29" xfId="82" applyNumberFormat="1" applyFont="1" applyFill="1" applyBorder="1" applyProtection="1">
      <protection locked="0"/>
    </xf>
    <xf numFmtId="164" fontId="46" fillId="39" borderId="27" xfId="82" applyNumberFormat="1" applyFont="1" applyFill="1" applyBorder="1" applyProtection="1">
      <protection locked="0"/>
    </xf>
    <xf numFmtId="0" fontId="46" fillId="39" borderId="24" xfId="82" applyFont="1" applyFill="1" applyBorder="1" applyAlignment="1" applyProtection="1">
      <alignment horizontal="center"/>
      <protection locked="0"/>
    </xf>
    <xf numFmtId="166" fontId="46" fillId="39" borderId="35" xfId="56" applyNumberFormat="1" applyFont="1" applyFill="1" applyBorder="1" applyProtection="1">
      <protection locked="0"/>
    </xf>
    <xf numFmtId="0" fontId="46" fillId="39" borderId="28" xfId="82" applyFont="1" applyFill="1" applyBorder="1" applyAlignment="1" applyProtection="1">
      <alignment horizontal="center"/>
      <protection locked="0"/>
    </xf>
    <xf numFmtId="0" fontId="46" fillId="39" borderId="29" xfId="82" applyFont="1" applyFill="1" applyBorder="1" applyAlignment="1" applyProtection="1">
      <alignment horizontal="center"/>
      <protection locked="0"/>
    </xf>
    <xf numFmtId="166" fontId="46" fillId="39" borderId="29" xfId="56" applyNumberFormat="1" applyFont="1" applyFill="1" applyBorder="1" applyProtection="1">
      <protection locked="0"/>
    </xf>
    <xf numFmtId="166" fontId="46" fillId="39" borderId="27" xfId="56" applyNumberFormat="1" applyFont="1" applyFill="1" applyBorder="1" applyProtection="1">
      <protection locked="0"/>
    </xf>
    <xf numFmtId="0" fontId="48" fillId="24" borderId="52" xfId="82" applyFont="1" applyFill="1" applyBorder="1" applyAlignment="1">
      <alignment horizontal="center" wrapText="1"/>
    </xf>
    <xf numFmtId="166" fontId="46" fillId="39" borderId="22" xfId="56" applyNumberFormat="1" applyFont="1" applyFill="1" applyBorder="1" applyProtection="1">
      <protection locked="0"/>
    </xf>
    <xf numFmtId="0" fontId="46" fillId="39" borderId="43" xfId="82" applyFont="1" applyFill="1" applyBorder="1" applyAlignment="1" applyProtection="1">
      <alignment horizontal="center"/>
      <protection locked="0"/>
    </xf>
    <xf numFmtId="164" fontId="46" fillId="39" borderId="25" xfId="82" applyNumberFormat="1" applyFont="1" applyFill="1" applyBorder="1" applyProtection="1">
      <protection locked="0"/>
    </xf>
    <xf numFmtId="166" fontId="46" fillId="39" borderId="53" xfId="56" applyNumberFormat="1" applyFont="1" applyFill="1" applyBorder="1" applyProtection="1">
      <protection locked="0"/>
    </xf>
    <xf numFmtId="166" fontId="46" fillId="39" borderId="54" xfId="56" applyNumberFormat="1" applyFont="1" applyFill="1" applyBorder="1" applyProtection="1">
      <protection locked="0"/>
    </xf>
    <xf numFmtId="0" fontId="48" fillId="39" borderId="15" xfId="82" applyFont="1" applyFill="1" applyBorder="1" applyProtection="1">
      <protection locked="0"/>
    </xf>
    <xf numFmtId="0" fontId="46" fillId="0" borderId="13" xfId="82" applyFont="1" applyBorder="1"/>
    <xf numFmtId="0" fontId="46" fillId="0" borderId="33" xfId="82" applyFont="1" applyBorder="1"/>
    <xf numFmtId="175" fontId="46" fillId="39" borderId="12" xfId="56" applyNumberFormat="1" applyFont="1" applyFill="1" applyBorder="1" applyProtection="1">
      <protection locked="0"/>
    </xf>
    <xf numFmtId="175" fontId="46" fillId="39" borderId="24" xfId="56" applyNumberFormat="1" applyFont="1" applyFill="1" applyBorder="1" applyProtection="1">
      <protection locked="0"/>
    </xf>
    <xf numFmtId="0" fontId="48" fillId="24" borderId="40" xfId="82" applyFont="1" applyFill="1" applyBorder="1" applyAlignment="1">
      <alignment horizontal="center" wrapText="1"/>
    </xf>
    <xf numFmtId="0" fontId="48" fillId="49" borderId="41" xfId="0" applyFont="1" applyFill="1" applyBorder="1" applyAlignment="1">
      <alignment horizontal="center" wrapText="1"/>
    </xf>
    <xf numFmtId="0" fontId="48" fillId="24" borderId="41" xfId="82" applyFont="1" applyFill="1" applyBorder="1" applyAlignment="1">
      <alignment horizontal="center" wrapText="1"/>
    </xf>
    <xf numFmtId="0" fontId="48" fillId="24" borderId="41" xfId="82" applyFont="1" applyFill="1" applyBorder="1" applyAlignment="1">
      <alignment horizontal="center"/>
    </xf>
    <xf numFmtId="0" fontId="48" fillId="24" borderId="42" xfId="82" applyFont="1" applyFill="1" applyBorder="1" applyAlignment="1">
      <alignment horizontal="center" wrapText="1"/>
    </xf>
    <xf numFmtId="166" fontId="46" fillId="39" borderId="28" xfId="56" applyNumberFormat="1" applyFont="1" applyFill="1" applyBorder="1" applyProtection="1">
      <protection locked="0"/>
    </xf>
    <xf numFmtId="0" fontId="48" fillId="0" borderId="38" xfId="0" applyFont="1" applyBorder="1"/>
    <xf numFmtId="0" fontId="48" fillId="0" borderId="55" xfId="0" applyFont="1" applyBorder="1"/>
    <xf numFmtId="0" fontId="80" fillId="48" borderId="55" xfId="0" applyFont="1" applyFill="1" applyBorder="1"/>
    <xf numFmtId="164" fontId="46" fillId="39" borderId="53" xfId="82" applyNumberFormat="1" applyFont="1" applyFill="1" applyBorder="1" applyProtection="1">
      <protection locked="0"/>
    </xf>
    <xf numFmtId="9" fontId="46" fillId="39" borderId="53" xfId="82" applyNumberFormat="1" applyFont="1" applyFill="1" applyBorder="1" applyProtection="1">
      <protection locked="0"/>
    </xf>
    <xf numFmtId="0" fontId="46" fillId="39" borderId="56" xfId="82" applyFont="1" applyFill="1" applyBorder="1" applyAlignment="1" applyProtection="1">
      <alignment horizontal="center"/>
      <protection locked="0"/>
    </xf>
    <xf numFmtId="0" fontId="46" fillId="39" borderId="57" xfId="82" applyFont="1" applyFill="1" applyBorder="1" applyAlignment="1" applyProtection="1">
      <alignment horizontal="center"/>
      <protection locked="0"/>
    </xf>
    <xf numFmtId="166" fontId="46" fillId="39" borderId="57" xfId="56" applyNumberFormat="1" applyFont="1" applyFill="1" applyBorder="1" applyProtection="1">
      <protection locked="0"/>
    </xf>
    <xf numFmtId="0" fontId="46" fillId="39" borderId="57" xfId="82" applyFont="1" applyFill="1" applyBorder="1" applyProtection="1">
      <protection locked="0"/>
    </xf>
    <xf numFmtId="1" fontId="46" fillId="39" borderId="57" xfId="82" applyNumberFormat="1" applyFont="1" applyFill="1" applyBorder="1" applyProtection="1">
      <protection locked="0"/>
    </xf>
    <xf numFmtId="164" fontId="46" fillId="39" borderId="57" xfId="82" applyNumberFormat="1" applyFont="1" applyFill="1" applyBorder="1" applyProtection="1">
      <protection locked="0"/>
    </xf>
    <xf numFmtId="9" fontId="46" fillId="39" borderId="57" xfId="82" applyNumberFormat="1" applyFont="1" applyFill="1" applyBorder="1" applyProtection="1">
      <protection locked="0"/>
    </xf>
    <xf numFmtId="164" fontId="46" fillId="39" borderId="58" xfId="82" applyNumberFormat="1" applyFont="1" applyFill="1" applyBorder="1" applyProtection="1">
      <protection locked="0"/>
    </xf>
    <xf numFmtId="1" fontId="0" fillId="39" borderId="11" xfId="0" applyNumberFormat="1" applyFill="1" applyBorder="1" applyAlignment="1" applyProtection="1">
      <alignment horizontal="right" wrapText="1"/>
      <protection locked="0"/>
    </xf>
    <xf numFmtId="0" fontId="0" fillId="39" borderId="11" xfId="0" applyFill="1" applyBorder="1" applyAlignment="1" applyProtection="1">
      <alignment horizontal="right" wrapText="1"/>
      <protection locked="0"/>
    </xf>
    <xf numFmtId="0" fontId="0" fillId="0" borderId="14" xfId="0" applyBorder="1" applyAlignment="1">
      <alignment vertical="center"/>
    </xf>
    <xf numFmtId="9" fontId="0" fillId="39" borderId="31" xfId="0" applyNumberFormat="1" applyFill="1" applyBorder="1" applyAlignment="1" applyProtection="1">
      <alignment horizontal="right" vertical="center"/>
      <protection locked="0"/>
    </xf>
    <xf numFmtId="9" fontId="0" fillId="39" borderId="31" xfId="92" applyFont="1" applyFill="1" applyBorder="1" applyAlignment="1" applyProtection="1">
      <alignment horizontal="right" vertical="center"/>
      <protection locked="0"/>
    </xf>
    <xf numFmtId="177" fontId="0" fillId="39" borderId="31" xfId="92" applyNumberFormat="1" applyFont="1" applyFill="1" applyBorder="1" applyAlignment="1" applyProtection="1">
      <alignment horizontal="right" vertical="center"/>
      <protection locked="0"/>
    </xf>
    <xf numFmtId="3" fontId="0" fillId="39" borderId="32" xfId="0" applyNumberFormat="1" applyFill="1" applyBorder="1" applyAlignment="1" applyProtection="1">
      <alignment horizontal="right" vertical="center"/>
      <protection locked="0"/>
    </xf>
    <xf numFmtId="0" fontId="0" fillId="0" borderId="18" xfId="0" applyBorder="1" applyAlignment="1">
      <alignment vertical="center"/>
    </xf>
    <xf numFmtId="0" fontId="0" fillId="25" borderId="0" xfId="0" applyFill="1" applyAlignment="1">
      <alignment vertical="center"/>
    </xf>
    <xf numFmtId="0" fontId="0" fillId="25" borderId="0" xfId="0" applyFill="1" applyAlignment="1">
      <alignment horizontal="right" vertical="center"/>
    </xf>
    <xf numFmtId="9" fontId="0" fillId="0" borderId="0" xfId="0" applyNumberFormat="1" applyAlignment="1">
      <alignment vertical="center"/>
    </xf>
    <xf numFmtId="9" fontId="0" fillId="0" borderId="11" xfId="0" applyNumberFormat="1" applyBorder="1" applyAlignment="1">
      <alignment horizontal="right" vertical="center"/>
    </xf>
    <xf numFmtId="3" fontId="0" fillId="0" borderId="11" xfId="0" applyNumberFormat="1" applyBorder="1" applyAlignment="1">
      <alignment horizontal="right" vertical="center"/>
    </xf>
    <xf numFmtId="0" fontId="46" fillId="39" borderId="11" xfId="82" applyFont="1" applyFill="1" applyBorder="1" applyAlignment="1" applyProtection="1">
      <alignment wrapText="1"/>
      <protection locked="0"/>
    </xf>
    <xf numFmtId="165" fontId="48" fillId="39" borderId="19" xfId="82" applyNumberFormat="1" applyFont="1" applyFill="1" applyBorder="1" applyProtection="1">
      <protection locked="0"/>
    </xf>
    <xf numFmtId="0" fontId="0" fillId="39" borderId="11" xfId="0" applyFill="1" applyBorder="1" applyAlignment="1" applyProtection="1">
      <alignment wrapText="1"/>
      <protection locked="0"/>
    </xf>
    <xf numFmtId="9" fontId="0" fillId="39" borderId="11" xfId="0" applyNumberFormat="1" applyFill="1" applyBorder="1" applyProtection="1">
      <protection locked="0"/>
    </xf>
    <xf numFmtId="170" fontId="46" fillId="39" borderId="35" xfId="57" applyNumberFormat="1" applyFont="1" applyFill="1" applyBorder="1" applyAlignment="1" applyProtection="1">
      <alignment horizontal="right"/>
      <protection locked="0"/>
    </xf>
    <xf numFmtId="170" fontId="46" fillId="39" borderId="35" xfId="57" applyNumberFormat="1" applyFont="1" applyFill="1" applyBorder="1" applyProtection="1">
      <protection locked="0"/>
    </xf>
    <xf numFmtId="10" fontId="46" fillId="39" borderId="35" xfId="92" applyNumberFormat="1" applyFont="1" applyFill="1" applyBorder="1" applyProtection="1">
      <protection locked="0"/>
    </xf>
    <xf numFmtId="10" fontId="46" fillId="39" borderId="27" xfId="92" applyNumberFormat="1" applyFont="1" applyFill="1" applyBorder="1" applyProtection="1">
      <protection locked="0"/>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0" fillId="0" borderId="0" xfId="0" applyAlignment="1">
      <alignment horizontal="right" vertical="center" wrapText="1"/>
    </xf>
    <xf numFmtId="0" fontId="0" fillId="0" borderId="36" xfId="0" applyBorder="1" applyAlignment="1">
      <alignment horizontal="right" vertical="center" wrapText="1"/>
    </xf>
    <xf numFmtId="0" fontId="28" fillId="0" borderId="12" xfId="72" applyBorder="1" applyAlignment="1" applyProtection="1">
      <alignment horizontal="left" wrapText="1"/>
    </xf>
    <xf numFmtId="0" fontId="28" fillId="0" borderId="20" xfId="72" applyBorder="1" applyAlignment="1" applyProtection="1">
      <alignment horizontal="left" wrapText="1"/>
    </xf>
    <xf numFmtId="0" fontId="48" fillId="24" borderId="12" xfId="82" applyFont="1" applyFill="1" applyBorder="1" applyAlignment="1">
      <alignment horizontal="center"/>
    </xf>
    <xf numFmtId="0" fontId="48" fillId="24" borderId="20" xfId="82" applyFont="1" applyFill="1" applyBorder="1" applyAlignment="1">
      <alignment horizontal="center"/>
    </xf>
    <xf numFmtId="0" fontId="48" fillId="24" borderId="17" xfId="82" applyFont="1" applyFill="1" applyBorder="1" applyAlignment="1">
      <alignment horizontal="center"/>
    </xf>
    <xf numFmtId="0" fontId="0" fillId="0" borderId="11" xfId="0" applyBorder="1" applyAlignment="1">
      <alignment wrapText="1"/>
    </xf>
    <xf numFmtId="0" fontId="29" fillId="0" borderId="0" xfId="0" quotePrefix="1" applyFont="1" applyAlignment="1">
      <alignment wrapText="1"/>
    </xf>
    <xf numFmtId="0" fontId="0" fillId="0" borderId="0" xfId="0" applyAlignment="1">
      <alignment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iceuk.sharepoint.com/sites/Resource_Impact_Assessment/Shared%20Documents/Operational%20resources/RIA%20product%20templates/RI%20template%20final%20v25.xlsx" TargetMode="External"/><Relationship Id="rId1" Type="http://schemas.openxmlformats.org/officeDocument/2006/relationships/externalLinkPath" Target="https://niceuk.sharepoint.com/sites/Resource_Impact_Assessment/Shared%20Documents/Operational%20resources/RIA%20product%20templates/RI%20template%20final%20v25.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s"/>
      <sheetName val="Population selection"/>
      <sheetName val="Inputs and eligible population"/>
      <sheetName val="Unit costs"/>
      <sheetName val="Summary"/>
      <sheetName val="Financial impact (cash)"/>
      <sheetName val="Capacity (local prices)"/>
      <sheetName val="Capacity (national prices)"/>
      <sheetName val="payscales"/>
    </sheetNames>
    <sheetDataSet>
      <sheetData sheetId="0" refreshError="1"/>
      <sheetData sheetId="1" refreshError="1"/>
      <sheetData sheetId="2">
        <row r="5">
          <cell r="L5" t="str">
            <v>Per 100,000 population</v>
          </cell>
        </row>
        <row r="6">
          <cell r="L6" t="str">
            <v>England ICB</v>
          </cell>
        </row>
        <row r="7">
          <cell r="L7" t="str">
            <v>National</v>
          </cell>
        </row>
        <row r="8">
          <cell r="L8" t="str">
            <v>NHSE regions</v>
          </cell>
        </row>
        <row r="9">
          <cell r="L9" t="str">
            <v>Wales – Health Boards</v>
          </cell>
        </row>
        <row r="10">
          <cell r="L10" t="str">
            <v>NI – Health and Social Care Trusts</v>
          </cell>
        </row>
        <row r="11">
          <cell r="L11" t="str">
            <v>LA Wales</v>
          </cell>
        </row>
        <row r="12">
          <cell r="L12" t="str">
            <v>LA NI</v>
          </cell>
        </row>
        <row r="13">
          <cell r="L13" t="str">
            <v>LA England</v>
          </cell>
        </row>
        <row r="14">
          <cell r="L14" t="str">
            <v>England – CCGs</v>
          </cell>
        </row>
        <row r="521">
          <cell r="B521" t="str">
            <v>Antrim and Newtownabbey</v>
          </cell>
        </row>
        <row r="522">
          <cell r="B522" t="str">
            <v>Ards and North Down</v>
          </cell>
        </row>
        <row r="523">
          <cell r="B523" t="str">
            <v>Armagh City, Banbridge and Craigavon</v>
          </cell>
        </row>
        <row r="524">
          <cell r="B524" t="str">
            <v>Belfast</v>
          </cell>
        </row>
        <row r="525">
          <cell r="B525" t="str">
            <v>Causeway Coast and Glens</v>
          </cell>
        </row>
        <row r="526">
          <cell r="B526" t="str">
            <v>Derry City and Strabane</v>
          </cell>
        </row>
        <row r="527">
          <cell r="B527" t="str">
            <v>Fermanagh and Omagh</v>
          </cell>
        </row>
        <row r="528">
          <cell r="B528" t="str">
            <v>Lisburn and Castlereagh</v>
          </cell>
        </row>
        <row r="529">
          <cell r="B529" t="str">
            <v>Mid and East Antrim</v>
          </cell>
        </row>
        <row r="530">
          <cell r="B530" t="str">
            <v>Mid Ulster</v>
          </cell>
        </row>
        <row r="531">
          <cell r="B531" t="str">
            <v>Newry, Mourne and Down</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igital.nhs.uk/data-and-information/publications/statistical/cancer-registration-statistics" TargetMode="External"/><Relationship Id="rId13" Type="http://schemas.openxmlformats.org/officeDocument/2006/relationships/comments" Target="../comments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nice.org.uk/guidance/indevelopment/gid-ta10918/documents" TargetMode="External"/><Relationship Id="rId12" Type="http://schemas.openxmlformats.org/officeDocument/2006/relationships/vmlDrawing" Target="../drawings/vmlDrawing2.v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nice.org.uk/guidance/indevelopment/gid-ta10918/documents" TargetMode="External"/><Relationship Id="rId11" Type="http://schemas.openxmlformats.org/officeDocument/2006/relationships/printerSettings" Target="../printerSettings/printerSettings4.bin"/><Relationship Id="rId5" Type="http://schemas.openxmlformats.org/officeDocument/2006/relationships/hyperlink" Target="https://www.gov.uk/government/publications/drugs-and-pharmaceutical-electronic-market-information-emit" TargetMode="External"/><Relationship Id="rId10" Type="http://schemas.openxmlformats.org/officeDocument/2006/relationships/hyperlink" Target="https://www.ncbi.nlm.nih.gov/pmc/articles/PMC2812484/"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digital.nhs.uk/data-and-information/publications/statistical/health-survey-for-england/2021/health-survey-for-england-2021-data-tabl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england.nhs.uk/publication/2023-25-nhs-payment-scheme/" TargetMode="External"/><Relationship Id="rId2" Type="http://schemas.openxmlformats.org/officeDocument/2006/relationships/hyperlink" Target="https://www.england.nhs.uk/publication/2023-25-nhs-payment-scheme/" TargetMode="External"/><Relationship Id="rId1" Type="http://schemas.openxmlformats.org/officeDocument/2006/relationships/hyperlink" Target="https://www.england.nhs.uk/publication/2023-25-nhs-payment-scheme/" TargetMode="External"/><Relationship Id="rId5" Type="http://schemas.openxmlformats.org/officeDocument/2006/relationships/printerSettings" Target="../printerSettings/printerSettings5.bin"/><Relationship Id="rId4" Type="http://schemas.openxmlformats.org/officeDocument/2006/relationships/hyperlink" Target="https://www.nice.org.uk/guidance/indevelopment/gid-ta10918/documen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5D40-5DDC-4F72-8963-69A24B8CE3F9}">
  <sheetPr>
    <tabColor theme="1" tint="0.14999847407452621"/>
    <pageSetUpPr fitToPage="1"/>
  </sheetPr>
  <dimension ref="B2:O27"/>
  <sheetViews>
    <sheetView showGridLines="0" tabSelected="1" zoomScale="80" zoomScaleNormal="80" zoomScaleSheetLayoutView="80" workbookViewId="0">
      <selection activeCell="C10" sqref="C10"/>
    </sheetView>
  </sheetViews>
  <sheetFormatPr defaultRowHeight="14.5"/>
  <cols>
    <col min="1" max="1" width="1.453125" customWidth="1"/>
    <col min="2" max="2" width="1.7265625" customWidth="1"/>
    <col min="5" max="5" width="13.26953125" customWidth="1"/>
    <col min="13" max="13" width="14.54296875" customWidth="1"/>
    <col min="14" max="14" width="8.7265625" customWidth="1"/>
    <col min="15" max="15" width="1.54296875" customWidth="1"/>
    <col min="16" max="16" width="1.453125" customWidth="1"/>
    <col min="21" max="21" width="31" customWidth="1"/>
  </cols>
  <sheetData>
    <row r="2" spans="2:15">
      <c r="B2" s="171"/>
      <c r="C2" s="330"/>
      <c r="D2" s="330"/>
      <c r="E2" s="330"/>
      <c r="F2" s="330"/>
      <c r="G2" s="330"/>
      <c r="H2" s="330"/>
      <c r="I2" s="330"/>
      <c r="J2" s="330"/>
      <c r="K2" s="330"/>
      <c r="L2" s="330"/>
      <c r="M2" s="330"/>
      <c r="N2" s="330"/>
      <c r="O2" s="156"/>
    </row>
    <row r="3" spans="2:15">
      <c r="B3" s="159"/>
      <c r="O3" s="158"/>
    </row>
    <row r="4" spans="2:15">
      <c r="B4" s="159"/>
      <c r="O4" s="158"/>
    </row>
    <row r="5" spans="2:15">
      <c r="B5" s="159"/>
      <c r="C5" s="172"/>
      <c r="D5" s="172"/>
      <c r="E5" s="172"/>
      <c r="F5" s="172"/>
      <c r="G5" s="172"/>
      <c r="H5" s="172"/>
      <c r="I5" s="172"/>
      <c r="J5" s="172"/>
      <c r="K5" s="172"/>
      <c r="L5" s="172"/>
      <c r="M5" s="172"/>
      <c r="N5" s="172"/>
      <c r="O5" s="158"/>
    </row>
    <row r="6" spans="2:15" ht="31">
      <c r="B6" s="159"/>
      <c r="C6" s="173" t="s">
        <v>0</v>
      </c>
      <c r="D6" s="172"/>
      <c r="E6" s="172"/>
      <c r="F6" s="172"/>
      <c r="G6" s="172"/>
      <c r="H6" s="172"/>
      <c r="I6" s="172"/>
      <c r="J6" s="172"/>
      <c r="K6" s="172"/>
      <c r="L6" s="172"/>
      <c r="M6" s="172"/>
      <c r="N6" s="172"/>
      <c r="O6" s="158"/>
    </row>
    <row r="7" spans="2:15">
      <c r="B7" s="159"/>
      <c r="C7" s="172"/>
      <c r="D7" s="172"/>
      <c r="E7" s="172"/>
      <c r="F7" s="172"/>
      <c r="G7" s="172"/>
      <c r="H7" s="172"/>
      <c r="I7" s="172"/>
      <c r="J7" s="172"/>
      <c r="K7" s="172"/>
      <c r="L7" s="172"/>
      <c r="M7" s="172"/>
      <c r="N7" s="172"/>
      <c r="O7" s="158"/>
    </row>
    <row r="8" spans="2:15">
      <c r="B8" s="159"/>
      <c r="O8" s="158"/>
    </row>
    <row r="9" spans="2:15" ht="31">
      <c r="B9" s="159"/>
      <c r="C9" s="175" t="s">
        <v>1</v>
      </c>
      <c r="O9" s="158"/>
    </row>
    <row r="10" spans="2:15" ht="31">
      <c r="B10" s="159"/>
      <c r="C10" s="347" t="s">
        <v>1194</v>
      </c>
      <c r="O10" s="158"/>
    </row>
    <row r="11" spans="2:15" ht="31">
      <c r="B11" s="159"/>
      <c r="C11" s="347" t="s">
        <v>1195</v>
      </c>
      <c r="O11" s="158"/>
    </row>
    <row r="12" spans="2:15" ht="31">
      <c r="B12" s="159"/>
      <c r="C12" s="347"/>
      <c r="O12" s="158"/>
    </row>
    <row r="13" spans="2:15" ht="31">
      <c r="B13" s="159"/>
      <c r="C13" s="347" t="s">
        <v>1196</v>
      </c>
      <c r="D13" s="176"/>
      <c r="O13" s="158"/>
    </row>
    <row r="14" spans="2:15" ht="31">
      <c r="B14" s="159"/>
      <c r="C14" s="347" t="s">
        <v>1197</v>
      </c>
      <c r="D14" s="176"/>
      <c r="O14" s="158"/>
    </row>
    <row r="15" spans="2:15" ht="31">
      <c r="B15" s="159"/>
      <c r="C15" s="347" t="s">
        <v>1193</v>
      </c>
      <c r="D15" s="176"/>
      <c r="O15" s="158"/>
    </row>
    <row r="16" spans="2:15" ht="27" customHeight="1">
      <c r="B16" s="159"/>
      <c r="D16" s="176"/>
      <c r="O16" s="158"/>
    </row>
    <row r="17" spans="2:15" ht="31">
      <c r="B17" s="159"/>
      <c r="C17" s="174" t="s">
        <v>1153</v>
      </c>
      <c r="D17" s="176"/>
      <c r="O17" s="158"/>
    </row>
    <row r="18" spans="2:15">
      <c r="B18" s="159"/>
      <c r="O18" s="158"/>
    </row>
    <row r="19" spans="2:15">
      <c r="B19" s="159"/>
      <c r="C19" s="149" t="s">
        <v>2</v>
      </c>
      <c r="D19" s="196"/>
      <c r="E19" s="167"/>
      <c r="F19" s="237" t="s">
        <v>903</v>
      </c>
      <c r="G19" s="196"/>
      <c r="H19" s="196"/>
      <c r="I19" s="196"/>
      <c r="J19" s="196"/>
      <c r="K19" s="196"/>
      <c r="L19" s="196"/>
      <c r="M19" s="167"/>
      <c r="O19" s="158"/>
    </row>
    <row r="20" spans="2:15">
      <c r="B20" s="159"/>
      <c r="C20" s="149" t="s">
        <v>3</v>
      </c>
      <c r="D20" s="196"/>
      <c r="E20" s="167"/>
      <c r="F20" s="237" t="s">
        <v>1086</v>
      </c>
      <c r="G20" s="196"/>
      <c r="H20" s="196"/>
      <c r="I20" s="196"/>
      <c r="J20" s="196"/>
      <c r="K20" s="196"/>
      <c r="L20" s="196"/>
      <c r="M20" s="167"/>
      <c r="O20" s="158"/>
    </row>
    <row r="21" spans="2:15">
      <c r="B21" s="159"/>
      <c r="C21" s="601" t="s">
        <v>4</v>
      </c>
      <c r="D21" s="171"/>
      <c r="E21" s="156"/>
      <c r="F21" s="171" t="s">
        <v>1089</v>
      </c>
      <c r="G21" s="330"/>
      <c r="H21" s="330"/>
      <c r="I21" s="330"/>
      <c r="J21" s="330"/>
      <c r="K21" s="330"/>
      <c r="L21" s="330"/>
      <c r="M21" s="156"/>
      <c r="O21" s="158"/>
    </row>
    <row r="22" spans="2:15">
      <c r="B22" s="159"/>
      <c r="C22" s="601" t="s">
        <v>5</v>
      </c>
      <c r="D22" s="171"/>
      <c r="E22" s="156"/>
      <c r="F22" s="171" t="s">
        <v>912</v>
      </c>
      <c r="G22" s="330"/>
      <c r="H22" s="330"/>
      <c r="I22" s="330"/>
      <c r="J22" s="330"/>
      <c r="K22" s="330"/>
      <c r="L22" s="330"/>
      <c r="M22" s="156"/>
      <c r="O22" s="158"/>
    </row>
    <row r="23" spans="2:15">
      <c r="B23" s="159"/>
      <c r="C23" s="237" t="s">
        <v>6</v>
      </c>
      <c r="D23" s="196"/>
      <c r="E23" s="167"/>
      <c r="F23" s="237" t="s">
        <v>1087</v>
      </c>
      <c r="G23" s="196"/>
      <c r="H23" s="196"/>
      <c r="I23" s="196"/>
      <c r="J23" s="196"/>
      <c r="K23" s="196"/>
      <c r="L23" s="196"/>
      <c r="M23" s="167"/>
      <c r="O23" s="158"/>
    </row>
    <row r="24" spans="2:15">
      <c r="B24" s="159"/>
      <c r="C24" s="149" t="s">
        <v>7</v>
      </c>
      <c r="D24" s="196"/>
      <c r="E24" s="167"/>
      <c r="F24" s="237" t="s">
        <v>904</v>
      </c>
      <c r="G24" s="196"/>
      <c r="H24" s="196"/>
      <c r="I24" s="196"/>
      <c r="J24" s="196"/>
      <c r="K24" s="196"/>
      <c r="L24" s="196"/>
      <c r="M24" s="167"/>
      <c r="O24" s="158"/>
    </row>
    <row r="25" spans="2:15">
      <c r="B25" s="159"/>
      <c r="C25" s="149" t="s">
        <v>8</v>
      </c>
      <c r="D25" s="196"/>
      <c r="E25" s="167"/>
      <c r="F25" s="237" t="s">
        <v>1088</v>
      </c>
      <c r="G25" s="196"/>
      <c r="H25" s="196"/>
      <c r="I25" s="196"/>
      <c r="J25" s="196"/>
      <c r="K25" s="196"/>
      <c r="L25" s="196"/>
      <c r="M25" s="167"/>
      <c r="O25" s="158"/>
    </row>
    <row r="26" spans="2:15">
      <c r="B26" s="159"/>
      <c r="C26" s="149" t="s">
        <v>9</v>
      </c>
      <c r="D26" s="196"/>
      <c r="E26" s="167"/>
      <c r="F26" s="237" t="s">
        <v>1085</v>
      </c>
      <c r="G26" s="196"/>
      <c r="H26" s="196"/>
      <c r="I26" s="196"/>
      <c r="J26" s="196"/>
      <c r="K26" s="196"/>
      <c r="L26" s="196"/>
      <c r="M26" s="167"/>
      <c r="O26" s="158"/>
    </row>
    <row r="27" spans="2:15">
      <c r="B27" s="160"/>
      <c r="C27" s="161"/>
      <c r="D27" s="161"/>
      <c r="E27" s="161"/>
      <c r="F27" s="161"/>
      <c r="G27" s="161"/>
      <c r="H27" s="161"/>
      <c r="I27" s="161"/>
      <c r="J27" s="161"/>
      <c r="K27" s="161"/>
      <c r="L27" s="161"/>
      <c r="M27" s="161"/>
      <c r="N27" s="161"/>
      <c r="O27" s="162"/>
    </row>
  </sheetData>
  <sheetProtection algorithmName="SHA-512" hashValue="0WIaegF6ljOUJGVgFx0TqBIwWvPGnhgu9KSE4B/ezu5NPP+qVM5MtsN1Quw7gl8gE2evrg/5ArJQk3KwG179wA==" saltValue="lXUorlgYFsOCYP6/mUBVtA==" spinCount="100000" sheet="1" objects="1" scenarios="1"/>
  <pageMargins left="0.23622047244094491" right="0.23622047244094491" top="0.74803149606299213" bottom="0.74803149606299213" header="0.31496062992125984" footer="0.31496062992125984"/>
  <pageSetup paperSize="9" scale="81"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03C7-98C1-406F-9F69-218637CCB9DB}">
  <sheetPr>
    <tabColor theme="1" tint="0.14999847407452621"/>
    <pageSetUpPr fitToPage="1"/>
  </sheetPr>
  <dimension ref="B2:Q27"/>
  <sheetViews>
    <sheetView showGridLines="0" zoomScale="80" zoomScaleNormal="80" workbookViewId="0"/>
  </sheetViews>
  <sheetFormatPr defaultRowHeight="14.5"/>
  <cols>
    <col min="1" max="2" width="3.7265625" customWidth="1"/>
    <col min="3" max="3" width="20.54296875" customWidth="1"/>
    <col min="4" max="4" width="3.7265625" customWidth="1"/>
    <col min="5" max="5" width="20.54296875" customWidth="1"/>
    <col min="6" max="6" width="3.7265625" customWidth="1"/>
    <col min="7" max="7" width="20.54296875" customWidth="1"/>
    <col min="8" max="10" width="3.7265625" customWidth="1"/>
    <col min="11" max="11" width="20.54296875" customWidth="1"/>
    <col min="12" max="12" width="3.7265625" customWidth="1"/>
    <col min="13" max="13" width="20.54296875" customWidth="1"/>
    <col min="14" max="14" width="3.7265625" customWidth="1"/>
    <col min="15" max="15" width="20.54296875" customWidth="1"/>
    <col min="16" max="16" width="26.7265625" customWidth="1"/>
  </cols>
  <sheetData>
    <row r="2" spans="2:17" ht="26">
      <c r="B2" s="383" t="s">
        <v>10</v>
      </c>
      <c r="C2" s="381"/>
      <c r="D2" s="381"/>
      <c r="E2" s="381"/>
      <c r="F2" s="381"/>
      <c r="G2" s="381"/>
      <c r="H2" s="381"/>
      <c r="I2" s="381"/>
      <c r="J2" s="381"/>
      <c r="K2" s="381"/>
      <c r="L2" s="381"/>
      <c r="M2" s="381"/>
      <c r="N2" s="381"/>
      <c r="O2" s="381"/>
      <c r="P2" s="382"/>
    </row>
    <row r="5" spans="2:17">
      <c r="B5" s="227" t="s">
        <v>905</v>
      </c>
      <c r="C5" s="404"/>
      <c r="D5" s="404"/>
      <c r="E5" s="404"/>
      <c r="F5" s="404"/>
      <c r="G5" s="404"/>
      <c r="H5" s="404"/>
      <c r="I5" s="404"/>
      <c r="J5" s="404"/>
      <c r="K5" s="404"/>
      <c r="L5" s="404"/>
      <c r="M5" s="404"/>
      <c r="N5" s="404"/>
      <c r="O5" s="404"/>
      <c r="P5" s="228"/>
    </row>
    <row r="6" spans="2:17">
      <c r="B6" s="230" t="s">
        <v>906</v>
      </c>
      <c r="C6" s="229"/>
      <c r="D6" s="229"/>
      <c r="E6" s="229"/>
      <c r="F6" s="229"/>
      <c r="G6" s="229"/>
      <c r="H6" s="229"/>
      <c r="I6" s="229"/>
      <c r="J6" s="229"/>
      <c r="K6" s="229"/>
      <c r="L6" s="229"/>
      <c r="M6" s="229"/>
      <c r="N6" s="229"/>
      <c r="O6" s="229"/>
      <c r="P6" s="231"/>
    </row>
    <row r="8" spans="2:17">
      <c r="N8" s="465"/>
      <c r="O8" s="465"/>
      <c r="P8" s="465"/>
    </row>
    <row r="9" spans="2:17">
      <c r="B9" s="227"/>
      <c r="C9" s="404"/>
      <c r="D9" s="404"/>
      <c r="E9" s="404"/>
      <c r="F9" s="404"/>
      <c r="G9" s="404"/>
      <c r="H9" s="228"/>
      <c r="J9" s="227"/>
      <c r="K9" s="404"/>
      <c r="L9" s="404"/>
      <c r="M9" s="404"/>
      <c r="N9" s="225"/>
      <c r="O9" s="225"/>
      <c r="P9" s="225"/>
      <c r="Q9" s="159"/>
    </row>
    <row r="10" spans="2:17" ht="46.5">
      <c r="B10" s="232"/>
      <c r="C10" s="368" t="s">
        <v>11</v>
      </c>
      <c r="D10" s="468"/>
      <c r="E10" s="368" t="s">
        <v>12</v>
      </c>
      <c r="F10" s="468"/>
      <c r="G10" s="464" t="s">
        <v>13</v>
      </c>
      <c r="H10" s="469"/>
      <c r="I10" s="369"/>
      <c r="J10" s="472"/>
      <c r="K10" s="370" t="s">
        <v>14</v>
      </c>
      <c r="L10" s="472"/>
      <c r="M10" s="370" t="s">
        <v>15</v>
      </c>
      <c r="N10" s="468"/>
      <c r="O10" s="370" t="s">
        <v>16</v>
      </c>
      <c r="P10" s="468"/>
      <c r="Q10" s="159"/>
    </row>
    <row r="11" spans="2:17">
      <c r="B11" s="232"/>
      <c r="C11" s="225"/>
      <c r="D11" s="225"/>
      <c r="E11" s="225"/>
      <c r="F11" s="225"/>
      <c r="G11" s="225"/>
      <c r="H11" s="233"/>
      <c r="J11" s="232"/>
      <c r="K11" s="225"/>
      <c r="L11" s="225"/>
      <c r="M11" s="225"/>
      <c r="N11" s="225"/>
      <c r="O11" s="225"/>
      <c r="P11" s="225"/>
      <c r="Q11" s="159"/>
    </row>
    <row r="12" spans="2:17" ht="40.15" customHeight="1">
      <c r="B12" s="232"/>
      <c r="C12" s="364"/>
      <c r="D12" s="602" t="s">
        <v>17</v>
      </c>
      <c r="E12" s="364"/>
      <c r="F12" s="225"/>
      <c r="G12" s="364" t="s">
        <v>907</v>
      </c>
      <c r="H12" s="233"/>
      <c r="J12" s="232"/>
      <c r="K12" s="466"/>
      <c r="L12" s="196"/>
      <c r="M12" s="603" t="s">
        <v>18</v>
      </c>
      <c r="N12" s="196"/>
      <c r="O12" s="467"/>
      <c r="P12" s="225"/>
      <c r="Q12" s="159"/>
    </row>
    <row r="13" spans="2:17">
      <c r="B13" s="232"/>
      <c r="C13" s="225"/>
      <c r="D13" s="225"/>
      <c r="E13" s="225"/>
      <c r="F13" s="225"/>
      <c r="G13" s="225"/>
      <c r="H13" s="233"/>
      <c r="J13" s="232"/>
      <c r="K13" s="225"/>
      <c r="L13" s="225"/>
      <c r="M13" s="225"/>
      <c r="N13" s="225"/>
      <c r="O13" s="225"/>
      <c r="P13" s="225"/>
      <c r="Q13" s="159"/>
    </row>
    <row r="14" spans="2:17" ht="222.75" customHeight="1">
      <c r="B14" s="232"/>
      <c r="C14" s="365" t="s">
        <v>19</v>
      </c>
      <c r="D14" s="470"/>
      <c r="E14" s="366" t="s">
        <v>20</v>
      </c>
      <c r="F14" s="470"/>
      <c r="G14" s="364" t="s">
        <v>21</v>
      </c>
      <c r="H14" s="471"/>
      <c r="I14" s="243"/>
      <c r="J14" s="473"/>
      <c r="K14" s="367" t="s">
        <v>22</v>
      </c>
      <c r="L14" s="473"/>
      <c r="M14" s="408" t="s">
        <v>23</v>
      </c>
      <c r="N14" s="470"/>
      <c r="O14" s="408" t="s">
        <v>24</v>
      </c>
      <c r="P14" s="470"/>
      <c r="Q14" s="159"/>
    </row>
    <row r="15" spans="2:17">
      <c r="B15" s="230"/>
      <c r="C15" s="229"/>
      <c r="D15" s="229"/>
      <c r="E15" s="229"/>
      <c r="F15" s="229"/>
      <c r="G15" s="229"/>
      <c r="H15" s="231"/>
      <c r="J15" s="230"/>
      <c r="K15" s="229"/>
      <c r="L15" s="474"/>
      <c r="M15" s="474"/>
      <c r="N15" s="474"/>
      <c r="O15" s="474"/>
      <c r="P15" s="474"/>
      <c r="Q15" s="159"/>
    </row>
    <row r="18" spans="2:16">
      <c r="B18" s="227"/>
      <c r="C18" s="404"/>
      <c r="D18" s="404"/>
      <c r="E18" s="404"/>
      <c r="F18" s="404"/>
      <c r="G18" s="404"/>
      <c r="H18" s="404"/>
      <c r="I18" s="404"/>
      <c r="J18" s="404"/>
      <c r="K18" s="404"/>
      <c r="L18" s="404"/>
      <c r="M18" s="404"/>
      <c r="N18" s="404"/>
      <c r="O18" s="404"/>
      <c r="P18" s="228"/>
    </row>
    <row r="19" spans="2:16">
      <c r="B19" s="232" t="s">
        <v>25</v>
      </c>
      <c r="C19" s="225"/>
      <c r="D19" s="225"/>
      <c r="E19" s="225"/>
      <c r="F19" s="225"/>
      <c r="G19" s="225"/>
      <c r="H19" s="225"/>
      <c r="I19" s="225"/>
      <c r="J19" s="225"/>
      <c r="K19" s="225"/>
      <c r="L19" s="225"/>
      <c r="M19" s="225"/>
      <c r="N19" s="225"/>
      <c r="O19" s="225"/>
      <c r="P19" s="233"/>
    </row>
    <row r="20" spans="2:16">
      <c r="B20" s="475" t="s">
        <v>26</v>
      </c>
      <c r="C20" s="225"/>
      <c r="D20" s="225"/>
      <c r="E20" s="225"/>
      <c r="F20" s="225"/>
      <c r="G20" s="225"/>
      <c r="H20" s="225"/>
      <c r="I20" s="225"/>
      <c r="J20" s="225"/>
      <c r="K20" s="225"/>
      <c r="L20" s="225"/>
      <c r="M20" s="225"/>
      <c r="N20" s="225"/>
      <c r="O20" s="225"/>
      <c r="P20" s="233"/>
    </row>
    <row r="21" spans="2:16">
      <c r="B21" s="476" t="s">
        <v>27</v>
      </c>
      <c r="C21" s="225"/>
      <c r="D21" s="225"/>
      <c r="E21" s="225"/>
      <c r="F21" s="225"/>
      <c r="G21" s="225"/>
      <c r="H21" s="225"/>
      <c r="I21" s="225"/>
      <c r="J21" s="225"/>
      <c r="K21" s="225"/>
      <c r="L21" s="225"/>
      <c r="M21" s="225"/>
      <c r="N21" s="225"/>
      <c r="O21" s="225"/>
      <c r="P21" s="233"/>
    </row>
    <row r="22" spans="2:16">
      <c r="B22" s="477" t="s">
        <v>28</v>
      </c>
      <c r="C22" s="225"/>
      <c r="D22" s="225"/>
      <c r="E22" s="225"/>
      <c r="F22" s="225"/>
      <c r="G22" s="225"/>
      <c r="H22" s="225"/>
      <c r="I22" s="225"/>
      <c r="J22" s="225"/>
      <c r="K22" s="225"/>
      <c r="L22" s="225"/>
      <c r="M22" s="225"/>
      <c r="N22" s="225"/>
      <c r="O22" s="225"/>
      <c r="P22" s="233"/>
    </row>
    <row r="23" spans="2:16">
      <c r="B23" s="476" t="s">
        <v>29</v>
      </c>
      <c r="C23" s="225"/>
      <c r="D23" s="225"/>
      <c r="E23" s="225"/>
      <c r="F23" s="225"/>
      <c r="G23" s="225"/>
      <c r="H23" s="225"/>
      <c r="I23" s="225"/>
      <c r="J23" s="225"/>
      <c r="K23" s="225"/>
      <c r="L23" s="225"/>
      <c r="M23" s="225"/>
      <c r="N23" s="225"/>
      <c r="O23" s="225"/>
      <c r="P23" s="233"/>
    </row>
    <row r="24" spans="2:16">
      <c r="B24" s="476" t="s">
        <v>30</v>
      </c>
      <c r="C24" s="225"/>
      <c r="D24" s="225"/>
      <c r="E24" s="225"/>
      <c r="F24" s="225"/>
      <c r="G24" s="225"/>
      <c r="H24" s="225"/>
      <c r="I24" s="225"/>
      <c r="J24" s="225"/>
      <c r="K24" s="225"/>
      <c r="L24" s="225"/>
      <c r="M24" s="225"/>
      <c r="N24" s="225"/>
      <c r="O24" s="225"/>
      <c r="P24" s="233"/>
    </row>
    <row r="25" spans="2:16">
      <c r="B25" s="232"/>
      <c r="C25" s="225"/>
      <c r="D25" s="225"/>
      <c r="E25" s="225"/>
      <c r="F25" s="225"/>
      <c r="G25" s="225"/>
      <c r="H25" s="225"/>
      <c r="I25" s="225"/>
      <c r="J25" s="225"/>
      <c r="K25" s="225"/>
      <c r="L25" s="225"/>
      <c r="M25" s="225"/>
      <c r="N25" s="225"/>
      <c r="O25" s="225"/>
      <c r="P25" s="233"/>
    </row>
    <row r="26" spans="2:16">
      <c r="B26" s="478" t="s">
        <v>31</v>
      </c>
      <c r="C26" s="225"/>
      <c r="D26" s="225"/>
      <c r="E26" s="225"/>
      <c r="F26" s="225"/>
      <c r="G26" s="225"/>
      <c r="H26" s="225"/>
      <c r="I26" s="225"/>
      <c r="J26" s="225"/>
      <c r="K26" s="225"/>
      <c r="L26" s="225"/>
      <c r="M26" s="225"/>
      <c r="N26" s="225"/>
      <c r="O26" s="225"/>
      <c r="P26" s="233"/>
    </row>
    <row r="27" spans="2:16">
      <c r="B27" s="230"/>
      <c r="C27" s="229"/>
      <c r="D27" s="229"/>
      <c r="E27" s="229"/>
      <c r="F27" s="229"/>
      <c r="G27" s="229"/>
      <c r="H27" s="229"/>
      <c r="I27" s="229"/>
      <c r="J27" s="229"/>
      <c r="K27" s="229"/>
      <c r="L27" s="229"/>
      <c r="M27" s="229"/>
      <c r="N27" s="229"/>
      <c r="O27" s="229"/>
      <c r="P27" s="231"/>
    </row>
  </sheetData>
  <sheetProtection algorithmName="SHA-512" hashValue="tBKaRd2wV51hUYg4itBHEX7ZH9Bh9PHMvbnOv/qKm+FRKLHilIf6zESV3Qyccb/sOWMwO/zgtr6xYPUilZ7ydA==" saltValue="KaeVhPmlkLbXKhcckR9O5g==" spinCount="100000" sheet="1"/>
  <pageMargins left="0.7" right="0.7" top="0.75" bottom="0.75" header="0.3" footer="0.3"/>
  <pageSetup paperSize="9" scale="47"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topLeftCell="J1" zoomScale="55" zoomScaleNormal="55" workbookViewId="0">
      <selection activeCell="S9" sqref="S9"/>
    </sheetView>
  </sheetViews>
  <sheetFormatPr defaultColWidth="9.26953125" defaultRowHeight="14"/>
  <cols>
    <col min="1" max="1" width="24.453125" style="11" customWidth="1"/>
    <col min="2" max="2" width="49.453125" style="11" customWidth="1"/>
    <col min="3" max="3" width="63.54296875" style="15" customWidth="1"/>
    <col min="4" max="4" width="20.453125" style="11" customWidth="1"/>
    <col min="5" max="12" width="21" style="11" customWidth="1"/>
    <col min="13" max="13" width="22.7265625" style="11" customWidth="1"/>
    <col min="14" max="14" width="22.54296875" style="11" customWidth="1"/>
    <col min="15" max="15" width="25.7265625" style="11" customWidth="1"/>
    <col min="16" max="16" width="10.7265625" style="11" customWidth="1"/>
    <col min="17" max="17" width="15.26953125" style="12" customWidth="1"/>
    <col min="18" max="18" width="20.26953125" style="12" customWidth="1"/>
    <col min="19" max="42" width="10.7265625" style="12" customWidth="1"/>
    <col min="43" max="50" width="10.7265625" style="13" customWidth="1"/>
    <col min="51" max="106" width="10.7265625" style="1" customWidth="1"/>
    <col min="107" max="193" width="10.7265625" style="11" customWidth="1"/>
    <col min="194" max="194" width="10.453125" style="11" customWidth="1"/>
    <col min="195" max="16384" width="9.26953125" style="11"/>
  </cols>
  <sheetData>
    <row r="1" spans="2:106">
      <c r="B1" s="9" t="s">
        <v>187</v>
      </c>
      <c r="C1" s="102"/>
      <c r="D1" s="22"/>
      <c r="E1" s="10" t="s">
        <v>188</v>
      </c>
      <c r="F1" s="7"/>
      <c r="G1" s="7"/>
    </row>
    <row r="3" spans="2:106">
      <c r="B3" s="92" t="s">
        <v>189</v>
      </c>
      <c r="C3" s="524"/>
      <c r="D3" s="525"/>
      <c r="E3" s="525"/>
      <c r="F3" s="525"/>
      <c r="G3" s="93"/>
    </row>
    <row r="4" spans="2:106">
      <c r="B4" s="94"/>
      <c r="C4" s="95"/>
      <c r="D4" s="7"/>
      <c r="E4" s="7"/>
      <c r="F4" s="7"/>
      <c r="G4" s="96"/>
      <c r="L4" s="9" t="s">
        <v>190</v>
      </c>
      <c r="M4" s="9" t="s">
        <v>190</v>
      </c>
      <c r="N4" s="9" t="s">
        <v>191</v>
      </c>
      <c r="O4" s="9" t="s">
        <v>191</v>
      </c>
      <c r="P4" s="9" t="s">
        <v>192</v>
      </c>
      <c r="R4" s="168" t="s">
        <v>193</v>
      </c>
      <c r="S4" s="168" t="s">
        <v>109</v>
      </c>
      <c r="T4" s="168" t="s">
        <v>194</v>
      </c>
      <c r="V4" s="168" t="s">
        <v>195</v>
      </c>
    </row>
    <row r="5" spans="2:106" ht="28">
      <c r="B5" s="97" t="s">
        <v>196</v>
      </c>
      <c r="C5" s="95"/>
      <c r="D5" s="7"/>
      <c r="E5" s="7"/>
      <c r="F5" s="7"/>
      <c r="G5" s="96"/>
      <c r="L5" s="16" t="s">
        <v>197</v>
      </c>
      <c r="M5" s="16" t="s">
        <v>198</v>
      </c>
      <c r="N5" s="16" t="s">
        <v>199</v>
      </c>
      <c r="O5" s="16" t="s">
        <v>200</v>
      </c>
      <c r="P5" s="19"/>
      <c r="Q5" s="17"/>
      <c r="R5" s="16" t="s">
        <v>200</v>
      </c>
      <c r="S5" s="138" t="s">
        <v>151</v>
      </c>
      <c r="V5" s="139">
        <v>4</v>
      </c>
    </row>
    <row r="6" spans="2:106">
      <c r="B6" s="97" t="s">
        <v>201</v>
      </c>
      <c r="C6" s="95"/>
      <c r="D6" s="7"/>
      <c r="E6" s="7"/>
      <c r="F6" s="7"/>
      <c r="G6" s="96"/>
      <c r="J6" s="134"/>
      <c r="L6" s="21" t="s">
        <v>831</v>
      </c>
      <c r="M6" s="21" t="s">
        <v>202</v>
      </c>
      <c r="N6" s="21" t="str">
        <f>'Inputs and eligible population'!$E$11</f>
        <v>National</v>
      </c>
      <c r="O6" s="21" t="str">
        <f>IFERROR(VLOOKUP('Inputs and eligible population'!$E$11, $L$5:$M$14, 2, FALSE), "-")</f>
        <v>NATIONAL</v>
      </c>
      <c r="P6" s="16" t="b">
        <f>ISTEXT('Inputs and eligible population'!$E$12)</f>
        <v>1</v>
      </c>
      <c r="R6" s="190" t="s">
        <v>43</v>
      </c>
      <c r="S6" s="138" t="s">
        <v>152</v>
      </c>
      <c r="V6" s="139">
        <v>5</v>
      </c>
    </row>
    <row r="7" spans="2:106">
      <c r="B7" s="94"/>
      <c r="C7" s="95"/>
      <c r="D7" s="7"/>
      <c r="E7" s="7"/>
      <c r="F7" s="7"/>
      <c r="G7" s="96"/>
      <c r="L7" s="21" t="s">
        <v>39</v>
      </c>
      <c r="M7" s="21" t="s">
        <v>203</v>
      </c>
      <c r="N7" s="21" t="str">
        <f>'Inputs and eligible population'!$E$11</f>
        <v>National</v>
      </c>
      <c r="O7" s="21" t="str">
        <f>IFERROR(VLOOKUP('Inputs and eligible population'!$E$11, $L$5:$M$14, 2, FALSE), "-")</f>
        <v>NATIONAL</v>
      </c>
      <c r="P7" s="16" t="b">
        <f>ISTEXT('Inputs and eligible population'!$E$12)</f>
        <v>1</v>
      </c>
      <c r="R7" s="190" t="s">
        <v>204</v>
      </c>
      <c r="S7" s="403"/>
      <c r="V7" s="139">
        <v>6</v>
      </c>
    </row>
    <row r="8" spans="2:106" ht="19.5" customHeight="1">
      <c r="B8" s="98" t="s">
        <v>205</v>
      </c>
      <c r="C8" s="99"/>
      <c r="D8" s="100"/>
      <c r="E8" s="100"/>
      <c r="F8" s="100"/>
      <c r="G8" s="101"/>
      <c r="L8" s="21" t="s">
        <v>206</v>
      </c>
      <c r="M8" s="21" t="s">
        <v>207</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c r="B9" s="14"/>
      <c r="L9" s="21" t="s">
        <v>208</v>
      </c>
      <c r="M9" s="21" t="s">
        <v>209</v>
      </c>
      <c r="N9" s="21" t="str">
        <f>'Inputs and eligible population'!$E$11</f>
        <v>National</v>
      </c>
      <c r="O9" s="21" t="str">
        <f>IFERROR(VLOOKUP('Inputs and eligible population'!$E$11, $L$5:$M$14, 2, FALSE), "-")</f>
        <v>NATIONAL</v>
      </c>
      <c r="P9" s="16" t="b">
        <f>ISTEXT('Inputs and eligible population'!$E$12)</f>
        <v>1</v>
      </c>
      <c r="V9" s="139" t="s">
        <v>210</v>
      </c>
    </row>
    <row r="10" spans="2:106" ht="14.5">
      <c r="B10" s="14"/>
      <c r="K10" s="24"/>
      <c r="L10" s="21" t="s">
        <v>211</v>
      </c>
      <c r="M10" s="21" t="s">
        <v>212</v>
      </c>
      <c r="N10" s="21" t="str">
        <f>'Inputs and eligible population'!$E$11</f>
        <v>National</v>
      </c>
      <c r="O10" s="21" t="str">
        <f>IFERROR(VLOOKUP('Inputs and eligible population'!$E$11, $L$5:$M$14, 2, FALSE), "-")</f>
        <v>NATIONAL</v>
      </c>
      <c r="P10" s="16" t="b">
        <f>ISTEXT('Inputs and eligible population'!$E$12)</f>
        <v>1</v>
      </c>
      <c r="V10" s="139" t="s">
        <v>213</v>
      </c>
    </row>
    <row r="11" spans="2:106">
      <c r="B11" s="9" t="s">
        <v>214</v>
      </c>
      <c r="C11" s="24"/>
      <c r="D11" s="24"/>
      <c r="E11" s="24"/>
      <c r="K11" s="24"/>
      <c r="L11" s="111" t="s">
        <v>215</v>
      </c>
      <c r="M11" s="21" t="s">
        <v>216</v>
      </c>
      <c r="N11" s="21" t="str">
        <f>'Inputs and eligible population'!$E$11</f>
        <v>National</v>
      </c>
      <c r="O11" s="21" t="str">
        <f>IFERROR(VLOOKUP('Inputs and eligible population'!$E$11, $L$5:$M$14, 2, FALSE), "-")</f>
        <v>NATIONAL</v>
      </c>
      <c r="P11" s="16" t="b">
        <f>ISTEXT('Inputs and eligible population'!$E$12)</f>
        <v>1</v>
      </c>
      <c r="V11" s="139" t="s">
        <v>217</v>
      </c>
    </row>
    <row r="12" spans="2:106" ht="43.5" customHeight="1">
      <c r="B12" s="15"/>
      <c r="D12" s="201" t="s">
        <v>218</v>
      </c>
      <c r="E12" s="201" t="s">
        <v>218</v>
      </c>
      <c r="L12" s="21" t="s">
        <v>219</v>
      </c>
      <c r="M12" s="21" t="s">
        <v>220</v>
      </c>
      <c r="N12" s="21" t="str">
        <f>'Inputs and eligible population'!$E$11</f>
        <v>National</v>
      </c>
      <c r="O12" s="21" t="str">
        <f>IFERROR(VLOOKUP('Inputs and eligible population'!$E$11, $L$5:$M$14, 2, FALSE), "-")</f>
        <v>NATIONAL</v>
      </c>
      <c r="P12" s="16" t="b">
        <f>ISTEXT('Inputs and eligible population'!$E$12)</f>
        <v>1</v>
      </c>
      <c r="V12" s="139" t="s">
        <v>221</v>
      </c>
    </row>
    <row r="13" spans="2:106" s="19" customFormat="1" ht="46.15" customHeight="1">
      <c r="B13" s="202" t="s">
        <v>40</v>
      </c>
      <c r="C13" s="202" t="s">
        <v>222</v>
      </c>
      <c r="D13" s="26" t="s">
        <v>223</v>
      </c>
      <c r="E13" s="26" t="s">
        <v>224</v>
      </c>
      <c r="F13" s="202" t="s">
        <v>225</v>
      </c>
      <c r="G13" s="11"/>
      <c r="H13" s="11"/>
      <c r="I13" s="11"/>
      <c r="K13" s="11"/>
      <c r="L13" s="21" t="s">
        <v>226</v>
      </c>
      <c r="M13" s="21" t="s">
        <v>227</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415">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c r="B14" s="203"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228</v>
      </c>
      <c r="M14" s="21" t="s">
        <v>229</v>
      </c>
      <c r="N14" s="21" t="str">
        <f>'Inputs and eligible population'!$E$11</f>
        <v>National</v>
      </c>
      <c r="O14" s="21" t="str">
        <f>IFERROR(VLOOKUP('Inputs and eligible population'!$E$11, $L$5:$M$14, 2, FALSE), "-")</f>
        <v>NATIONAL</v>
      </c>
      <c r="P14" s="16" t="b">
        <f>ISTEXT('Inputs and eligible population'!$E$12)</f>
        <v>1</v>
      </c>
      <c r="V14" s="139" t="s">
        <v>230</v>
      </c>
    </row>
    <row r="15" spans="2:106">
      <c r="B15" s="203"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231</v>
      </c>
    </row>
    <row r="16" spans="2:106">
      <c r="B16" s="204" t="s">
        <v>232</v>
      </c>
      <c r="C16" s="205">
        <f>IF(C15&gt;0,C14,C15)</f>
        <v>57106398</v>
      </c>
      <c r="D16" s="205">
        <f>IF(D15&gt;0,D14,D15)</f>
        <v>21895402</v>
      </c>
      <c r="E16" s="205">
        <f>IF(E15&gt;0,E14,E15)</f>
        <v>23324090</v>
      </c>
      <c r="F16" s="205">
        <f>SUM(F15)</f>
        <v>45219492</v>
      </c>
      <c r="L16" s="22"/>
      <c r="M16" s="22"/>
      <c r="P16" s="401">
        <f>COUNTIF(P6:P14, TRUE)</f>
        <v>9</v>
      </c>
    </row>
    <row r="17" spans="1:194">
      <c r="Q17" s="23"/>
      <c r="R17" s="23"/>
    </row>
    <row r="18" spans="1:194" ht="45.65" customHeight="1">
      <c r="B18" s="90"/>
      <c r="C18" s="143"/>
      <c r="D18" s="26" t="s">
        <v>218</v>
      </c>
      <c r="E18" s="26" t="s">
        <v>218</v>
      </c>
      <c r="F18" s="90"/>
      <c r="I18" s="90"/>
      <c r="J18" s="90"/>
      <c r="K18" s="24"/>
      <c r="N18" s="24"/>
    </row>
    <row r="19" spans="1:194" ht="23.15" customHeight="1">
      <c r="D19" s="206">
        <v>2</v>
      </c>
      <c r="E19" s="206">
        <v>3</v>
      </c>
      <c r="F19" s="206">
        <v>4</v>
      </c>
      <c r="G19" s="206">
        <v>5</v>
      </c>
      <c r="H19" s="206">
        <v>6</v>
      </c>
      <c r="K19" s="24"/>
    </row>
    <row r="20" spans="1:194" s="1" customFormat="1" ht="48" customHeight="1">
      <c r="A20" s="124" t="s">
        <v>199</v>
      </c>
      <c r="B20" s="123" t="s">
        <v>233</v>
      </c>
      <c r="C20" s="123" t="s">
        <v>234</v>
      </c>
      <c r="D20" s="82" t="s">
        <v>235</v>
      </c>
      <c r="E20" s="82" t="s">
        <v>235</v>
      </c>
      <c r="F20" s="82" t="s">
        <v>236</v>
      </c>
      <c r="G20" s="82" t="s">
        <v>236</v>
      </c>
      <c r="H20" s="82" t="s">
        <v>236</v>
      </c>
      <c r="I20" s="123" t="s">
        <v>235</v>
      </c>
      <c r="J20" s="123" t="s">
        <v>235</v>
      </c>
      <c r="K20" s="123" t="s">
        <v>237</v>
      </c>
      <c r="L20" s="123" t="s">
        <v>237</v>
      </c>
      <c r="M20" s="125" t="s">
        <v>238</v>
      </c>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6"/>
      <c r="BR20" s="526"/>
      <c r="BS20" s="526"/>
      <c r="BT20" s="526"/>
      <c r="BU20" s="526"/>
      <c r="BV20" s="526"/>
      <c r="BW20" s="526"/>
      <c r="BX20" s="526"/>
      <c r="BY20" s="526"/>
      <c r="BZ20" s="526"/>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6"/>
      <c r="CW20" s="526"/>
      <c r="CX20" s="526"/>
      <c r="CY20" s="126"/>
      <c r="CZ20" s="527" t="s">
        <v>239</v>
      </c>
      <c r="DA20" s="527"/>
      <c r="DB20" s="527"/>
      <c r="DC20" s="527"/>
      <c r="DD20" s="527"/>
      <c r="DE20" s="527"/>
      <c r="DF20" s="527"/>
      <c r="DG20" s="527"/>
      <c r="DH20" s="527"/>
      <c r="DI20" s="527"/>
      <c r="DJ20" s="527"/>
      <c r="DK20" s="527"/>
      <c r="DL20" s="527"/>
      <c r="DM20" s="527"/>
      <c r="DN20" s="527"/>
      <c r="DO20" s="527"/>
      <c r="DP20" s="527"/>
      <c r="DQ20" s="527"/>
      <c r="DR20" s="527"/>
      <c r="DS20" s="527"/>
      <c r="DT20" s="527"/>
      <c r="DU20" s="527"/>
      <c r="DV20" s="527"/>
      <c r="DW20" s="527"/>
      <c r="DX20" s="527"/>
      <c r="DY20" s="527"/>
      <c r="DZ20" s="527"/>
      <c r="EA20" s="527"/>
      <c r="EB20" s="527"/>
      <c r="EC20" s="527"/>
      <c r="ED20" s="527"/>
      <c r="EE20" s="527"/>
      <c r="EF20" s="527"/>
      <c r="EG20" s="527"/>
      <c r="EH20" s="527"/>
      <c r="EI20" s="527"/>
      <c r="EJ20" s="527"/>
      <c r="EK20" s="527"/>
      <c r="EL20" s="527"/>
      <c r="EM20" s="527"/>
      <c r="EN20" s="527"/>
      <c r="EO20" s="527"/>
      <c r="EP20" s="527"/>
      <c r="EQ20" s="527"/>
      <c r="ER20" s="527"/>
      <c r="ES20" s="527"/>
      <c r="ET20" s="527"/>
      <c r="EU20" s="527"/>
      <c r="EV20" s="527"/>
      <c r="EW20" s="527"/>
      <c r="EX20" s="527"/>
      <c r="EY20" s="527"/>
      <c r="EZ20" s="527"/>
      <c r="FA20" s="527"/>
      <c r="FB20" s="527"/>
      <c r="FC20" s="527"/>
      <c r="FD20" s="527"/>
      <c r="FE20" s="527"/>
      <c r="FF20" s="527"/>
      <c r="FG20" s="527"/>
      <c r="FH20" s="527"/>
      <c r="FI20" s="527"/>
      <c r="FJ20" s="527"/>
      <c r="FK20" s="527"/>
      <c r="FL20" s="527"/>
      <c r="FM20" s="527"/>
      <c r="FN20" s="527"/>
      <c r="FO20" s="527"/>
      <c r="FP20" s="527"/>
      <c r="FQ20" s="527"/>
      <c r="FR20" s="527"/>
      <c r="FS20" s="527"/>
      <c r="FT20" s="527"/>
      <c r="FU20" s="527"/>
      <c r="FV20" s="527"/>
      <c r="FW20" s="527"/>
      <c r="FX20" s="527"/>
      <c r="FY20" s="527"/>
      <c r="FZ20" s="527"/>
      <c r="GA20" s="527"/>
      <c r="GB20" s="527"/>
      <c r="GC20" s="527"/>
      <c r="GD20" s="527"/>
      <c r="GE20" s="527"/>
      <c r="GF20" s="527"/>
      <c r="GG20" s="527"/>
      <c r="GH20" s="527"/>
      <c r="GI20" s="527"/>
      <c r="GJ20" s="527"/>
      <c r="GK20" s="527"/>
      <c r="GL20" s="122"/>
    </row>
    <row r="21" spans="1:194" s="8" customFormat="1" ht="28">
      <c r="A21" s="124"/>
      <c r="B21" s="123"/>
      <c r="C21" s="123"/>
      <c r="D21" s="25" t="s">
        <v>223</v>
      </c>
      <c r="E21" s="26" t="s">
        <v>224</v>
      </c>
      <c r="F21" s="82" t="s">
        <v>240</v>
      </c>
      <c r="G21" s="81" t="s">
        <v>238</v>
      </c>
      <c r="H21" s="81" t="s">
        <v>239</v>
      </c>
      <c r="I21" s="82" t="s">
        <v>238</v>
      </c>
      <c r="J21" s="81" t="s">
        <v>239</v>
      </c>
      <c r="K21" s="82" t="s">
        <v>238</v>
      </c>
      <c r="L21" s="27" t="s">
        <v>239</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241</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241</v>
      </c>
    </row>
    <row r="22" spans="1:194" s="1" customFormat="1">
      <c r="A22" s="30"/>
      <c r="B22" s="72"/>
      <c r="C22" s="60"/>
      <c r="D22" s="78"/>
      <c r="E22" s="78"/>
      <c r="F22" s="528"/>
      <c r="G22" s="528"/>
      <c r="H22" s="78"/>
      <c r="I22" s="78"/>
      <c r="J22" s="78"/>
      <c r="K22" s="528"/>
      <c r="L22" s="7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8"/>
      <c r="BV22" s="528"/>
      <c r="BW22" s="528"/>
      <c r="BX22" s="528"/>
      <c r="BY22" s="528"/>
      <c r="BZ22" s="528"/>
      <c r="CA22" s="528"/>
      <c r="CB22" s="528"/>
      <c r="CC22" s="528"/>
      <c r="CD22" s="528"/>
      <c r="CE22" s="528"/>
      <c r="CF22" s="528"/>
      <c r="CG22" s="528"/>
      <c r="CH22" s="528"/>
      <c r="CI22" s="528"/>
      <c r="CJ22" s="528"/>
      <c r="CK22" s="528"/>
      <c r="CL22" s="528"/>
      <c r="CM22" s="528"/>
      <c r="CN22" s="528"/>
      <c r="CO22" s="528"/>
      <c r="CP22" s="528"/>
      <c r="CQ22" s="528"/>
      <c r="CR22" s="528"/>
      <c r="CS22" s="528"/>
      <c r="CT22" s="528"/>
      <c r="CU22" s="528"/>
      <c r="CV22" s="528"/>
      <c r="CW22" s="528"/>
      <c r="CX22" s="528"/>
      <c r="CY22" s="78"/>
      <c r="CZ22" s="528"/>
      <c r="DA22" s="528"/>
      <c r="DB22" s="528"/>
      <c r="DC22" s="528"/>
      <c r="DD22" s="528"/>
      <c r="DE22" s="528"/>
      <c r="DF22" s="528"/>
      <c r="DG22" s="528"/>
      <c r="DH22" s="528"/>
      <c r="DI22" s="528"/>
      <c r="DJ22" s="528"/>
      <c r="DK22" s="528"/>
      <c r="DL22" s="528"/>
      <c r="DM22" s="528"/>
      <c r="DN22" s="528"/>
      <c r="DO22" s="528"/>
      <c r="DP22" s="528"/>
      <c r="DQ22" s="528"/>
      <c r="DR22" s="528"/>
      <c r="DS22" s="528"/>
      <c r="DT22" s="528"/>
      <c r="DU22" s="528"/>
      <c r="DV22" s="528"/>
      <c r="DW22" s="528"/>
      <c r="DX22" s="528"/>
      <c r="DY22" s="528"/>
      <c r="DZ22" s="528"/>
      <c r="EA22" s="528"/>
      <c r="EB22" s="528"/>
      <c r="EC22" s="528"/>
      <c r="ED22" s="528"/>
      <c r="EE22" s="528"/>
      <c r="EF22" s="528"/>
      <c r="EG22" s="528"/>
      <c r="EH22" s="528"/>
      <c r="EI22" s="528"/>
      <c r="EJ22" s="528"/>
      <c r="EK22" s="528"/>
      <c r="EL22" s="528"/>
      <c r="EM22" s="528"/>
      <c r="EN22" s="528"/>
      <c r="EO22" s="528"/>
      <c r="EP22" s="528"/>
      <c r="EQ22" s="528"/>
      <c r="ER22" s="528"/>
      <c r="ES22" s="528"/>
      <c r="ET22" s="528"/>
      <c r="EU22" s="528"/>
      <c r="EV22" s="528"/>
      <c r="EW22" s="528"/>
      <c r="EX22" s="528"/>
      <c r="EY22" s="528"/>
      <c r="EZ22" s="528"/>
      <c r="FA22" s="528"/>
      <c r="FB22" s="528"/>
      <c r="FC22" s="528"/>
      <c r="FD22" s="528"/>
      <c r="FE22" s="528"/>
      <c r="FF22" s="528"/>
      <c r="FG22" s="528"/>
      <c r="FH22" s="528"/>
      <c r="FI22" s="528"/>
      <c r="FJ22" s="528"/>
      <c r="FK22" s="528"/>
      <c r="FL22" s="528"/>
      <c r="FM22" s="528"/>
      <c r="FN22" s="528"/>
      <c r="FO22" s="528"/>
      <c r="FP22" s="528"/>
      <c r="FQ22" s="528"/>
      <c r="FR22" s="528"/>
      <c r="FS22" s="528"/>
      <c r="FT22" s="528"/>
      <c r="FU22" s="528"/>
      <c r="FV22" s="528"/>
      <c r="FW22" s="528"/>
      <c r="FX22" s="528"/>
      <c r="FY22" s="528"/>
      <c r="FZ22" s="528"/>
      <c r="GA22" s="528"/>
      <c r="GB22" s="528"/>
      <c r="GC22" s="528"/>
      <c r="GD22" s="528"/>
      <c r="GE22" s="528"/>
      <c r="GF22" s="528"/>
      <c r="GG22" s="528"/>
      <c r="GH22" s="528"/>
      <c r="GI22" s="528"/>
      <c r="GJ22" s="528"/>
      <c r="GK22" s="528"/>
      <c r="GL22" s="78"/>
    </row>
    <row r="23" spans="1:194" s="70" customFormat="1" ht="21.75" customHeight="1">
      <c r="A23" s="65" t="s">
        <v>197</v>
      </c>
      <c r="B23" s="66" t="s">
        <v>197</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c r="A25" s="74" t="s">
        <v>39</v>
      </c>
      <c r="B25" s="553" t="s">
        <v>41</v>
      </c>
      <c r="C25" s="75" t="s">
        <v>242</v>
      </c>
      <c r="D25" s="77">
        <f t="shared" ref="D25:E27" si="3">I25</f>
        <v>21895402</v>
      </c>
      <c r="E25" s="77">
        <f t="shared" si="3"/>
        <v>23324090</v>
      </c>
      <c r="F25" s="529">
        <f>G25+H25</f>
        <v>57106398</v>
      </c>
      <c r="G25" s="529">
        <f>SUM(M25:CY25)</f>
        <v>27983290</v>
      </c>
      <c r="H25" s="76">
        <f>SUM(CZ25:GL25)</f>
        <v>29123108</v>
      </c>
      <c r="I25" s="76">
        <f>SUM(AE25:CY25)</f>
        <v>21895402</v>
      </c>
      <c r="J25" s="76">
        <f>SUM(DR25:GL25)</f>
        <v>23324090</v>
      </c>
      <c r="K25" s="530">
        <f>SUM(M25:AD25)</f>
        <v>6087888</v>
      </c>
      <c r="L25" s="77">
        <f>SUM(CZ25:DQ25)</f>
        <v>5799018</v>
      </c>
      <c r="M25" s="529">
        <v>305120</v>
      </c>
      <c r="N25" s="529">
        <v>303019</v>
      </c>
      <c r="O25" s="529">
        <v>314737</v>
      </c>
      <c r="P25" s="529">
        <v>321299</v>
      </c>
      <c r="Q25" s="529">
        <v>325230</v>
      </c>
      <c r="R25" s="529">
        <v>333023</v>
      </c>
      <c r="S25" s="529">
        <v>343154</v>
      </c>
      <c r="T25" s="529">
        <v>339729</v>
      </c>
      <c r="U25" s="529">
        <v>341966</v>
      </c>
      <c r="V25" s="529">
        <v>351482</v>
      </c>
      <c r="W25" s="529">
        <v>360539</v>
      </c>
      <c r="X25" s="529">
        <v>361688</v>
      </c>
      <c r="Y25" s="529">
        <v>356777</v>
      </c>
      <c r="Z25" s="529">
        <v>354079</v>
      </c>
      <c r="AA25" s="529">
        <v>357199</v>
      </c>
      <c r="AB25" s="529">
        <v>344190</v>
      </c>
      <c r="AC25" s="529">
        <v>336612</v>
      </c>
      <c r="AD25" s="529">
        <v>338045</v>
      </c>
      <c r="AE25" s="529">
        <v>339142</v>
      </c>
      <c r="AF25" s="529">
        <v>339234</v>
      </c>
      <c r="AG25" s="529">
        <v>338398</v>
      </c>
      <c r="AH25" s="529">
        <v>338465</v>
      </c>
      <c r="AI25" s="529">
        <v>345338</v>
      </c>
      <c r="AJ25" s="529">
        <v>358287</v>
      </c>
      <c r="AK25" s="529">
        <v>360304</v>
      </c>
      <c r="AL25" s="529">
        <v>365799</v>
      </c>
      <c r="AM25" s="529">
        <v>360324</v>
      </c>
      <c r="AN25" s="529">
        <v>364086</v>
      </c>
      <c r="AO25" s="529">
        <v>372653</v>
      </c>
      <c r="AP25" s="529">
        <v>372807</v>
      </c>
      <c r="AQ25" s="529">
        <v>383710</v>
      </c>
      <c r="AR25" s="529">
        <v>389563</v>
      </c>
      <c r="AS25" s="529">
        <v>387640</v>
      </c>
      <c r="AT25" s="529">
        <v>384620</v>
      </c>
      <c r="AU25" s="529">
        <v>387905</v>
      </c>
      <c r="AV25" s="529">
        <v>378829</v>
      </c>
      <c r="AW25" s="529">
        <v>378199</v>
      </c>
      <c r="AX25" s="529">
        <v>377186</v>
      </c>
      <c r="AY25" s="529">
        <v>365502</v>
      </c>
      <c r="AZ25" s="529">
        <v>366111</v>
      </c>
      <c r="BA25" s="529">
        <v>365728</v>
      </c>
      <c r="BB25" s="529">
        <v>369097</v>
      </c>
      <c r="BC25" s="529">
        <v>371802</v>
      </c>
      <c r="BD25" s="529">
        <v>357560</v>
      </c>
      <c r="BE25" s="529">
        <v>334069</v>
      </c>
      <c r="BF25" s="529">
        <v>328458</v>
      </c>
      <c r="BG25" s="529">
        <v>335746</v>
      </c>
      <c r="BH25" s="529">
        <v>342585</v>
      </c>
      <c r="BI25" s="529">
        <v>346685</v>
      </c>
      <c r="BJ25" s="529">
        <v>360442</v>
      </c>
      <c r="BK25" s="529">
        <v>373390</v>
      </c>
      <c r="BL25" s="529">
        <v>385375</v>
      </c>
      <c r="BM25" s="529">
        <v>375807</v>
      </c>
      <c r="BN25" s="529">
        <v>383988</v>
      </c>
      <c r="BO25" s="529">
        <v>382566</v>
      </c>
      <c r="BP25" s="529">
        <v>385629</v>
      </c>
      <c r="BQ25" s="529">
        <v>381742</v>
      </c>
      <c r="BR25" s="529">
        <v>381998</v>
      </c>
      <c r="BS25" s="529">
        <v>376164</v>
      </c>
      <c r="BT25" s="529">
        <v>367036</v>
      </c>
      <c r="BU25" s="529">
        <v>357672</v>
      </c>
      <c r="BV25" s="529">
        <v>344928</v>
      </c>
      <c r="BW25" s="529">
        <v>329857</v>
      </c>
      <c r="BX25" s="529">
        <v>319451</v>
      </c>
      <c r="BY25" s="529">
        <v>309724</v>
      </c>
      <c r="BZ25" s="529">
        <v>294558</v>
      </c>
      <c r="CA25" s="529">
        <v>282293</v>
      </c>
      <c r="CB25" s="529">
        <v>268536</v>
      </c>
      <c r="CC25" s="529">
        <v>266443</v>
      </c>
      <c r="CD25" s="529">
        <v>260410</v>
      </c>
      <c r="CE25" s="529">
        <v>249450</v>
      </c>
      <c r="CF25" s="529">
        <v>249080</v>
      </c>
      <c r="CG25" s="529">
        <v>249070</v>
      </c>
      <c r="CH25" s="529">
        <v>252982</v>
      </c>
      <c r="CI25" s="529">
        <v>263625</v>
      </c>
      <c r="CJ25" s="529">
        <v>283090</v>
      </c>
      <c r="CK25" s="529">
        <v>211587</v>
      </c>
      <c r="CL25" s="529">
        <v>200401</v>
      </c>
      <c r="CM25" s="529">
        <v>195036</v>
      </c>
      <c r="CN25" s="529">
        <v>174093</v>
      </c>
      <c r="CO25" s="529">
        <v>149572</v>
      </c>
      <c r="CP25" s="529">
        <v>127665</v>
      </c>
      <c r="CQ25" s="529">
        <v>127183</v>
      </c>
      <c r="CR25" s="529">
        <v>120061</v>
      </c>
      <c r="CS25" s="529">
        <v>109873</v>
      </c>
      <c r="CT25" s="529">
        <v>97456</v>
      </c>
      <c r="CU25" s="529">
        <v>84705</v>
      </c>
      <c r="CV25" s="529">
        <v>73428</v>
      </c>
      <c r="CW25" s="529">
        <v>60864</v>
      </c>
      <c r="CX25" s="529">
        <v>51376</v>
      </c>
      <c r="CY25" s="529">
        <v>170964</v>
      </c>
      <c r="CZ25" s="529">
        <v>291186</v>
      </c>
      <c r="DA25" s="529">
        <v>289546</v>
      </c>
      <c r="DB25" s="529">
        <v>300800</v>
      </c>
      <c r="DC25" s="529">
        <v>305906</v>
      </c>
      <c r="DD25" s="529">
        <v>310539</v>
      </c>
      <c r="DE25" s="529">
        <v>318263</v>
      </c>
      <c r="DF25" s="529">
        <v>326932</v>
      </c>
      <c r="DG25" s="529">
        <v>324633</v>
      </c>
      <c r="DH25" s="529">
        <v>326780</v>
      </c>
      <c r="DI25" s="529">
        <v>334543</v>
      </c>
      <c r="DJ25" s="529">
        <v>344341</v>
      </c>
      <c r="DK25" s="529">
        <v>343967</v>
      </c>
      <c r="DL25" s="529">
        <v>339949</v>
      </c>
      <c r="DM25" s="529">
        <v>337345</v>
      </c>
      <c r="DN25" s="529">
        <v>340474</v>
      </c>
      <c r="DO25" s="529">
        <v>326885</v>
      </c>
      <c r="DP25" s="529">
        <v>319023</v>
      </c>
      <c r="DQ25" s="529">
        <v>317906</v>
      </c>
      <c r="DR25" s="529">
        <v>318297</v>
      </c>
      <c r="DS25" s="529">
        <v>319325</v>
      </c>
      <c r="DT25" s="529">
        <v>325075</v>
      </c>
      <c r="DU25" s="529">
        <v>327194</v>
      </c>
      <c r="DV25" s="529">
        <v>333614</v>
      </c>
      <c r="DW25" s="529">
        <v>350669</v>
      </c>
      <c r="DX25" s="529">
        <v>358581</v>
      </c>
      <c r="DY25" s="529">
        <v>367839</v>
      </c>
      <c r="DZ25" s="529">
        <v>363988</v>
      </c>
      <c r="EA25" s="529">
        <v>374022</v>
      </c>
      <c r="EB25" s="529">
        <v>387522</v>
      </c>
      <c r="EC25" s="529">
        <v>390671</v>
      </c>
      <c r="ED25" s="529">
        <v>404331</v>
      </c>
      <c r="EE25" s="529">
        <v>410921</v>
      </c>
      <c r="EF25" s="529">
        <v>413176</v>
      </c>
      <c r="EG25" s="529">
        <v>411450</v>
      </c>
      <c r="EH25" s="529">
        <v>417983</v>
      </c>
      <c r="EI25" s="529">
        <v>409203</v>
      </c>
      <c r="EJ25" s="529">
        <v>404000</v>
      </c>
      <c r="EK25" s="529">
        <v>401928</v>
      </c>
      <c r="EL25" s="529">
        <v>389436</v>
      </c>
      <c r="EM25" s="529">
        <v>389518</v>
      </c>
      <c r="EN25" s="529">
        <v>386124</v>
      </c>
      <c r="EO25" s="529">
        <v>390735</v>
      </c>
      <c r="EP25" s="529">
        <v>390956</v>
      </c>
      <c r="EQ25" s="529">
        <v>373536</v>
      </c>
      <c r="ER25" s="529">
        <v>346385</v>
      </c>
      <c r="ES25" s="529">
        <v>339293</v>
      </c>
      <c r="ET25" s="529">
        <v>345871</v>
      </c>
      <c r="EU25" s="529">
        <v>353016</v>
      </c>
      <c r="EV25" s="529">
        <v>356906</v>
      </c>
      <c r="EW25" s="529">
        <v>370244</v>
      </c>
      <c r="EX25" s="529">
        <v>384214</v>
      </c>
      <c r="EY25" s="529">
        <v>399644</v>
      </c>
      <c r="EZ25" s="529">
        <v>389031</v>
      </c>
      <c r="FA25" s="529">
        <v>397139</v>
      </c>
      <c r="FB25" s="529">
        <v>395547</v>
      </c>
      <c r="FC25" s="529">
        <v>396676</v>
      </c>
      <c r="FD25" s="529">
        <v>396578</v>
      </c>
      <c r="FE25" s="529">
        <v>396708</v>
      </c>
      <c r="FF25" s="529">
        <v>390539</v>
      </c>
      <c r="FG25" s="529">
        <v>380695</v>
      </c>
      <c r="FH25" s="529">
        <v>371143</v>
      </c>
      <c r="FI25" s="529">
        <v>355407</v>
      </c>
      <c r="FJ25" s="529">
        <v>340408</v>
      </c>
      <c r="FK25" s="529">
        <v>331322</v>
      </c>
      <c r="FL25" s="529">
        <v>321164</v>
      </c>
      <c r="FM25" s="529">
        <v>308551</v>
      </c>
      <c r="FN25" s="529">
        <v>295719</v>
      </c>
      <c r="FO25" s="529">
        <v>284931</v>
      </c>
      <c r="FP25" s="529">
        <v>285437</v>
      </c>
      <c r="FQ25" s="529">
        <v>278929</v>
      </c>
      <c r="FR25" s="529">
        <v>271460</v>
      </c>
      <c r="FS25" s="529">
        <v>271487</v>
      </c>
      <c r="FT25" s="529">
        <v>275610</v>
      </c>
      <c r="FU25" s="529">
        <v>280129</v>
      </c>
      <c r="FV25" s="529">
        <v>294843</v>
      </c>
      <c r="FW25" s="529">
        <v>316380</v>
      </c>
      <c r="FX25" s="529">
        <v>240292</v>
      </c>
      <c r="FY25" s="529">
        <v>230370</v>
      </c>
      <c r="FZ25" s="529">
        <v>225985</v>
      </c>
      <c r="GA25" s="529">
        <v>206546</v>
      </c>
      <c r="GB25" s="529">
        <v>181398</v>
      </c>
      <c r="GC25" s="529">
        <v>159103</v>
      </c>
      <c r="GD25" s="529">
        <v>161482</v>
      </c>
      <c r="GE25" s="529">
        <v>155577</v>
      </c>
      <c r="GF25" s="529">
        <v>145759</v>
      </c>
      <c r="GG25" s="529">
        <v>132931</v>
      </c>
      <c r="GH25" s="529">
        <v>120255</v>
      </c>
      <c r="GI25" s="529">
        <v>107758</v>
      </c>
      <c r="GJ25" s="529">
        <v>93505</v>
      </c>
      <c r="GK25" s="529">
        <v>82264</v>
      </c>
      <c r="GL25" s="529">
        <v>349365</v>
      </c>
    </row>
    <row r="26" spans="1:194" s="8" customFormat="1">
      <c r="A26" s="32" t="s">
        <v>39</v>
      </c>
      <c r="B26" s="554" t="s">
        <v>243</v>
      </c>
      <c r="C26" s="33" t="s">
        <v>244</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c r="A27" s="38" t="s">
        <v>39</v>
      </c>
      <c r="B27" s="555" t="s">
        <v>245</v>
      </c>
      <c r="C27" s="39" t="s">
        <v>246</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c r="A28" s="44"/>
      <c r="B28" s="556"/>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hidden="1">
      <c r="A29" s="83" t="s">
        <v>228</v>
      </c>
      <c r="B29" s="557" t="s">
        <v>247</v>
      </c>
      <c r="C29" s="72" t="str">
        <f t="shared" ref="C29:C92" si="4">CONCATENATE(A29," - ",B29)</f>
        <v xml:space="preserve">England – CCGs - Barnsley </v>
      </c>
      <c r="D29" s="61">
        <f>I29</f>
        <v>95316</v>
      </c>
      <c r="E29" s="61">
        <f>J29</f>
        <v>100485</v>
      </c>
      <c r="F29" s="531">
        <f>G29+H29</f>
        <v>246482</v>
      </c>
      <c r="G29" s="531">
        <f>SUM(M29:CY29)</f>
        <v>121223</v>
      </c>
      <c r="H29" s="62">
        <f>SUM(CZ29:GL29)</f>
        <v>125259</v>
      </c>
      <c r="I29" s="62">
        <f>SUM(AE29:CY29)</f>
        <v>95316</v>
      </c>
      <c r="J29" s="62">
        <f>SUM(DR29:GL29)</f>
        <v>100485</v>
      </c>
      <c r="K29" s="532">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hidden="1">
      <c r="A30" s="87" t="s">
        <v>228</v>
      </c>
      <c r="B30" s="557" t="s">
        <v>248</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hidden="1">
      <c r="A31" s="87" t="s">
        <v>228</v>
      </c>
      <c r="B31" s="557" t="s">
        <v>249</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hidden="1">
      <c r="A32" s="87" t="s">
        <v>228</v>
      </c>
      <c r="B32" s="557" t="s">
        <v>250</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hidden="1">
      <c r="A33" s="87" t="s">
        <v>228</v>
      </c>
      <c r="B33" s="557" t="s">
        <v>251</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hidden="1">
      <c r="A34" s="87" t="s">
        <v>228</v>
      </c>
      <c r="B34" s="557" t="s">
        <v>252</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hidden="1">
      <c r="A35" s="87" t="s">
        <v>228</v>
      </c>
      <c r="B35" s="557" t="s">
        <v>253</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hidden="1">
      <c r="A36" s="87" t="s">
        <v>228</v>
      </c>
      <c r="B36" s="557" t="s">
        <v>254</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hidden="1">
      <c r="A37" s="87" t="s">
        <v>228</v>
      </c>
      <c r="B37" s="557" t="s">
        <v>255</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hidden="1">
      <c r="A38" s="87" t="s">
        <v>228</v>
      </c>
      <c r="B38" s="557" t="s">
        <v>256</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hidden="1">
      <c r="A39" s="87" t="s">
        <v>228</v>
      </c>
      <c r="B39" s="557" t="s">
        <v>257</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hidden="1">
      <c r="A40" s="87" t="s">
        <v>228</v>
      </c>
      <c r="B40" s="557" t="s">
        <v>258</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hidden="1">
      <c r="A41" s="87" t="s">
        <v>228</v>
      </c>
      <c r="B41" s="557" t="s">
        <v>259</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hidden="1">
      <c r="A42" s="87" t="s">
        <v>228</v>
      </c>
      <c r="B42" s="557" t="s">
        <v>260</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hidden="1">
      <c r="A43" s="87" t="s">
        <v>228</v>
      </c>
      <c r="B43" s="557" t="s">
        <v>261</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hidden="1">
      <c r="A44" s="87" t="s">
        <v>228</v>
      </c>
      <c r="B44" s="557" t="s">
        <v>262</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hidden="1">
      <c r="A45" s="87" t="s">
        <v>228</v>
      </c>
      <c r="B45" s="557" t="s">
        <v>263</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hidden="1">
      <c r="A46" s="87" t="s">
        <v>228</v>
      </c>
      <c r="B46" s="557" t="s">
        <v>264</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hidden="1">
      <c r="A47" s="87" t="s">
        <v>228</v>
      </c>
      <c r="B47" s="557" t="s">
        <v>265</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hidden="1">
      <c r="A48" s="87" t="s">
        <v>228</v>
      </c>
      <c r="B48" s="557" t="s">
        <v>266</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hidden="1">
      <c r="A49" s="87" t="s">
        <v>228</v>
      </c>
      <c r="B49" s="557" t="s">
        <v>267</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hidden="1">
      <c r="A50" s="87" t="s">
        <v>228</v>
      </c>
      <c r="B50" s="557" t="s">
        <v>268</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hidden="1">
      <c r="A51" s="87" t="s">
        <v>228</v>
      </c>
      <c r="B51" s="557" t="s">
        <v>269</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hidden="1">
      <c r="A52" s="87" t="s">
        <v>228</v>
      </c>
      <c r="B52" s="557" t="s">
        <v>270</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hidden="1">
      <c r="A53" s="87" t="s">
        <v>228</v>
      </c>
      <c r="B53" s="557" t="s">
        <v>271</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hidden="1">
      <c r="A54" s="87" t="s">
        <v>228</v>
      </c>
      <c r="B54" s="557" t="s">
        <v>272</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hidden="1">
      <c r="A55" s="87" t="s">
        <v>228</v>
      </c>
      <c r="B55" s="557" t="s">
        <v>273</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hidden="1">
      <c r="A56" s="87" t="s">
        <v>228</v>
      </c>
      <c r="B56" s="557" t="s">
        <v>274</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hidden="1">
      <c r="A57" s="87" t="s">
        <v>228</v>
      </c>
      <c r="B57" s="557" t="s">
        <v>275</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hidden="1">
      <c r="A58" s="87" t="s">
        <v>228</v>
      </c>
      <c r="B58" s="557" t="s">
        <v>276</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hidden="1">
      <c r="A59" s="87" t="s">
        <v>228</v>
      </c>
      <c r="B59" s="557" t="s">
        <v>277</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hidden="1">
      <c r="A60" s="87" t="s">
        <v>228</v>
      </c>
      <c r="B60" s="557" t="s">
        <v>278</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hidden="1">
      <c r="A61" s="87" t="s">
        <v>228</v>
      </c>
      <c r="B61" s="557" t="s">
        <v>279</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hidden="1">
      <c r="A62" s="87" t="s">
        <v>228</v>
      </c>
      <c r="B62" s="557" t="s">
        <v>280</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hidden="1">
      <c r="A63" s="87" t="s">
        <v>228</v>
      </c>
      <c r="B63" s="557" t="s">
        <v>281</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hidden="1">
      <c r="A64" s="87" t="s">
        <v>228</v>
      </c>
      <c r="B64" s="557" t="s">
        <v>282</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hidden="1">
      <c r="A65" s="87" t="s">
        <v>228</v>
      </c>
      <c r="B65" s="557" t="s">
        <v>283</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hidden="1">
      <c r="A66" s="87" t="s">
        <v>228</v>
      </c>
      <c r="B66" s="557" t="s">
        <v>284</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hidden="1">
      <c r="A67" s="87" t="s">
        <v>228</v>
      </c>
      <c r="B67" s="557" t="s">
        <v>285</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hidden="1">
      <c r="A68" s="87" t="s">
        <v>228</v>
      </c>
      <c r="B68" s="557" t="s">
        <v>286</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hidden="1">
      <c r="A69" s="87" t="s">
        <v>228</v>
      </c>
      <c r="B69" s="557" t="s">
        <v>287</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hidden="1">
      <c r="A70" s="87" t="s">
        <v>228</v>
      </c>
      <c r="B70" s="557" t="s">
        <v>288</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hidden="1">
      <c r="A71" s="87" t="s">
        <v>228</v>
      </c>
      <c r="B71" s="557" t="s">
        <v>289</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hidden="1">
      <c r="A72" s="87" t="s">
        <v>228</v>
      </c>
      <c r="B72" s="557" t="s">
        <v>290</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hidden="1">
      <c r="A73" s="87" t="s">
        <v>228</v>
      </c>
      <c r="B73" s="557" t="s">
        <v>291</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hidden="1">
      <c r="A74" s="87" t="s">
        <v>228</v>
      </c>
      <c r="B74" s="557" t="s">
        <v>292</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hidden="1">
      <c r="A75" s="87" t="s">
        <v>228</v>
      </c>
      <c r="B75" s="557" t="s">
        <v>293</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hidden="1">
      <c r="A76" s="87" t="s">
        <v>228</v>
      </c>
      <c r="B76" s="557" t="s">
        <v>294</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hidden="1">
      <c r="A77" s="87" t="s">
        <v>228</v>
      </c>
      <c r="B77" s="557" t="s">
        <v>295</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hidden="1">
      <c r="A78" s="87" t="s">
        <v>228</v>
      </c>
      <c r="B78" s="557" t="s">
        <v>296</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hidden="1">
      <c r="A79" s="87" t="s">
        <v>228</v>
      </c>
      <c r="B79" s="557" t="s">
        <v>297</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hidden="1">
      <c r="A80" s="87" t="s">
        <v>228</v>
      </c>
      <c r="B80" s="557" t="s">
        <v>298</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hidden="1">
      <c r="A81" s="87" t="s">
        <v>228</v>
      </c>
      <c r="B81" s="557" t="s">
        <v>299</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hidden="1">
      <c r="A82" s="87" t="s">
        <v>228</v>
      </c>
      <c r="B82" s="557" t="s">
        <v>300</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hidden="1">
      <c r="A83" s="87" t="s">
        <v>228</v>
      </c>
      <c r="B83" s="557" t="s">
        <v>301</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hidden="1">
      <c r="A84" s="87" t="s">
        <v>228</v>
      </c>
      <c r="B84" s="557" t="s">
        <v>302</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hidden="1">
      <c r="A85" s="87" t="s">
        <v>228</v>
      </c>
      <c r="B85" s="557" t="s">
        <v>303</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hidden="1">
      <c r="A86" s="87" t="s">
        <v>228</v>
      </c>
      <c r="B86" s="557" t="s">
        <v>304</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hidden="1">
      <c r="A87" s="87" t="s">
        <v>228</v>
      </c>
      <c r="B87" s="557" t="s">
        <v>305</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hidden="1">
      <c r="A88" s="87" t="s">
        <v>228</v>
      </c>
      <c r="B88" s="557" t="s">
        <v>306</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hidden="1">
      <c r="A89" s="87" t="s">
        <v>228</v>
      </c>
      <c r="B89" s="557" t="s">
        <v>307</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hidden="1">
      <c r="A90" s="87" t="s">
        <v>228</v>
      </c>
      <c r="B90" s="557" t="s">
        <v>308</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hidden="1">
      <c r="A91" s="87" t="s">
        <v>228</v>
      </c>
      <c r="B91" s="557" t="s">
        <v>309</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hidden="1">
      <c r="A92" s="87" t="s">
        <v>228</v>
      </c>
      <c r="B92" s="557" t="s">
        <v>310</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hidden="1">
      <c r="A93" s="87" t="s">
        <v>228</v>
      </c>
      <c r="B93" s="557" t="s">
        <v>311</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hidden="1">
      <c r="A94" s="87" t="s">
        <v>228</v>
      </c>
      <c r="B94" s="557" t="s">
        <v>312</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hidden="1">
      <c r="A95" s="87" t="s">
        <v>228</v>
      </c>
      <c r="B95" s="557" t="s">
        <v>313</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hidden="1">
      <c r="A96" s="87" t="s">
        <v>228</v>
      </c>
      <c r="B96" s="557" t="s">
        <v>314</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hidden="1">
      <c r="A97" s="87" t="s">
        <v>228</v>
      </c>
      <c r="B97" s="557" t="s">
        <v>315</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hidden="1">
      <c r="A98" s="87" t="s">
        <v>228</v>
      </c>
      <c r="B98" s="557" t="s">
        <v>316</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hidden="1">
      <c r="A99" s="87" t="s">
        <v>228</v>
      </c>
      <c r="B99" s="557" t="s">
        <v>317</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hidden="1">
      <c r="A100" s="87" t="s">
        <v>228</v>
      </c>
      <c r="B100" s="557" t="s">
        <v>318</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hidden="1">
      <c r="A101" s="87" t="s">
        <v>228</v>
      </c>
      <c r="B101" s="557" t="s">
        <v>319</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hidden="1">
      <c r="A102" s="87" t="s">
        <v>228</v>
      </c>
      <c r="B102" s="557" t="s">
        <v>320</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hidden="1">
      <c r="A103" s="87" t="s">
        <v>228</v>
      </c>
      <c r="B103" s="557" t="s">
        <v>321</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hidden="1">
      <c r="A104" s="87" t="s">
        <v>228</v>
      </c>
      <c r="B104" s="557" t="s">
        <v>322</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hidden="1">
      <c r="A105" s="87" t="s">
        <v>228</v>
      </c>
      <c r="B105" s="557" t="s">
        <v>323</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hidden="1">
      <c r="A106" s="87" t="s">
        <v>228</v>
      </c>
      <c r="B106" s="557" t="s">
        <v>324</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hidden="1">
      <c r="A107" s="87" t="s">
        <v>228</v>
      </c>
      <c r="B107" s="557" t="s">
        <v>325</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hidden="1">
      <c r="A108" s="87" t="s">
        <v>228</v>
      </c>
      <c r="B108" s="557" t="s">
        <v>326</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hidden="1">
      <c r="A109" s="87" t="s">
        <v>228</v>
      </c>
      <c r="B109" s="557" t="s">
        <v>327</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hidden="1">
      <c r="A110" s="87" t="s">
        <v>228</v>
      </c>
      <c r="B110" s="557" t="s">
        <v>328</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hidden="1">
      <c r="A111" s="87" t="s">
        <v>228</v>
      </c>
      <c r="B111" s="557" t="s">
        <v>329</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hidden="1">
      <c r="A112" s="87" t="s">
        <v>228</v>
      </c>
      <c r="B112" s="557" t="s">
        <v>330</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hidden="1">
      <c r="A113" s="87" t="s">
        <v>228</v>
      </c>
      <c r="B113" s="557" t="s">
        <v>331</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hidden="1">
      <c r="A114" s="87" t="s">
        <v>228</v>
      </c>
      <c r="B114" s="557" t="s">
        <v>332</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hidden="1">
      <c r="A115" s="87" t="s">
        <v>228</v>
      </c>
      <c r="B115" s="557" t="s">
        <v>333</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hidden="1">
      <c r="A116" s="87" t="s">
        <v>228</v>
      </c>
      <c r="B116" s="557" t="s">
        <v>334</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hidden="1">
      <c r="A117" s="87" t="s">
        <v>228</v>
      </c>
      <c r="B117" s="557" t="s">
        <v>335</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hidden="1">
      <c r="A118" s="87" t="s">
        <v>228</v>
      </c>
      <c r="B118" s="557" t="s">
        <v>336</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hidden="1">
      <c r="A119" s="87" t="s">
        <v>228</v>
      </c>
      <c r="B119" s="557" t="s">
        <v>337</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hidden="1">
      <c r="A120" s="87" t="s">
        <v>228</v>
      </c>
      <c r="B120" s="557" t="s">
        <v>338</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hidden="1">
      <c r="A121" s="87" t="s">
        <v>228</v>
      </c>
      <c r="B121" s="557" t="s">
        <v>339</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hidden="1">
      <c r="A122" s="87" t="s">
        <v>228</v>
      </c>
      <c r="B122" s="557" t="s">
        <v>340</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hidden="1">
      <c r="A123" s="87" t="s">
        <v>228</v>
      </c>
      <c r="B123" s="557" t="s">
        <v>341</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hidden="1">
      <c r="A124" s="87" t="s">
        <v>228</v>
      </c>
      <c r="B124" s="557" t="s">
        <v>342</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hidden="1">
      <c r="A125" s="87" t="s">
        <v>228</v>
      </c>
      <c r="B125" s="557" t="s">
        <v>343</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hidden="1">
      <c r="A126" s="87" t="s">
        <v>228</v>
      </c>
      <c r="B126" s="557" t="s">
        <v>344</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hidden="1">
      <c r="A127" s="87" t="s">
        <v>228</v>
      </c>
      <c r="B127" s="557" t="s">
        <v>345</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hidden="1">
      <c r="A128" s="87" t="s">
        <v>228</v>
      </c>
      <c r="B128" s="557" t="s">
        <v>346</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hidden="1">
      <c r="A129" s="87" t="s">
        <v>228</v>
      </c>
      <c r="B129" s="557" t="s">
        <v>347</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hidden="1">
      <c r="A130" s="87" t="s">
        <v>228</v>
      </c>
      <c r="B130" s="557" t="s">
        <v>348</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hidden="1">
      <c r="A131" s="87" t="s">
        <v>228</v>
      </c>
      <c r="B131" s="557" t="s">
        <v>349</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hidden="1">
      <c r="A132" s="87" t="s">
        <v>228</v>
      </c>
      <c r="B132" s="557" t="s">
        <v>350</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hidden="1">
      <c r="A133" s="87" t="s">
        <v>228</v>
      </c>
      <c r="B133" s="557" t="s">
        <v>351</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hidden="1">
      <c r="A134" s="87" t="s">
        <v>228</v>
      </c>
      <c r="B134" s="557" t="s">
        <v>352</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hidden="1">
      <c r="A135" s="113"/>
      <c r="B135" s="558"/>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hidden="1">
      <c r="A136" s="54" t="s">
        <v>208</v>
      </c>
      <c r="B136" s="559" t="s">
        <v>353</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hidden="1">
      <c r="A137" s="54" t="s">
        <v>208</v>
      </c>
      <c r="B137" s="560" t="s">
        <v>354</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hidden="1">
      <c r="A138" s="54" t="s">
        <v>208</v>
      </c>
      <c r="B138" s="560" t="s">
        <v>355</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hidden="1">
      <c r="A139" s="54" t="s">
        <v>208</v>
      </c>
      <c r="B139" s="560" t="s">
        <v>356</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hidden="1">
      <c r="A140" s="54" t="s">
        <v>208</v>
      </c>
      <c r="B140" s="560" t="s">
        <v>357</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hidden="1">
      <c r="A141" s="54" t="s">
        <v>208</v>
      </c>
      <c r="B141" s="560" t="s">
        <v>358</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hidden="1">
      <c r="A142" s="55" t="s">
        <v>208</v>
      </c>
      <c r="B142" s="561" t="s">
        <v>359</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hidden="1">
      <c r="A143" s="117"/>
      <c r="B143" s="562"/>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hidden="1">
      <c r="A144" s="59" t="s">
        <v>211</v>
      </c>
      <c r="B144" s="559" t="s">
        <v>360</v>
      </c>
      <c r="C144" s="72" t="str">
        <f>CONCATENATE(A144," - ",B144)</f>
        <v>NI – Health and Social Care Trusts - Belfast Health and Social Care Trust</v>
      </c>
      <c r="D144" s="61">
        <f t="shared" ref="D144:E148" si="33">I144</f>
        <v>138553.97738288154</v>
      </c>
      <c r="E144" s="61">
        <f t="shared" si="33"/>
        <v>149546.65719477332</v>
      </c>
      <c r="F144" s="531">
        <f>G144+H144</f>
        <v>364103.61922965694</v>
      </c>
      <c r="G144" s="531">
        <f>SUM(M144:CY144)</f>
        <v>177508.17393508262</v>
      </c>
      <c r="H144" s="62">
        <f>SUM(CZ144:GL144)</f>
        <v>186595.44529457431</v>
      </c>
      <c r="I144" s="62">
        <f>SUM(AE144:CY144)</f>
        <v>138553.97738288154</v>
      </c>
      <c r="J144" s="62">
        <f>SUM(DR144:GL144)</f>
        <v>149546.65719477332</v>
      </c>
      <c r="K144" s="532">
        <f>SUM(M144:AD144)</f>
        <v>38954.196552201036</v>
      </c>
      <c r="L144" s="61">
        <f>SUM(CZ144:DQ144)</f>
        <v>37048.788099800979</v>
      </c>
      <c r="M144" s="532">
        <v>2017.8952120383037</v>
      </c>
      <c r="N144" s="532">
        <v>2031.4154300095463</v>
      </c>
      <c r="O144" s="532">
        <v>2025.5722779004586</v>
      </c>
      <c r="P144" s="532">
        <v>2036.6363244919048</v>
      </c>
      <c r="Q144" s="532">
        <v>2174.8657606103957</v>
      </c>
      <c r="R144" s="532">
        <v>2139.1275684252282</v>
      </c>
      <c r="S144" s="532">
        <v>2269.8788621098379</v>
      </c>
      <c r="T144" s="532">
        <v>2199.8731034482757</v>
      </c>
      <c r="U144" s="532">
        <v>2214.1918960244648</v>
      </c>
      <c r="V144" s="532">
        <v>2323.0202012443356</v>
      </c>
      <c r="W144" s="532">
        <v>2319.2258355916892</v>
      </c>
      <c r="X144" s="532">
        <v>2302.9974595842955</v>
      </c>
      <c r="Y144" s="532">
        <v>2256.5049293083684</v>
      </c>
      <c r="Z144" s="532">
        <v>2212.0418107754977</v>
      </c>
      <c r="AA144" s="532">
        <v>2229.1199141767324</v>
      </c>
      <c r="AB144" s="532">
        <v>2134.8894582108355</v>
      </c>
      <c r="AC144" s="532">
        <v>2012.6591474539725</v>
      </c>
      <c r="AD144" s="532">
        <v>2054.2813607968933</v>
      </c>
      <c r="AE144" s="532">
        <v>2265.0450211864404</v>
      </c>
      <c r="AF144" s="532">
        <v>2804.7232134687529</v>
      </c>
      <c r="AG144" s="532">
        <v>2878.6458486407055</v>
      </c>
      <c r="AH144" s="532">
        <v>2648.2416475163518</v>
      </c>
      <c r="AI144" s="532">
        <v>2812.8031562871206</v>
      </c>
      <c r="AJ144" s="532">
        <v>2819.1729711141679</v>
      </c>
      <c r="AK144" s="532">
        <v>2731.7522704339053</v>
      </c>
      <c r="AL144" s="532">
        <v>2754.8174718956493</v>
      </c>
      <c r="AM144" s="532">
        <v>2792.2450211225105</v>
      </c>
      <c r="AN144" s="532">
        <v>2709.9772329246935</v>
      </c>
      <c r="AO144" s="532">
        <v>2693.0545391183132</v>
      </c>
      <c r="AP144" s="532">
        <v>2739.741847362131</v>
      </c>
      <c r="AQ144" s="532">
        <v>2738.9105892047796</v>
      </c>
      <c r="AR144" s="532">
        <v>2711.0666008067833</v>
      </c>
      <c r="AS144" s="532">
        <v>2782.8070289619263</v>
      </c>
      <c r="AT144" s="532">
        <v>2691.3420944220152</v>
      </c>
      <c r="AU144" s="532">
        <v>2575.2371291098634</v>
      </c>
      <c r="AV144" s="532">
        <v>2616.3572226656024</v>
      </c>
      <c r="AW144" s="532">
        <v>2585.9089460686691</v>
      </c>
      <c r="AX144" s="532">
        <v>2533.264568094025</v>
      </c>
      <c r="AY144" s="532">
        <v>2413.1614349775782</v>
      </c>
      <c r="AZ144" s="532">
        <v>2431.4496314496314</v>
      </c>
      <c r="BA144" s="532">
        <v>2293.8903732491299</v>
      </c>
      <c r="BB144" s="532">
        <v>2344.819097470061</v>
      </c>
      <c r="BC144" s="532">
        <v>2403.7633319021038</v>
      </c>
      <c r="BD144" s="532">
        <v>2239.8626248466794</v>
      </c>
      <c r="BE144" s="532">
        <v>2047.4737312365976</v>
      </c>
      <c r="BF144" s="532">
        <v>2052.8353243075835</v>
      </c>
      <c r="BG144" s="532">
        <v>1984.3233076189651</v>
      </c>
      <c r="BH144" s="532">
        <v>1967.3126347206103</v>
      </c>
      <c r="BI144" s="532">
        <v>1977.5348837209303</v>
      </c>
      <c r="BJ144" s="532">
        <v>2084.857469993683</v>
      </c>
      <c r="BK144" s="532">
        <v>2131.2999446158715</v>
      </c>
      <c r="BL144" s="532">
        <v>2143.6819436775263</v>
      </c>
      <c r="BM144" s="532">
        <v>2073.8563380281689</v>
      </c>
      <c r="BN144" s="532">
        <v>2300.7910402197972</v>
      </c>
      <c r="BO144" s="532">
        <v>2326.6164287385909</v>
      </c>
      <c r="BP144" s="532">
        <v>2307.9060786106033</v>
      </c>
      <c r="BQ144" s="532">
        <v>2344.6145362640732</v>
      </c>
      <c r="BR144" s="532">
        <v>2368.012116504854</v>
      </c>
      <c r="BS144" s="532">
        <v>2252.978437722139</v>
      </c>
      <c r="BT144" s="532">
        <v>2241.3179516972359</v>
      </c>
      <c r="BU144" s="532">
        <v>2297.6054466954502</v>
      </c>
      <c r="BV144" s="532">
        <v>2198.0522088353414</v>
      </c>
      <c r="BW144" s="532">
        <v>2021.5031326614003</v>
      </c>
      <c r="BX144" s="532">
        <v>2002.5265144540601</v>
      </c>
      <c r="BY144" s="532">
        <v>1890.3538506703198</v>
      </c>
      <c r="BZ144" s="532">
        <v>1822.7951142631994</v>
      </c>
      <c r="CA144" s="532">
        <v>1687.8206664564279</v>
      </c>
      <c r="CB144" s="532">
        <v>1588.8602704443015</v>
      </c>
      <c r="CC144" s="532">
        <v>1552.3684032476319</v>
      </c>
      <c r="CD144" s="532">
        <v>1527.1244533743056</v>
      </c>
      <c r="CE144" s="532">
        <v>1273.9034871433603</v>
      </c>
      <c r="CF144" s="532">
        <v>1290.2680573978055</v>
      </c>
      <c r="CG144" s="532">
        <v>1292.323121170439</v>
      </c>
      <c r="CH144" s="532">
        <v>1203.3575933400607</v>
      </c>
      <c r="CI144" s="532">
        <v>1137.5975561687032</v>
      </c>
      <c r="CJ144" s="532">
        <v>1181.2559576345984</v>
      </c>
      <c r="CK144" s="532">
        <v>1033.272138554217</v>
      </c>
      <c r="CL144" s="532">
        <v>966.99722735674675</v>
      </c>
      <c r="CM144" s="532">
        <v>986.02355350742448</v>
      </c>
      <c r="CN144" s="532">
        <v>974.00968523002427</v>
      </c>
      <c r="CO144" s="532">
        <v>796.9</v>
      </c>
      <c r="CP144" s="532">
        <v>696.19117288466236</v>
      </c>
      <c r="CQ144" s="532">
        <v>621.99595857539782</v>
      </c>
      <c r="CR144" s="532">
        <v>600.77992957746471</v>
      </c>
      <c r="CS144" s="532">
        <v>583.85111740635818</v>
      </c>
      <c r="CT144" s="532">
        <v>522.79582712369597</v>
      </c>
      <c r="CU144" s="532">
        <v>452.41860465116281</v>
      </c>
      <c r="CV144" s="532">
        <v>372.84571129707109</v>
      </c>
      <c r="CW144" s="532">
        <v>312.34061135371184</v>
      </c>
      <c r="CX144" s="532">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hidden="1">
      <c r="A145" s="59" t="s">
        <v>211</v>
      </c>
      <c r="B145" s="560" t="s">
        <v>361</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hidden="1">
      <c r="A146" s="59" t="s">
        <v>211</v>
      </c>
      <c r="B146" s="560" t="s">
        <v>362</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hidden="1">
      <c r="A147" s="59" t="s">
        <v>211</v>
      </c>
      <c r="B147" s="560" t="s">
        <v>363</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hidden="1">
      <c r="A148" s="63" t="s">
        <v>211</v>
      </c>
      <c r="B148" s="561" t="s">
        <v>364</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hidden="1">
      <c r="A149" s="117"/>
      <c r="B149" s="562"/>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hidden="1">
      <c r="A150" s="73" t="s">
        <v>206</v>
      </c>
      <c r="B150" s="563" t="s">
        <v>365</v>
      </c>
      <c r="C150" s="72" t="str">
        <f>CONCATENATE(A150," - ",B150)</f>
        <v>NHSE regions - East of England</v>
      </c>
      <c r="D150" s="61">
        <f t="shared" ref="D150:E156" si="35">I150</f>
        <v>2447757</v>
      </c>
      <c r="E150" s="61">
        <f t="shared" si="35"/>
        <v>2602371</v>
      </c>
      <c r="F150" s="531">
        <f t="shared" ref="F150:F156" si="36">G150+H150</f>
        <v>6398497</v>
      </c>
      <c r="G150" s="531">
        <f t="shared" ref="G150:G156" si="37">SUM(M150:CY150)</f>
        <v>3138914</v>
      </c>
      <c r="H150" s="62">
        <f t="shared" ref="H150:H156" si="38">SUM(CZ150:GL150)</f>
        <v>3259583</v>
      </c>
      <c r="I150" s="62">
        <f t="shared" ref="I150:I156" si="39">SUM(AE150:CY150)</f>
        <v>2447757</v>
      </c>
      <c r="J150" s="62">
        <f t="shared" ref="J150:J156" si="40">SUM(DR150:GL150)</f>
        <v>2602371</v>
      </c>
      <c r="K150" s="532">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hidden="1">
      <c r="A151" s="64" t="s">
        <v>206</v>
      </c>
      <c r="B151" s="563" t="s">
        <v>366</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hidden="1">
      <c r="A152" s="64" t="s">
        <v>206</v>
      </c>
      <c r="B152" s="563" t="s">
        <v>367</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hidden="1">
      <c r="A153" s="64" t="s">
        <v>206</v>
      </c>
      <c r="B153" s="563" t="s">
        <v>368</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hidden="1">
      <c r="A154" s="64" t="s">
        <v>206</v>
      </c>
      <c r="B154" s="563" t="s">
        <v>369</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hidden="1">
      <c r="A155" s="64" t="s">
        <v>206</v>
      </c>
      <c r="B155" s="563" t="s">
        <v>370</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c r="A156" s="140" t="s">
        <v>206</v>
      </c>
      <c r="B156" s="563" t="s">
        <v>371</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c r="A157" s="118"/>
      <c r="B157" s="564"/>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530"/>
      <c r="O157" s="530"/>
      <c r="P157" s="530"/>
      <c r="Q157" s="530"/>
      <c r="R157" s="530"/>
      <c r="S157" s="530"/>
      <c r="T157" s="530"/>
      <c r="U157" s="530"/>
      <c r="V157" s="530"/>
      <c r="W157" s="530"/>
      <c r="X157" s="530"/>
      <c r="Y157" s="530"/>
      <c r="Z157" s="530"/>
      <c r="AA157" s="530"/>
      <c r="AB157" s="530"/>
      <c r="AC157" s="530"/>
      <c r="AD157" s="530"/>
      <c r="AE157" s="530"/>
      <c r="AF157" s="530"/>
      <c r="AG157" s="530"/>
      <c r="AH157" s="530"/>
      <c r="AI157" s="530"/>
      <c r="AJ157" s="530"/>
      <c r="AK157" s="530"/>
      <c r="AL157" s="530"/>
      <c r="AM157" s="530"/>
      <c r="AN157" s="530"/>
      <c r="AO157" s="530"/>
      <c r="AP157" s="530"/>
      <c r="AQ157" s="530"/>
      <c r="AR157" s="530"/>
      <c r="AS157" s="530"/>
      <c r="AT157" s="530"/>
      <c r="AU157" s="530"/>
      <c r="AV157" s="530"/>
      <c r="AW157" s="530"/>
      <c r="AX157" s="530"/>
      <c r="AY157" s="530"/>
      <c r="AZ157" s="530"/>
      <c r="BA157" s="530"/>
      <c r="BB157" s="530"/>
      <c r="BC157" s="530"/>
      <c r="BD157" s="530"/>
      <c r="BE157" s="530"/>
      <c r="BF157" s="530"/>
      <c r="BG157" s="530"/>
      <c r="BH157" s="530"/>
      <c r="BI157" s="530"/>
      <c r="BJ157" s="530"/>
      <c r="BK157" s="530"/>
      <c r="BL157" s="530"/>
      <c r="BM157" s="530"/>
      <c r="BN157" s="530"/>
      <c r="BO157" s="530"/>
      <c r="BP157" s="530"/>
      <c r="BQ157" s="530"/>
      <c r="BR157" s="530"/>
      <c r="BS157" s="530"/>
      <c r="BT157" s="530"/>
      <c r="BU157" s="530"/>
      <c r="BV157" s="530"/>
      <c r="BW157" s="530"/>
      <c r="BX157" s="530"/>
      <c r="BY157" s="530"/>
      <c r="BZ157" s="530"/>
      <c r="CA157" s="530"/>
      <c r="CB157" s="530"/>
      <c r="CC157" s="530"/>
      <c r="CD157" s="530"/>
      <c r="CE157" s="530"/>
      <c r="CF157" s="530"/>
      <c r="CG157" s="530"/>
      <c r="CH157" s="530"/>
      <c r="CI157" s="530"/>
      <c r="CJ157" s="530"/>
      <c r="CK157" s="530"/>
      <c r="CL157" s="530"/>
      <c r="CM157" s="530"/>
      <c r="CN157" s="530"/>
      <c r="CO157" s="530"/>
      <c r="CP157" s="530"/>
      <c r="CQ157" s="530"/>
      <c r="CR157" s="530"/>
      <c r="CS157" s="530"/>
      <c r="CT157" s="530"/>
      <c r="CU157" s="530"/>
      <c r="CV157" s="530"/>
      <c r="CW157" s="530"/>
      <c r="CX157" s="530"/>
      <c r="CY157" s="77"/>
      <c r="CZ157" s="119"/>
      <c r="DA157" s="530"/>
      <c r="DB157" s="530"/>
      <c r="DC157" s="530"/>
      <c r="DD157" s="530"/>
      <c r="DE157" s="530"/>
      <c r="DF157" s="530"/>
      <c r="DG157" s="530"/>
      <c r="DH157" s="530"/>
      <c r="DI157" s="530"/>
      <c r="DJ157" s="530"/>
      <c r="DK157" s="530"/>
      <c r="DL157" s="530"/>
      <c r="DM157" s="530"/>
      <c r="DN157" s="530"/>
      <c r="DO157" s="530"/>
      <c r="DP157" s="530"/>
      <c r="DQ157" s="530"/>
      <c r="DR157" s="530"/>
      <c r="DS157" s="530"/>
      <c r="DT157" s="530"/>
      <c r="DU157" s="530"/>
      <c r="DV157" s="530"/>
      <c r="DW157" s="530"/>
      <c r="DX157" s="530"/>
      <c r="DY157" s="530"/>
      <c r="DZ157" s="530"/>
      <c r="EA157" s="530"/>
      <c r="EB157" s="530"/>
      <c r="EC157" s="530"/>
      <c r="ED157" s="530"/>
      <c r="EE157" s="530"/>
      <c r="EF157" s="530"/>
      <c r="EG157" s="530"/>
      <c r="EH157" s="530"/>
      <c r="EI157" s="530"/>
      <c r="EJ157" s="530"/>
      <c r="EK157" s="530"/>
      <c r="EL157" s="530"/>
      <c r="EM157" s="530"/>
      <c r="EN157" s="530"/>
      <c r="EO157" s="530"/>
      <c r="EP157" s="530"/>
      <c r="EQ157" s="530"/>
      <c r="ER157" s="530"/>
      <c r="ES157" s="530"/>
      <c r="ET157" s="530"/>
      <c r="EU157" s="530"/>
      <c r="EV157" s="530"/>
      <c r="EW157" s="530"/>
      <c r="EX157" s="530"/>
      <c r="EY157" s="530"/>
      <c r="EZ157" s="530"/>
      <c r="FA157" s="530"/>
      <c r="FB157" s="530"/>
      <c r="FC157" s="530"/>
      <c r="FD157" s="530"/>
      <c r="FE157" s="530"/>
      <c r="FF157" s="530"/>
      <c r="FG157" s="530"/>
      <c r="FH157" s="530"/>
      <c r="FI157" s="530"/>
      <c r="FJ157" s="530"/>
      <c r="FK157" s="530"/>
      <c r="FL157" s="530"/>
      <c r="FM157" s="530"/>
      <c r="FN157" s="530"/>
      <c r="FO157" s="530"/>
      <c r="FP157" s="530"/>
      <c r="FQ157" s="530"/>
      <c r="FR157" s="530"/>
      <c r="FS157" s="530"/>
      <c r="FT157" s="530"/>
      <c r="FU157" s="530"/>
      <c r="FV157" s="530"/>
      <c r="FW157" s="530"/>
      <c r="FX157" s="530"/>
      <c r="FY157" s="530"/>
      <c r="FZ157" s="530"/>
      <c r="GA157" s="530"/>
      <c r="GB157" s="530"/>
      <c r="GC157" s="530"/>
      <c r="GD157" s="530"/>
      <c r="GE157" s="530"/>
      <c r="GF157" s="530"/>
      <c r="GG157" s="530"/>
      <c r="GH157" s="530"/>
      <c r="GI157" s="530"/>
      <c r="GJ157" s="530"/>
      <c r="GK157" s="530"/>
      <c r="GL157" s="77"/>
    </row>
    <row r="158" spans="1:194" s="1" customFormat="1">
      <c r="A158" s="108" t="s">
        <v>831</v>
      </c>
      <c r="B158" s="565" t="s">
        <v>832</v>
      </c>
      <c r="C158" s="533" t="str">
        <f t="shared" si="43"/>
        <v>England ICB - NHS Bath and North East Somerset, Swindon and Wiltshire Integrated Care Board</v>
      </c>
      <c r="D158" s="79">
        <f t="shared" ref="D158:E163" si="45">I158</f>
        <v>372192</v>
      </c>
      <c r="E158" s="79">
        <f t="shared" si="45"/>
        <v>388592</v>
      </c>
      <c r="F158" s="109">
        <f t="shared" ref="F158:F163" si="46">G158+H158</f>
        <v>953852</v>
      </c>
      <c r="G158" s="531">
        <f t="shared" ref="G158:G163" si="47">SUM(M158:CY158)</f>
        <v>470982</v>
      </c>
      <c r="H158" s="62">
        <f t="shared" ref="H158:H163" si="48">SUM(CZ158:GL158)</f>
        <v>482870</v>
      </c>
      <c r="I158" s="531">
        <f t="shared" ref="I158:I163" si="49">SUM(AE158:CY158)</f>
        <v>372192</v>
      </c>
      <c r="J158" s="104">
        <f t="shared" ref="J158:J163" si="50">SUM(DR158:GL158)</f>
        <v>388592</v>
      </c>
      <c r="K158" s="106">
        <f t="shared" ref="K158:K163" si="51">SUM(M158:AD158)</f>
        <v>98790</v>
      </c>
      <c r="L158" s="61">
        <f t="shared" ref="L158:L163" si="52">SUM(CZ158:DQ158)</f>
        <v>94278</v>
      </c>
      <c r="M158" s="106">
        <v>4647</v>
      </c>
      <c r="N158" s="532">
        <v>4706</v>
      </c>
      <c r="O158" s="532">
        <v>4907</v>
      </c>
      <c r="P158" s="532">
        <v>5108</v>
      </c>
      <c r="Q158" s="532">
        <v>5293</v>
      </c>
      <c r="R158" s="532">
        <v>5287</v>
      </c>
      <c r="S158" s="532">
        <v>5628</v>
      </c>
      <c r="T158" s="532">
        <v>5623</v>
      </c>
      <c r="U158" s="532">
        <v>5617</v>
      </c>
      <c r="V158" s="532">
        <v>5799</v>
      </c>
      <c r="W158" s="532">
        <v>6160</v>
      </c>
      <c r="X158" s="532">
        <v>6033</v>
      </c>
      <c r="Y158" s="532">
        <v>5955</v>
      </c>
      <c r="Z158" s="532">
        <v>5803</v>
      </c>
      <c r="AA158" s="532">
        <v>5710</v>
      </c>
      <c r="AB158" s="532">
        <v>5605</v>
      </c>
      <c r="AC158" s="532">
        <v>5496</v>
      </c>
      <c r="AD158" s="532">
        <v>5413</v>
      </c>
      <c r="AE158" s="532">
        <v>5967</v>
      </c>
      <c r="AF158" s="532">
        <v>6678</v>
      </c>
      <c r="AG158" s="532">
        <v>6216</v>
      </c>
      <c r="AH158" s="532">
        <v>5569</v>
      </c>
      <c r="AI158" s="532">
        <v>5932</v>
      </c>
      <c r="AJ158" s="532">
        <v>5961</v>
      </c>
      <c r="AK158" s="532">
        <v>5644</v>
      </c>
      <c r="AL158" s="532">
        <v>5569</v>
      </c>
      <c r="AM158" s="532">
        <v>5603</v>
      </c>
      <c r="AN158" s="532">
        <v>5436</v>
      </c>
      <c r="AO158" s="532">
        <v>5723</v>
      </c>
      <c r="AP158" s="532">
        <v>5509</v>
      </c>
      <c r="AQ158" s="532">
        <v>5906</v>
      </c>
      <c r="AR158" s="532">
        <v>5926</v>
      </c>
      <c r="AS158" s="532">
        <v>5999</v>
      </c>
      <c r="AT158" s="532">
        <v>5968</v>
      </c>
      <c r="AU158" s="532">
        <v>6124</v>
      </c>
      <c r="AV158" s="532">
        <v>6089</v>
      </c>
      <c r="AW158" s="532">
        <v>6037</v>
      </c>
      <c r="AX158" s="532">
        <v>5950</v>
      </c>
      <c r="AY158" s="532">
        <v>6029</v>
      </c>
      <c r="AZ158" s="532">
        <v>5880</v>
      </c>
      <c r="BA158" s="532">
        <v>5821</v>
      </c>
      <c r="BB158" s="532">
        <v>5960</v>
      </c>
      <c r="BC158" s="532">
        <v>6033</v>
      </c>
      <c r="BD158" s="532">
        <v>5922</v>
      </c>
      <c r="BE158" s="532">
        <v>5375</v>
      </c>
      <c r="BF158" s="532">
        <v>5274</v>
      </c>
      <c r="BG158" s="532">
        <v>5437</v>
      </c>
      <c r="BH158" s="532">
        <v>5820</v>
      </c>
      <c r="BI158" s="532">
        <v>5866</v>
      </c>
      <c r="BJ158" s="532">
        <v>6432</v>
      </c>
      <c r="BK158" s="532">
        <v>6631</v>
      </c>
      <c r="BL158" s="532">
        <v>6700</v>
      </c>
      <c r="BM158" s="532">
        <v>6536</v>
      </c>
      <c r="BN158" s="532">
        <v>6527</v>
      </c>
      <c r="BO158" s="532">
        <v>6586</v>
      </c>
      <c r="BP158" s="532">
        <v>6746</v>
      </c>
      <c r="BQ158" s="532">
        <v>6723</v>
      </c>
      <c r="BR158" s="532">
        <v>6887</v>
      </c>
      <c r="BS158" s="532">
        <v>6661</v>
      </c>
      <c r="BT158" s="532">
        <v>6550</v>
      </c>
      <c r="BU158" s="532">
        <v>6440</v>
      </c>
      <c r="BV158" s="532">
        <v>6192</v>
      </c>
      <c r="BW158" s="532">
        <v>5977</v>
      </c>
      <c r="BX158" s="532">
        <v>5691</v>
      </c>
      <c r="BY158" s="532">
        <v>5371</v>
      </c>
      <c r="BZ158" s="532">
        <v>5135</v>
      </c>
      <c r="CA158" s="532">
        <v>4863</v>
      </c>
      <c r="CB158" s="532">
        <v>4730</v>
      </c>
      <c r="CC158" s="532">
        <v>4797</v>
      </c>
      <c r="CD158" s="532">
        <v>4544</v>
      </c>
      <c r="CE158" s="532">
        <v>4485</v>
      </c>
      <c r="CF158" s="532">
        <v>4422</v>
      </c>
      <c r="CG158" s="532">
        <v>4421</v>
      </c>
      <c r="CH158" s="532">
        <v>4529</v>
      </c>
      <c r="CI158" s="532">
        <v>4861</v>
      </c>
      <c r="CJ158" s="532">
        <v>5197</v>
      </c>
      <c r="CK158" s="532">
        <v>3865</v>
      </c>
      <c r="CL158" s="532">
        <v>3773</v>
      </c>
      <c r="CM158" s="532">
        <v>3497</v>
      </c>
      <c r="CN158" s="532">
        <v>3141</v>
      </c>
      <c r="CO158" s="532">
        <v>2804</v>
      </c>
      <c r="CP158" s="532">
        <v>2380</v>
      </c>
      <c r="CQ158" s="532">
        <v>2335</v>
      </c>
      <c r="CR158" s="532">
        <v>2209</v>
      </c>
      <c r="CS158" s="532">
        <v>2008</v>
      </c>
      <c r="CT158" s="532">
        <v>1804</v>
      </c>
      <c r="CU158" s="532">
        <v>1625</v>
      </c>
      <c r="CV158" s="532">
        <v>1368</v>
      </c>
      <c r="CW158" s="532">
        <v>1144</v>
      </c>
      <c r="CX158" s="532">
        <v>1023</v>
      </c>
      <c r="CY158" s="61">
        <v>3359</v>
      </c>
      <c r="CZ158" s="106">
        <v>4395</v>
      </c>
      <c r="DA158" s="532">
        <v>4569</v>
      </c>
      <c r="DB158" s="532">
        <v>4724</v>
      </c>
      <c r="DC158" s="532">
        <v>4830</v>
      </c>
      <c r="DD158" s="532">
        <v>5033</v>
      </c>
      <c r="DE158" s="532">
        <v>5193</v>
      </c>
      <c r="DF158" s="532">
        <v>5362</v>
      </c>
      <c r="DG158" s="532">
        <v>5295</v>
      </c>
      <c r="DH158" s="532">
        <v>5344</v>
      </c>
      <c r="DI158" s="532">
        <v>5565</v>
      </c>
      <c r="DJ158" s="532">
        <v>5551</v>
      </c>
      <c r="DK158" s="532">
        <v>5719</v>
      </c>
      <c r="DL158" s="532">
        <v>5546</v>
      </c>
      <c r="DM158" s="532">
        <v>5549</v>
      </c>
      <c r="DN158" s="532">
        <v>5624</v>
      </c>
      <c r="DO158" s="532">
        <v>5574</v>
      </c>
      <c r="DP158" s="532">
        <v>5184</v>
      </c>
      <c r="DQ158" s="532">
        <v>5221</v>
      </c>
      <c r="DR158" s="532">
        <v>5415</v>
      </c>
      <c r="DS158" s="532">
        <v>5600</v>
      </c>
      <c r="DT158" s="532">
        <v>5189</v>
      </c>
      <c r="DU158" s="532">
        <v>4912</v>
      </c>
      <c r="DV158" s="532">
        <v>5426</v>
      </c>
      <c r="DW158" s="532">
        <v>5137</v>
      </c>
      <c r="DX158" s="532">
        <v>5128</v>
      </c>
      <c r="DY158" s="532">
        <v>5294</v>
      </c>
      <c r="DZ158" s="532">
        <v>5013</v>
      </c>
      <c r="EA158" s="532">
        <v>5302</v>
      </c>
      <c r="EB158" s="532">
        <v>5698</v>
      </c>
      <c r="EC158" s="532">
        <v>5815</v>
      </c>
      <c r="ED158" s="532">
        <v>5939</v>
      </c>
      <c r="EE158" s="532">
        <v>6272</v>
      </c>
      <c r="EF158" s="532">
        <v>6263</v>
      </c>
      <c r="EG158" s="532">
        <v>6313</v>
      </c>
      <c r="EH158" s="532">
        <v>6318</v>
      </c>
      <c r="EI158" s="532">
        <v>6535</v>
      </c>
      <c r="EJ158" s="532">
        <v>6131</v>
      </c>
      <c r="EK158" s="532">
        <v>6244</v>
      </c>
      <c r="EL158" s="532">
        <v>6165</v>
      </c>
      <c r="EM158" s="532">
        <v>5942</v>
      </c>
      <c r="EN158" s="532">
        <v>6211</v>
      </c>
      <c r="EO158" s="532">
        <v>6218</v>
      </c>
      <c r="EP158" s="532">
        <v>6104</v>
      </c>
      <c r="EQ158" s="532">
        <v>5799</v>
      </c>
      <c r="ER158" s="532">
        <v>5574</v>
      </c>
      <c r="ES158" s="532">
        <v>5586</v>
      </c>
      <c r="ET158" s="532">
        <v>5770</v>
      </c>
      <c r="EU158" s="532">
        <v>5831</v>
      </c>
      <c r="EV158" s="532">
        <v>6251</v>
      </c>
      <c r="EW158" s="532">
        <v>6563</v>
      </c>
      <c r="EX158" s="532">
        <v>6923</v>
      </c>
      <c r="EY158" s="532">
        <v>6736</v>
      </c>
      <c r="EZ158" s="532">
        <v>6661</v>
      </c>
      <c r="FA158" s="532">
        <v>6860</v>
      </c>
      <c r="FB158" s="532">
        <v>6795</v>
      </c>
      <c r="FC158" s="532">
        <v>7093</v>
      </c>
      <c r="FD158" s="532">
        <v>7056</v>
      </c>
      <c r="FE158" s="532">
        <v>6890</v>
      </c>
      <c r="FF158" s="532">
        <v>6926</v>
      </c>
      <c r="FG158" s="532">
        <v>6551</v>
      </c>
      <c r="FH158" s="532">
        <v>6513</v>
      </c>
      <c r="FI158" s="532">
        <v>6413</v>
      </c>
      <c r="FJ158" s="532">
        <v>5897</v>
      </c>
      <c r="FK158" s="532">
        <v>5838</v>
      </c>
      <c r="FL158" s="532">
        <v>5643</v>
      </c>
      <c r="FM158" s="532">
        <v>5384</v>
      </c>
      <c r="FN158" s="532">
        <v>5189</v>
      </c>
      <c r="FO158" s="532">
        <v>5034</v>
      </c>
      <c r="FP158" s="532">
        <v>5088</v>
      </c>
      <c r="FQ158" s="532">
        <v>5112</v>
      </c>
      <c r="FR158" s="532">
        <v>4845</v>
      </c>
      <c r="FS158" s="532">
        <v>4831</v>
      </c>
      <c r="FT158" s="532">
        <v>4917</v>
      </c>
      <c r="FU158" s="532">
        <v>5074</v>
      </c>
      <c r="FV158" s="532">
        <v>5409</v>
      </c>
      <c r="FW158" s="532">
        <v>5546</v>
      </c>
      <c r="FX158" s="532">
        <v>4375</v>
      </c>
      <c r="FY158" s="532">
        <v>4296</v>
      </c>
      <c r="FZ158" s="532">
        <v>4189</v>
      </c>
      <c r="GA158" s="532">
        <v>3718</v>
      </c>
      <c r="GB158" s="532">
        <v>3306</v>
      </c>
      <c r="GC158" s="532">
        <v>2846</v>
      </c>
      <c r="GD158" s="532">
        <v>2931</v>
      </c>
      <c r="GE158" s="532">
        <v>2828</v>
      </c>
      <c r="GF158" s="532">
        <v>2632</v>
      </c>
      <c r="GG158" s="532">
        <v>2327</v>
      </c>
      <c r="GH158" s="532">
        <v>2137</v>
      </c>
      <c r="GI158" s="532">
        <v>1982</v>
      </c>
      <c r="GJ158" s="532">
        <v>1693</v>
      </c>
      <c r="GK158" s="532">
        <v>1476</v>
      </c>
      <c r="GL158" s="61">
        <v>6674</v>
      </c>
    </row>
    <row r="159" spans="1:194" s="1" customFormat="1">
      <c r="A159" s="110" t="s">
        <v>831</v>
      </c>
      <c r="B159" s="566" t="s">
        <v>833</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c r="A160" s="110" t="s">
        <v>831</v>
      </c>
      <c r="B160" s="566" t="s">
        <v>834</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c r="A161" s="110" t="s">
        <v>831</v>
      </c>
      <c r="B161" s="566" t="s">
        <v>835</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c r="A162" s="110" t="s">
        <v>831</v>
      </c>
      <c r="B162" s="566" t="s">
        <v>836</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c r="A163" s="110" t="s">
        <v>831</v>
      </c>
      <c r="B163" s="566" t="s">
        <v>837</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c r="A164" s="110" t="s">
        <v>831</v>
      </c>
      <c r="B164" s="566" t="s">
        <v>838</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c r="A165" s="110" t="s">
        <v>831</v>
      </c>
      <c r="B165" s="566" t="s">
        <v>839</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c r="A166" s="110" t="s">
        <v>831</v>
      </c>
      <c r="B166" s="566" t="s">
        <v>840</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c r="A167" s="110" t="s">
        <v>831</v>
      </c>
      <c r="B167" s="566" t="s">
        <v>841</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c r="A168" s="110" t="s">
        <v>831</v>
      </c>
      <c r="B168" s="566" t="s">
        <v>842</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c r="A169" s="110" t="s">
        <v>831</v>
      </c>
      <c r="B169" s="566" t="s">
        <v>843</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c r="A170" s="110" t="s">
        <v>831</v>
      </c>
      <c r="B170" s="566" t="s">
        <v>844</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c r="A171" s="110" t="s">
        <v>831</v>
      </c>
      <c r="B171" s="566" t="s">
        <v>845</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c r="A172" s="110" t="s">
        <v>831</v>
      </c>
      <c r="B172" s="566" t="s">
        <v>846</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c r="A173" s="110" t="s">
        <v>831</v>
      </c>
      <c r="B173" s="566" t="s">
        <v>847</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c r="A174" s="110" t="s">
        <v>831</v>
      </c>
      <c r="B174" s="566" t="s">
        <v>848</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c r="A175" s="110" t="s">
        <v>831</v>
      </c>
      <c r="B175" s="566" t="s">
        <v>849</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c r="A176" s="110" t="s">
        <v>831</v>
      </c>
      <c r="B176" s="566" t="s">
        <v>850</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c r="A177" s="110" t="s">
        <v>831</v>
      </c>
      <c r="B177" s="566" t="s">
        <v>851</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c r="A178" s="110" t="s">
        <v>831</v>
      </c>
      <c r="B178" s="566" t="s">
        <v>852</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c r="A179" s="110" t="s">
        <v>831</v>
      </c>
      <c r="B179" s="566" t="s">
        <v>853</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c r="A180" s="110" t="s">
        <v>831</v>
      </c>
      <c r="B180" s="566" t="s">
        <v>854</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c r="A181" s="110" t="s">
        <v>831</v>
      </c>
      <c r="B181" s="566" t="s">
        <v>855</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c r="A182" s="110" t="s">
        <v>831</v>
      </c>
      <c r="B182" s="566" t="s">
        <v>856</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c r="A183" s="110" t="s">
        <v>831</v>
      </c>
      <c r="B183" s="566" t="s">
        <v>857</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c r="A184" s="110" t="s">
        <v>831</v>
      </c>
      <c r="B184" s="566" t="s">
        <v>858</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c r="A185" s="110" t="s">
        <v>831</v>
      </c>
      <c r="B185" s="566" t="s">
        <v>859</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c r="A186" s="110" t="s">
        <v>831</v>
      </c>
      <c r="B186" s="566" t="s">
        <v>860</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c r="A187" s="110" t="s">
        <v>831</v>
      </c>
      <c r="B187" s="566" t="s">
        <v>861</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c r="A188" s="110" t="s">
        <v>831</v>
      </c>
      <c r="B188" s="566" t="s">
        <v>862</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c r="A189" s="110" t="s">
        <v>831</v>
      </c>
      <c r="B189" s="566" t="s">
        <v>863</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c r="A190" s="110" t="s">
        <v>831</v>
      </c>
      <c r="B190" s="566" t="s">
        <v>864</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c r="A191" s="110" t="s">
        <v>831</v>
      </c>
      <c r="B191" s="566" t="s">
        <v>865</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c r="A192" s="110" t="s">
        <v>831</v>
      </c>
      <c r="B192" s="566" t="s">
        <v>866</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c r="A193" s="110" t="s">
        <v>831</v>
      </c>
      <c r="B193" s="566" t="s">
        <v>867</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c r="A194" s="110" t="s">
        <v>831</v>
      </c>
      <c r="B194" s="566" t="s">
        <v>868</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c r="A195" s="110" t="s">
        <v>831</v>
      </c>
      <c r="B195" s="566" t="s">
        <v>869</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c r="A196" s="110" t="s">
        <v>831</v>
      </c>
      <c r="B196" s="566" t="s">
        <v>870</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c r="A197" s="110" t="s">
        <v>831</v>
      </c>
      <c r="B197" s="566" t="s">
        <v>871</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c r="A198" s="110" t="s">
        <v>831</v>
      </c>
      <c r="B198" s="566" t="s">
        <v>872</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c r="A199" s="110" t="s">
        <v>831</v>
      </c>
      <c r="B199" s="566" t="s">
        <v>873</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c r="A200" s="113"/>
      <c r="B200" s="567"/>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c r="A201" s="31" t="s">
        <v>226</v>
      </c>
      <c r="B201" s="1" t="s">
        <v>374</v>
      </c>
      <c r="C201" s="72" t="str">
        <f>CONCATENATE(A201," - ",B201)</f>
        <v>LA England - Adur</v>
      </c>
      <c r="D201" s="61">
        <f t="shared" ref="D201:D265" si="73">I201</f>
        <v>24443</v>
      </c>
      <c r="E201" s="61">
        <f t="shared" ref="E201:E265" si="74">J201</f>
        <v>27108</v>
      </c>
      <c r="F201" s="531">
        <f t="shared" ref="F201:F265" si="75">G201+H201</f>
        <v>64688</v>
      </c>
      <c r="G201" s="531">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c r="A202" s="31" t="s">
        <v>226</v>
      </c>
      <c r="B202" s="1" t="s">
        <v>375</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c r="A203" s="31" t="s">
        <v>226</v>
      </c>
      <c r="B203" s="1" t="s">
        <v>376</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c r="A204" s="31" t="s">
        <v>226</v>
      </c>
      <c r="B204" s="1" t="s">
        <v>377</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c r="A205" s="31" t="s">
        <v>226</v>
      </c>
      <c r="B205" s="1" t="s">
        <v>378</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c r="A206" s="31" t="s">
        <v>226</v>
      </c>
      <c r="B206" s="1" t="s">
        <v>379</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c r="A207" s="31" t="s">
        <v>226</v>
      </c>
      <c r="B207" s="1" t="s">
        <v>380</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c r="A208" s="31" t="s">
        <v>226</v>
      </c>
      <c r="B208" s="1" t="s">
        <v>381</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c r="A209" s="31" t="s">
        <v>226</v>
      </c>
      <c r="B209" s="1" t="s">
        <v>382</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c r="A210" s="31" t="s">
        <v>226</v>
      </c>
      <c r="B210" s="1" t="s">
        <v>383</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c r="A211" s="31" t="s">
        <v>226</v>
      </c>
      <c r="B211" s="1" t="s">
        <v>384</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c r="A212" s="31" t="s">
        <v>226</v>
      </c>
      <c r="B212" s="1" t="s">
        <v>385</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c r="A213" s="31" t="s">
        <v>226</v>
      </c>
      <c r="B213" s="1" t="s">
        <v>386</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c r="A214" s="31" t="s">
        <v>226</v>
      </c>
      <c r="B214" s="1" t="s">
        <v>387</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c r="A215" s="31" t="s">
        <v>226</v>
      </c>
      <c r="B215" s="1" t="s">
        <v>388</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c r="A216" s="31" t="s">
        <v>226</v>
      </c>
      <c r="B216" s="1" t="s">
        <v>389</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c r="A217" s="31" t="s">
        <v>226</v>
      </c>
      <c r="B217" s="1" t="s">
        <v>390</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c r="A218" s="31" t="s">
        <v>226</v>
      </c>
      <c r="B218" s="1" t="s">
        <v>391</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c r="A219" s="31" t="s">
        <v>226</v>
      </c>
      <c r="B219" s="1" t="s">
        <v>392</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c r="A220" s="31" t="s">
        <v>226</v>
      </c>
      <c r="B220" s="1" t="s">
        <v>393</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c r="A221" s="31" t="s">
        <v>226</v>
      </c>
      <c r="B221" s="1" t="s">
        <v>394</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c r="A222" s="31" t="s">
        <v>226</v>
      </c>
      <c r="B222" s="1" t="s">
        <v>395</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c r="A223" s="31" t="s">
        <v>226</v>
      </c>
      <c r="B223" s="1" t="s">
        <v>396</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c r="A224" s="31" t="s">
        <v>226</v>
      </c>
      <c r="B224" s="1" t="s">
        <v>397</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c r="A225" s="31" t="s">
        <v>226</v>
      </c>
      <c r="B225" s="1" t="s">
        <v>398</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c r="A226" s="31" t="s">
        <v>226</v>
      </c>
      <c r="B226" s="1" t="s">
        <v>399</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c r="A227" s="31" t="s">
        <v>226</v>
      </c>
      <c r="B227" s="1" t="s">
        <v>400</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c r="A228" s="31" t="s">
        <v>226</v>
      </c>
      <c r="B228" s="1" t="s">
        <v>401</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c r="A229" s="31" t="s">
        <v>226</v>
      </c>
      <c r="B229" s="1" t="s">
        <v>402</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c r="A230" s="31" t="s">
        <v>226</v>
      </c>
      <c r="B230" s="1" t="s">
        <v>403</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c r="A231" s="31" t="s">
        <v>226</v>
      </c>
      <c r="B231" s="1" t="s">
        <v>404</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c r="A232" s="31" t="s">
        <v>226</v>
      </c>
      <c r="B232" s="1" t="s">
        <v>405</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c r="A233" s="31" t="s">
        <v>226</v>
      </c>
      <c r="B233" s="1" t="s">
        <v>406</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c r="A234" s="31" t="s">
        <v>226</v>
      </c>
      <c r="B234" s="1" t="s">
        <v>407</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c r="A235" s="31" t="s">
        <v>226</v>
      </c>
      <c r="B235" s="1" t="s">
        <v>408</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c r="A236" s="31" t="s">
        <v>226</v>
      </c>
      <c r="B236" s="1" t="s">
        <v>409</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c r="A237" s="31" t="s">
        <v>226</v>
      </c>
      <c r="B237" s="1" t="s">
        <v>410</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c r="A238" s="31" t="s">
        <v>226</v>
      </c>
      <c r="B238" s="1" t="s">
        <v>411</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c r="A239" s="31" t="s">
        <v>226</v>
      </c>
      <c r="B239" s="1" t="s">
        <v>412</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c r="A240" s="31" t="s">
        <v>226</v>
      </c>
      <c r="B240" s="1" t="s">
        <v>413</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c r="A241" s="31" t="s">
        <v>226</v>
      </c>
      <c r="B241" s="1" t="s">
        <v>414</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c r="A242" s="31" t="s">
        <v>226</v>
      </c>
      <c r="B242" s="1" t="s">
        <v>415</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c r="A243" s="31" t="s">
        <v>226</v>
      </c>
      <c r="B243" s="1" t="s">
        <v>416</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c r="A244" s="31" t="s">
        <v>226</v>
      </c>
      <c r="B244" s="1" t="s">
        <v>417</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c r="A245" s="31" t="s">
        <v>226</v>
      </c>
      <c r="B245" s="1" t="s">
        <v>418</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c r="A246" s="31" t="s">
        <v>226</v>
      </c>
      <c r="B246" s="1" t="s">
        <v>419</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c r="A247" s="31" t="s">
        <v>226</v>
      </c>
      <c r="B247" s="1" t="s">
        <v>420</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c r="A248" s="31" t="s">
        <v>226</v>
      </c>
      <c r="B248" s="1" t="s">
        <v>421</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c r="A249" s="31" t="s">
        <v>226</v>
      </c>
      <c r="B249" s="1" t="s">
        <v>422</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c r="A250" s="31" t="s">
        <v>226</v>
      </c>
      <c r="B250" s="1" t="s">
        <v>423</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c r="A251" s="31" t="s">
        <v>226</v>
      </c>
      <c r="B251" s="1" t="s">
        <v>424</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c r="A252" s="31" t="s">
        <v>226</v>
      </c>
      <c r="B252" s="1" t="s">
        <v>425</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c r="A253" s="31" t="s">
        <v>226</v>
      </c>
      <c r="B253" s="1" t="s">
        <v>426</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c r="A254" s="31" t="s">
        <v>226</v>
      </c>
      <c r="B254" s="1" t="s">
        <v>427</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c r="A255" s="31" t="s">
        <v>226</v>
      </c>
      <c r="B255" s="1" t="s">
        <v>428</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c r="A256" s="31" t="s">
        <v>226</v>
      </c>
      <c r="B256" s="1" t="s">
        <v>429</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c r="A257" s="31" t="s">
        <v>226</v>
      </c>
      <c r="B257" s="1" t="s">
        <v>430</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c r="A258" s="31" t="s">
        <v>226</v>
      </c>
      <c r="B258" s="1" t="s">
        <v>431</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c r="A259" s="31" t="s">
        <v>226</v>
      </c>
      <c r="B259" s="1" t="s">
        <v>432</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c r="A260" s="31" t="s">
        <v>226</v>
      </c>
      <c r="B260" s="1" t="s">
        <v>433</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c r="A261" s="31" t="s">
        <v>226</v>
      </c>
      <c r="B261" s="1" t="s">
        <v>434</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c r="A262" s="31" t="s">
        <v>226</v>
      </c>
      <c r="B262" s="1" t="s">
        <v>435</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c r="A263" s="31" t="s">
        <v>226</v>
      </c>
      <c r="B263" s="1" t="s">
        <v>436</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c r="A264" s="31" t="s">
        <v>226</v>
      </c>
      <c r="B264" s="1" t="s">
        <v>874</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c r="A265" s="31" t="s">
        <v>226</v>
      </c>
      <c r="B265" s="1" t="s">
        <v>437</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c r="A266" s="31" t="s">
        <v>226</v>
      </c>
      <c r="B266" s="1" t="s">
        <v>438</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c r="A267" s="31" t="s">
        <v>226</v>
      </c>
      <c r="B267" s="1" t="s">
        <v>439</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c r="A268" s="31" t="s">
        <v>226</v>
      </c>
      <c r="B268" s="1" t="s">
        <v>440</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c r="A269" s="31" t="s">
        <v>226</v>
      </c>
      <c r="B269" s="1" t="s">
        <v>441</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c r="A270" s="31" t="s">
        <v>226</v>
      </c>
      <c r="B270" s="1" t="s">
        <v>442</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c r="A271" s="31" t="s">
        <v>226</v>
      </c>
      <c r="B271" s="1" t="s">
        <v>372</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c r="A272" s="31" t="s">
        <v>226</v>
      </c>
      <c r="B272" s="1" t="s">
        <v>443</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c r="A273" s="31" t="s">
        <v>226</v>
      </c>
      <c r="B273" s="1" t="s">
        <v>444</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c r="A274" s="31" t="s">
        <v>226</v>
      </c>
      <c r="B274" s="1" t="s">
        <v>445</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c r="A275" s="31" t="s">
        <v>226</v>
      </c>
      <c r="B275" s="1" t="s">
        <v>446</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c r="A276" s="31" t="s">
        <v>226</v>
      </c>
      <c r="B276" s="1" t="s">
        <v>447</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c r="A277" s="31" t="s">
        <v>226</v>
      </c>
      <c r="B277" s="1" t="s">
        <v>448</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c r="A278" s="31" t="s">
        <v>226</v>
      </c>
      <c r="B278" s="1" t="s">
        <v>449</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c r="A279" s="31" t="s">
        <v>226</v>
      </c>
      <c r="B279" s="1" t="s">
        <v>450</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c r="A280" s="31" t="s">
        <v>226</v>
      </c>
      <c r="B280" s="1" t="s">
        <v>451</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c r="A281" s="31" t="s">
        <v>226</v>
      </c>
      <c r="B281" s="1" t="s">
        <v>452</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c r="A282" s="31" t="s">
        <v>226</v>
      </c>
      <c r="B282" s="1" t="s">
        <v>453</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c r="A283" s="31" t="s">
        <v>226</v>
      </c>
      <c r="B283" s="1" t="s">
        <v>454</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c r="A284" s="31" t="s">
        <v>226</v>
      </c>
      <c r="B284" s="1" t="s">
        <v>455</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c r="A285" s="31" t="s">
        <v>226</v>
      </c>
      <c r="B285" s="1" t="s">
        <v>456</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c r="A286" s="31" t="s">
        <v>226</v>
      </c>
      <c r="B286" s="1" t="s">
        <v>457</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c r="A287" s="31" t="s">
        <v>226</v>
      </c>
      <c r="B287" s="1" t="s">
        <v>458</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c r="A288" s="31" t="s">
        <v>226</v>
      </c>
      <c r="B288" s="1" t="s">
        <v>459</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c r="A289" s="31" t="s">
        <v>226</v>
      </c>
      <c r="B289" s="1" t="s">
        <v>460</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c r="A290" s="31" t="s">
        <v>226</v>
      </c>
      <c r="B290" s="1" t="s">
        <v>461</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c r="A291" s="31" t="s">
        <v>226</v>
      </c>
      <c r="B291" s="1" t="s">
        <v>462</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c r="A292" s="31" t="s">
        <v>226</v>
      </c>
      <c r="B292" s="1" t="s">
        <v>463</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c r="A293" s="31" t="s">
        <v>226</v>
      </c>
      <c r="B293" s="1" t="s">
        <v>464</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c r="A294" s="31" t="s">
        <v>226</v>
      </c>
      <c r="B294" s="1" t="s">
        <v>465</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c r="A295" s="31" t="s">
        <v>226</v>
      </c>
      <c r="B295" s="1" t="s">
        <v>466</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c r="A296" s="31" t="s">
        <v>226</v>
      </c>
      <c r="B296" s="1" t="s">
        <v>467</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c r="A297" s="31" t="s">
        <v>226</v>
      </c>
      <c r="B297" s="1" t="s">
        <v>468</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c r="A298" s="31" t="s">
        <v>226</v>
      </c>
      <c r="B298" s="1" t="s">
        <v>469</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c r="A299" s="31" t="s">
        <v>226</v>
      </c>
      <c r="B299" s="1" t="s">
        <v>470</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c r="A300" s="31" t="s">
        <v>226</v>
      </c>
      <c r="B300" s="1" t="s">
        <v>471</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c r="A301" s="31" t="s">
        <v>226</v>
      </c>
      <c r="B301" s="1" t="s">
        <v>472</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c r="A302" s="31" t="s">
        <v>226</v>
      </c>
      <c r="B302" s="1" t="s">
        <v>473</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c r="A303" s="31" t="s">
        <v>226</v>
      </c>
      <c r="B303" s="1" t="s">
        <v>474</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c r="A304" s="31" t="s">
        <v>226</v>
      </c>
      <c r="B304" s="1" t="s">
        <v>475</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c r="A305" s="31" t="s">
        <v>226</v>
      </c>
      <c r="B305" s="1" t="s">
        <v>476</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c r="A306" s="31" t="s">
        <v>226</v>
      </c>
      <c r="B306" s="1" t="s">
        <v>477</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c r="A307" s="31" t="s">
        <v>226</v>
      </c>
      <c r="B307" s="1" t="s">
        <v>478</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c r="A308" s="31" t="s">
        <v>226</v>
      </c>
      <c r="B308" s="1" t="s">
        <v>479</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c r="A309" s="31" t="s">
        <v>226</v>
      </c>
      <c r="B309" s="1" t="s">
        <v>480</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c r="A310" s="31" t="s">
        <v>226</v>
      </c>
      <c r="B310" s="1" t="s">
        <v>481</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c r="A311" s="31" t="s">
        <v>226</v>
      </c>
      <c r="B311" s="1" t="s">
        <v>482</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c r="A312" s="31" t="s">
        <v>226</v>
      </c>
      <c r="B312" s="1" t="s">
        <v>483</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c r="A313" s="31" t="s">
        <v>226</v>
      </c>
      <c r="B313" s="1" t="s">
        <v>484</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c r="A314" s="31" t="s">
        <v>226</v>
      </c>
      <c r="B314" s="1" t="s">
        <v>485</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c r="A315" s="31" t="s">
        <v>226</v>
      </c>
      <c r="B315" s="1" t="s">
        <v>486</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c r="A316" s="31" t="s">
        <v>226</v>
      </c>
      <c r="B316" s="1" t="s">
        <v>487</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c r="A317" s="31" t="s">
        <v>226</v>
      </c>
      <c r="B317" s="1" t="s">
        <v>488</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c r="A318" s="31" t="s">
        <v>226</v>
      </c>
      <c r="B318" s="1" t="s">
        <v>489</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c r="A319" s="31" t="s">
        <v>226</v>
      </c>
      <c r="B319" s="1" t="s">
        <v>490</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c r="A320" s="31" t="s">
        <v>226</v>
      </c>
      <c r="B320" s="1" t="s">
        <v>491</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c r="A321" s="31" t="s">
        <v>226</v>
      </c>
      <c r="B321" s="1" t="s">
        <v>492</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c r="A322" s="31" t="s">
        <v>226</v>
      </c>
      <c r="B322" s="1" t="s">
        <v>493</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c r="A323" s="31" t="s">
        <v>226</v>
      </c>
      <c r="B323" s="1" t="s">
        <v>494</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c r="A324" s="31" t="s">
        <v>226</v>
      </c>
      <c r="B324" s="1" t="s">
        <v>495</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c r="A325" s="31" t="s">
        <v>226</v>
      </c>
      <c r="B325" s="1" t="s">
        <v>496</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c r="A326" s="31" t="s">
        <v>226</v>
      </c>
      <c r="B326" s="1" t="s">
        <v>497</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c r="A327" s="31" t="s">
        <v>226</v>
      </c>
      <c r="B327" s="1" t="s">
        <v>498</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c r="A328" s="31" t="s">
        <v>226</v>
      </c>
      <c r="B328" s="1" t="s">
        <v>499</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c r="A329" s="31" t="s">
        <v>226</v>
      </c>
      <c r="B329" s="1" t="s">
        <v>500</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c r="A330" s="31" t="s">
        <v>226</v>
      </c>
      <c r="B330" s="1" t="s">
        <v>501</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c r="A331" s="31" t="s">
        <v>226</v>
      </c>
      <c r="B331" s="1" t="s">
        <v>502</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c r="A332" s="31" t="s">
        <v>226</v>
      </c>
      <c r="B332" s="1" t="s">
        <v>503</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c r="A333" s="31" t="s">
        <v>226</v>
      </c>
      <c r="B333" s="1" t="s">
        <v>504</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c r="A334" s="31" t="s">
        <v>226</v>
      </c>
      <c r="B334" s="1" t="s">
        <v>505</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c r="A335" s="31" t="s">
        <v>226</v>
      </c>
      <c r="B335" s="1" t="s">
        <v>506</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c r="A336" s="31" t="s">
        <v>226</v>
      </c>
      <c r="B336" s="1" t="s">
        <v>507</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c r="A337" s="31" t="s">
        <v>226</v>
      </c>
      <c r="B337" s="1" t="s">
        <v>508</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c r="A338" s="31" t="s">
        <v>226</v>
      </c>
      <c r="B338" s="1" t="s">
        <v>509</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c r="A339" s="31" t="s">
        <v>226</v>
      </c>
      <c r="B339" s="1" t="s">
        <v>510</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c r="A340" s="31" t="s">
        <v>226</v>
      </c>
      <c r="B340" s="1" t="s">
        <v>511</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c r="A341" s="31" t="s">
        <v>226</v>
      </c>
      <c r="B341" s="1" t="s">
        <v>512</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c r="A342" s="31" t="s">
        <v>226</v>
      </c>
      <c r="B342" s="1" t="s">
        <v>513</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c r="A343" s="31" t="s">
        <v>226</v>
      </c>
      <c r="B343" s="1" t="s">
        <v>514</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c r="A344" s="31" t="s">
        <v>226</v>
      </c>
      <c r="B344" s="1" t="s">
        <v>515</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c r="A345" s="31" t="s">
        <v>226</v>
      </c>
      <c r="B345" s="1" t="s">
        <v>516</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c r="A346" s="31" t="s">
        <v>226</v>
      </c>
      <c r="B346" s="1" t="s">
        <v>517</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c r="A347" s="31" t="s">
        <v>226</v>
      </c>
      <c r="B347" s="1" t="s">
        <v>518</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c r="A348" s="31" t="s">
        <v>226</v>
      </c>
      <c r="B348" s="1" t="s">
        <v>519</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c r="A349" s="31" t="s">
        <v>226</v>
      </c>
      <c r="B349" s="1" t="s">
        <v>520</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c r="A350" s="31" t="s">
        <v>226</v>
      </c>
      <c r="B350" s="1" t="s">
        <v>521</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c r="A351" s="31" t="s">
        <v>226</v>
      </c>
      <c r="B351" s="1" t="s">
        <v>522</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c r="A352" s="31" t="s">
        <v>226</v>
      </c>
      <c r="B352" s="1" t="s">
        <v>523</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c r="A353" s="31" t="s">
        <v>226</v>
      </c>
      <c r="B353" s="1" t="s">
        <v>524</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c r="A354" s="31" t="s">
        <v>226</v>
      </c>
      <c r="B354" s="1" t="s">
        <v>525</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c r="A355" s="31" t="s">
        <v>226</v>
      </c>
      <c r="B355" s="1" t="s">
        <v>526</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c r="A356" s="31" t="s">
        <v>226</v>
      </c>
      <c r="B356" s="1" t="s">
        <v>527</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c r="A357" s="31" t="s">
        <v>226</v>
      </c>
      <c r="B357" s="1" t="s">
        <v>528</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c r="A358" s="31" t="s">
        <v>226</v>
      </c>
      <c r="B358" s="1" t="s">
        <v>529</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c r="A359" s="31" t="s">
        <v>226</v>
      </c>
      <c r="B359" s="1" t="s">
        <v>530</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c r="A360" s="31" t="s">
        <v>226</v>
      </c>
      <c r="B360" s="1" t="s">
        <v>531</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c r="A361" s="31" t="s">
        <v>226</v>
      </c>
      <c r="B361" s="1" t="s">
        <v>532</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c r="A362" s="31" t="s">
        <v>226</v>
      </c>
      <c r="B362" s="1" t="s">
        <v>533</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c r="A363" s="31" t="s">
        <v>226</v>
      </c>
      <c r="B363" s="1" t="s">
        <v>534</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c r="A364" s="31" t="s">
        <v>226</v>
      </c>
      <c r="B364" s="1" t="s">
        <v>535</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c r="A365" s="31" t="s">
        <v>226</v>
      </c>
      <c r="B365" s="1" t="s">
        <v>536</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c r="A366" s="31" t="s">
        <v>226</v>
      </c>
      <c r="B366" s="1" t="s">
        <v>537</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c r="A367" s="31" t="s">
        <v>226</v>
      </c>
      <c r="B367" s="1" t="s">
        <v>538</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c r="A368" s="31" t="s">
        <v>226</v>
      </c>
      <c r="B368" s="1" t="s">
        <v>539</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c r="A369" s="31" t="s">
        <v>226</v>
      </c>
      <c r="B369" s="1" t="s">
        <v>540</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c r="A370" s="31" t="s">
        <v>226</v>
      </c>
      <c r="B370" s="1" t="s">
        <v>541</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c r="A371" s="31" t="s">
        <v>226</v>
      </c>
      <c r="B371" s="1" t="s">
        <v>875</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c r="A372" s="31" t="s">
        <v>226</v>
      </c>
      <c r="B372" s="1" t="s">
        <v>542</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c r="A373" s="31" t="s">
        <v>226</v>
      </c>
      <c r="B373" s="1" t="s">
        <v>543</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c r="A374" s="31" t="s">
        <v>226</v>
      </c>
      <c r="B374" s="1" t="s">
        <v>544</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c r="A375" s="31" t="s">
        <v>226</v>
      </c>
      <c r="B375" s="1" t="s">
        <v>545</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c r="A376" s="31" t="s">
        <v>226</v>
      </c>
      <c r="B376" s="1" t="s">
        <v>876</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c r="A377" s="31" t="s">
        <v>226</v>
      </c>
      <c r="B377" s="1" t="s">
        <v>546</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c r="A378" s="31" t="s">
        <v>226</v>
      </c>
      <c r="B378" s="1" t="s">
        <v>547</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c r="A379" s="31" t="s">
        <v>226</v>
      </c>
      <c r="B379" s="1" t="s">
        <v>548</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c r="A380" s="31" t="s">
        <v>226</v>
      </c>
      <c r="B380" s="1" t="s">
        <v>549</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c r="A381" s="31" t="s">
        <v>226</v>
      </c>
      <c r="B381" s="1" t="s">
        <v>550</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c r="A382" s="31" t="s">
        <v>226</v>
      </c>
      <c r="B382" s="1" t="s">
        <v>551</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c r="A383" s="31" t="s">
        <v>226</v>
      </c>
      <c r="B383" s="1" t="s">
        <v>552</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c r="A384" s="31" t="s">
        <v>226</v>
      </c>
      <c r="B384" s="1" t="s">
        <v>553</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c r="A385" s="31" t="s">
        <v>226</v>
      </c>
      <c r="B385" s="1" t="s">
        <v>554</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c r="A386" s="31" t="s">
        <v>226</v>
      </c>
      <c r="B386" s="1" t="s">
        <v>555</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c r="A387" s="31" t="s">
        <v>226</v>
      </c>
      <c r="B387" s="1" t="s">
        <v>556</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c r="A388" s="31" t="s">
        <v>226</v>
      </c>
      <c r="B388" s="1" t="s">
        <v>557</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c r="A389" s="31" t="s">
        <v>226</v>
      </c>
      <c r="B389" s="1" t="s">
        <v>558</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c r="A390" s="31" t="s">
        <v>226</v>
      </c>
      <c r="B390" s="1" t="s">
        <v>559</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c r="A391" s="31" t="s">
        <v>226</v>
      </c>
      <c r="B391" s="1" t="s">
        <v>560</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c r="A392" s="31" t="s">
        <v>226</v>
      </c>
      <c r="B392" s="1" t="s">
        <v>561</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c r="A393" s="31" t="s">
        <v>226</v>
      </c>
      <c r="B393" s="1" t="s">
        <v>562</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c r="A394" s="31" t="s">
        <v>226</v>
      </c>
      <c r="B394" s="1" t="s">
        <v>563</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c r="A395" s="31" t="s">
        <v>226</v>
      </c>
      <c r="B395" s="1" t="s">
        <v>564</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c r="A396" s="31" t="s">
        <v>226</v>
      </c>
      <c r="B396" s="1" t="s">
        <v>565</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c r="A397" s="31" t="s">
        <v>226</v>
      </c>
      <c r="B397" s="1" t="s">
        <v>566</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c r="A398" s="31" t="s">
        <v>226</v>
      </c>
      <c r="B398" s="1" t="s">
        <v>567</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c r="A399" s="31" t="s">
        <v>226</v>
      </c>
      <c r="B399" s="1" t="s">
        <v>568</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c r="A400" s="31" t="s">
        <v>226</v>
      </c>
      <c r="B400" s="1" t="s">
        <v>569</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c r="A401" s="31" t="s">
        <v>226</v>
      </c>
      <c r="B401" s="1" t="s">
        <v>570</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c r="A402" s="31" t="s">
        <v>226</v>
      </c>
      <c r="B402" s="1" t="s">
        <v>571</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c r="A403" s="31" t="s">
        <v>226</v>
      </c>
      <c r="B403" s="1" t="s">
        <v>572</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c r="A404" s="31" t="s">
        <v>226</v>
      </c>
      <c r="B404" s="1" t="s">
        <v>573</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c r="A405" s="31" t="s">
        <v>226</v>
      </c>
      <c r="B405" s="1" t="s">
        <v>574</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c r="A406" s="31" t="s">
        <v>226</v>
      </c>
      <c r="B406" s="1" t="s">
        <v>575</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c r="A407" s="31" t="s">
        <v>226</v>
      </c>
      <c r="B407" s="1" t="s">
        <v>576</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c r="A408" s="31" t="s">
        <v>226</v>
      </c>
      <c r="B408" s="1" t="s">
        <v>577</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c r="A409" s="31" t="s">
        <v>226</v>
      </c>
      <c r="B409" s="1" t="s">
        <v>578</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c r="A410" s="31" t="s">
        <v>226</v>
      </c>
      <c r="B410" s="1" t="s">
        <v>579</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c r="A411" s="31" t="s">
        <v>226</v>
      </c>
      <c r="B411" s="1" t="s">
        <v>580</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c r="A412" s="31" t="s">
        <v>226</v>
      </c>
      <c r="B412" s="1" t="s">
        <v>581</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c r="A413" s="31" t="s">
        <v>226</v>
      </c>
      <c r="B413" s="1" t="s">
        <v>582</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c r="A414" s="31" t="s">
        <v>226</v>
      </c>
      <c r="B414" s="1" t="s">
        <v>373</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c r="A415" s="31" t="s">
        <v>226</v>
      </c>
      <c r="B415" s="1" t="s">
        <v>583</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c r="A416" s="31" t="s">
        <v>226</v>
      </c>
      <c r="B416" s="1" t="s">
        <v>584</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c r="A417" s="31" t="s">
        <v>226</v>
      </c>
      <c r="B417" s="1" t="s">
        <v>585</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c r="A418" s="31" t="s">
        <v>226</v>
      </c>
      <c r="B418" s="1" t="s">
        <v>586</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c r="A419" s="31" t="s">
        <v>226</v>
      </c>
      <c r="B419" s="1" t="s">
        <v>587</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c r="A420" s="31" t="s">
        <v>226</v>
      </c>
      <c r="B420" s="1" t="s">
        <v>588</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c r="A421" s="31" t="s">
        <v>226</v>
      </c>
      <c r="B421" s="1" t="s">
        <v>589</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c r="A422" s="31" t="s">
        <v>226</v>
      </c>
      <c r="B422" s="1" t="s">
        <v>590</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c r="A423" s="31" t="s">
        <v>226</v>
      </c>
      <c r="B423" s="1" t="s">
        <v>591</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c r="A424" s="31" t="s">
        <v>226</v>
      </c>
      <c r="B424" s="1" t="s">
        <v>592</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c r="A425" s="31" t="s">
        <v>226</v>
      </c>
      <c r="B425" s="1" t="s">
        <v>593</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c r="A426" s="31" t="s">
        <v>226</v>
      </c>
      <c r="B426" s="1" t="s">
        <v>594</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c r="A427" s="31" t="s">
        <v>226</v>
      </c>
      <c r="B427" s="1" t="s">
        <v>595</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c r="A428" s="31" t="s">
        <v>226</v>
      </c>
      <c r="B428" s="1" t="s">
        <v>596</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c r="A429" s="31" t="s">
        <v>226</v>
      </c>
      <c r="B429" s="1" t="s">
        <v>597</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c r="A430" s="31" t="s">
        <v>226</v>
      </c>
      <c r="B430" s="1" t="s">
        <v>598</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c r="A431" s="31" t="s">
        <v>226</v>
      </c>
      <c r="B431" s="1" t="s">
        <v>599</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c r="A432" s="31" t="s">
        <v>226</v>
      </c>
      <c r="B432" s="1" t="s">
        <v>600</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c r="A433" s="31" t="s">
        <v>226</v>
      </c>
      <c r="B433" s="1" t="s">
        <v>601</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c r="A434" s="31" t="s">
        <v>226</v>
      </c>
      <c r="B434" s="1" t="s">
        <v>602</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c r="A435" s="31" t="s">
        <v>226</v>
      </c>
      <c r="B435" s="1" t="s">
        <v>603</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c r="A436" s="31" t="s">
        <v>226</v>
      </c>
      <c r="B436" s="1" t="s">
        <v>604</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c r="A437" s="31" t="s">
        <v>226</v>
      </c>
      <c r="B437" s="1" t="s">
        <v>605</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c r="A438" s="31" t="s">
        <v>226</v>
      </c>
      <c r="B438" s="1" t="s">
        <v>606</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c r="A439" s="31" t="s">
        <v>226</v>
      </c>
      <c r="B439" s="1" t="s">
        <v>607</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c r="A440" s="31" t="s">
        <v>226</v>
      </c>
      <c r="B440" s="1" t="s">
        <v>608</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c r="A441" s="31" t="s">
        <v>226</v>
      </c>
      <c r="B441" s="1" t="s">
        <v>609</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c r="A442" s="31" t="s">
        <v>226</v>
      </c>
      <c r="B442" s="1" t="s">
        <v>610</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c r="A443" s="31" t="s">
        <v>226</v>
      </c>
      <c r="B443" s="1" t="s">
        <v>611</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c r="A444" s="31" t="s">
        <v>226</v>
      </c>
      <c r="B444" s="1" t="s">
        <v>612</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c r="A445" s="31" t="s">
        <v>226</v>
      </c>
      <c r="B445" s="1" t="s">
        <v>613</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c r="A446" s="31" t="s">
        <v>226</v>
      </c>
      <c r="B446" s="1" t="s">
        <v>614</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c r="A447" s="31" t="s">
        <v>226</v>
      </c>
      <c r="B447" s="1" t="s">
        <v>615</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c r="A448" s="31" t="s">
        <v>226</v>
      </c>
      <c r="B448" s="1" t="s">
        <v>616</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c r="A449" s="31" t="s">
        <v>226</v>
      </c>
      <c r="B449" s="1" t="s">
        <v>617</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c r="A450" s="31" t="s">
        <v>226</v>
      </c>
      <c r="B450" s="1" t="s">
        <v>618</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c r="A451" s="31" t="s">
        <v>226</v>
      </c>
      <c r="B451" s="1" t="s">
        <v>619</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c r="A452" s="31" t="s">
        <v>226</v>
      </c>
      <c r="B452" s="1" t="s">
        <v>620</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c r="A453" s="31" t="s">
        <v>226</v>
      </c>
      <c r="B453" s="1" t="s">
        <v>621</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c r="A454" s="31" t="s">
        <v>226</v>
      </c>
      <c r="B454" s="1" t="s">
        <v>622</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c r="A455" s="31" t="s">
        <v>226</v>
      </c>
      <c r="B455" s="1" t="s">
        <v>623</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c r="A456" s="31" t="s">
        <v>226</v>
      </c>
      <c r="B456" s="1" t="s">
        <v>624</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c r="A457" s="31" t="s">
        <v>226</v>
      </c>
      <c r="B457" s="1" t="s">
        <v>625</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c r="A458" s="31" t="s">
        <v>226</v>
      </c>
      <c r="B458" s="1" t="s">
        <v>626</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c r="A459" s="31" t="s">
        <v>226</v>
      </c>
      <c r="B459" s="1" t="s">
        <v>627</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c r="A460" s="31" t="s">
        <v>226</v>
      </c>
      <c r="B460" s="1" t="s">
        <v>628</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c r="A461" s="31" t="s">
        <v>226</v>
      </c>
      <c r="B461" s="1" t="s">
        <v>629</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c r="A462" s="31" t="s">
        <v>226</v>
      </c>
      <c r="B462" s="1" t="s">
        <v>630</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c r="A463" s="31" t="s">
        <v>226</v>
      </c>
      <c r="B463" s="1" t="s">
        <v>631</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c r="A464" s="31" t="s">
        <v>226</v>
      </c>
      <c r="B464" s="1" t="s">
        <v>632</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c r="A465" s="31" t="s">
        <v>226</v>
      </c>
      <c r="B465" s="1" t="s">
        <v>633</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c r="A466" s="31" t="s">
        <v>226</v>
      </c>
      <c r="B466" s="1" t="s">
        <v>634</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c r="A467" s="31" t="s">
        <v>226</v>
      </c>
      <c r="B467" s="1" t="s">
        <v>635</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c r="A468" s="31" t="s">
        <v>226</v>
      </c>
      <c r="B468" s="1" t="s">
        <v>636</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c r="A469" s="31" t="s">
        <v>226</v>
      </c>
      <c r="B469" s="1" t="s">
        <v>637</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c r="A470" s="31" t="s">
        <v>226</v>
      </c>
      <c r="B470" s="1" t="s">
        <v>638</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c r="A471" s="31" t="s">
        <v>226</v>
      </c>
      <c r="B471" s="1" t="s">
        <v>639</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c r="A472" s="31" t="s">
        <v>226</v>
      </c>
      <c r="B472" s="1" t="s">
        <v>640</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c r="A473" s="31" t="s">
        <v>226</v>
      </c>
      <c r="B473" s="1" t="s">
        <v>641</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c r="A474" s="31" t="s">
        <v>226</v>
      </c>
      <c r="B474" s="1" t="s">
        <v>642</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c r="A475" s="31" t="s">
        <v>226</v>
      </c>
      <c r="B475" s="1" t="s">
        <v>643</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c r="A476" s="31" t="s">
        <v>226</v>
      </c>
      <c r="B476" s="1" t="s">
        <v>644</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c r="A477" s="31" t="s">
        <v>226</v>
      </c>
      <c r="B477" s="1" t="s">
        <v>645</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c r="A478" s="31" t="s">
        <v>226</v>
      </c>
      <c r="B478" s="1" t="s">
        <v>877</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c r="A479" s="31" t="s">
        <v>226</v>
      </c>
      <c r="B479" s="1" t="s">
        <v>646</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c r="A480" s="31" t="s">
        <v>226</v>
      </c>
      <c r="B480" s="1" t="s">
        <v>647</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c r="A481" s="31" t="s">
        <v>226</v>
      </c>
      <c r="B481" s="1" t="s">
        <v>648</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c r="A482" s="31" t="s">
        <v>226</v>
      </c>
      <c r="B482" s="1" t="s">
        <v>878</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c r="A483" s="31" t="s">
        <v>226</v>
      </c>
      <c r="B483" s="1" t="s">
        <v>649</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c r="A484" s="31" t="s">
        <v>226</v>
      </c>
      <c r="B484" s="1" t="s">
        <v>650</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c r="A485" s="31" t="s">
        <v>226</v>
      </c>
      <c r="B485" s="1" t="s">
        <v>651</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c r="A486" s="31" t="s">
        <v>226</v>
      </c>
      <c r="B486" s="1" t="s">
        <v>652</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c r="A487" s="31" t="s">
        <v>226</v>
      </c>
      <c r="B487" s="1" t="s">
        <v>653</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c r="A488" s="31" t="s">
        <v>226</v>
      </c>
      <c r="B488" s="1" t="s">
        <v>654</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c r="A489" s="31" t="s">
        <v>226</v>
      </c>
      <c r="B489" s="1" t="s">
        <v>655</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c r="A490" s="31" t="s">
        <v>226</v>
      </c>
      <c r="B490" s="1" t="s">
        <v>656</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c r="A491" s="31" t="s">
        <v>226</v>
      </c>
      <c r="B491" s="1" t="s">
        <v>657</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c r="A492" s="31" t="s">
        <v>226</v>
      </c>
      <c r="B492" s="1" t="s">
        <v>658</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c r="A493" s="31" t="s">
        <v>226</v>
      </c>
      <c r="B493" s="1" t="s">
        <v>659</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c r="A494" s="31" t="s">
        <v>226</v>
      </c>
      <c r="B494" s="1" t="s">
        <v>660</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c r="A495" s="31" t="s">
        <v>226</v>
      </c>
      <c r="B495" s="1" t="s">
        <v>661</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c r="A496" s="31" t="s">
        <v>226</v>
      </c>
      <c r="B496" s="1" t="s">
        <v>662</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c r="A498" s="31" t="s">
        <v>663</v>
      </c>
      <c r="B498" s="1" t="s">
        <v>664</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552">
        <v>391</v>
      </c>
      <c r="N498" s="552">
        <v>334</v>
      </c>
      <c r="O498" s="552">
        <v>374</v>
      </c>
      <c r="P498" s="552">
        <v>393</v>
      </c>
      <c r="Q498" s="552">
        <v>365</v>
      </c>
      <c r="R498" s="552">
        <v>333</v>
      </c>
      <c r="S498" s="552">
        <v>365</v>
      </c>
      <c r="T498" s="552">
        <v>388</v>
      </c>
      <c r="U498" s="552">
        <v>394</v>
      </c>
      <c r="V498" s="552">
        <v>392</v>
      </c>
      <c r="W498" s="552">
        <v>375</v>
      </c>
      <c r="X498" s="552">
        <v>423</v>
      </c>
      <c r="Y498" s="552">
        <v>403</v>
      </c>
      <c r="Z498" s="552">
        <v>425</v>
      </c>
      <c r="AA498" s="552">
        <v>394</v>
      </c>
      <c r="AB498" s="552">
        <v>319</v>
      </c>
      <c r="AC498" s="552">
        <v>337</v>
      </c>
      <c r="AD498" s="552">
        <v>363</v>
      </c>
      <c r="AE498" s="552">
        <v>363</v>
      </c>
      <c r="AF498" s="552">
        <v>317</v>
      </c>
      <c r="AG498" s="552">
        <v>288</v>
      </c>
      <c r="AH498" s="552">
        <v>332</v>
      </c>
      <c r="AI498" s="552">
        <v>374</v>
      </c>
      <c r="AJ498" s="552">
        <v>338</v>
      </c>
      <c r="AK498" s="552">
        <v>389</v>
      </c>
      <c r="AL498" s="552">
        <v>412</v>
      </c>
      <c r="AM498" s="552">
        <v>367</v>
      </c>
      <c r="AN498" s="552">
        <v>361</v>
      </c>
      <c r="AO498" s="552">
        <v>441</v>
      </c>
      <c r="AP498" s="552">
        <v>438</v>
      </c>
      <c r="AQ498" s="552">
        <v>468</v>
      </c>
      <c r="AR498" s="552">
        <v>465</v>
      </c>
      <c r="AS498" s="552">
        <v>442</v>
      </c>
      <c r="AT498" s="552">
        <v>467</v>
      </c>
      <c r="AU498" s="552">
        <v>398</v>
      </c>
      <c r="AV498" s="552">
        <v>423</v>
      </c>
      <c r="AW498" s="552">
        <v>418</v>
      </c>
      <c r="AX498" s="552">
        <v>449</v>
      </c>
      <c r="AY498" s="552">
        <v>389</v>
      </c>
      <c r="AZ498" s="552">
        <v>409</v>
      </c>
      <c r="BA498" s="552">
        <v>365</v>
      </c>
      <c r="BB498" s="552">
        <v>396</v>
      </c>
      <c r="BC498" s="552">
        <v>373</v>
      </c>
      <c r="BD498" s="552">
        <v>369</v>
      </c>
      <c r="BE498" s="552">
        <v>348</v>
      </c>
      <c r="BF498" s="552">
        <v>299</v>
      </c>
      <c r="BG498" s="552">
        <v>345</v>
      </c>
      <c r="BH498" s="552">
        <v>417</v>
      </c>
      <c r="BI498" s="552">
        <v>386</v>
      </c>
      <c r="BJ498" s="552">
        <v>430</v>
      </c>
      <c r="BK498" s="552">
        <v>495</v>
      </c>
      <c r="BL498" s="552">
        <v>469</v>
      </c>
      <c r="BM498" s="552">
        <v>471</v>
      </c>
      <c r="BN498" s="552">
        <v>521</v>
      </c>
      <c r="BO498" s="552">
        <v>498</v>
      </c>
      <c r="BP498" s="552">
        <v>491</v>
      </c>
      <c r="BQ498" s="552">
        <v>525</v>
      </c>
      <c r="BR498" s="552">
        <v>529</v>
      </c>
      <c r="BS498" s="552">
        <v>512</v>
      </c>
      <c r="BT498" s="552">
        <v>493</v>
      </c>
      <c r="BU498" s="552">
        <v>503</v>
      </c>
      <c r="BV498" s="552">
        <v>432</v>
      </c>
      <c r="BW498" s="552">
        <v>445</v>
      </c>
      <c r="BX498" s="552">
        <v>434</v>
      </c>
      <c r="BY498" s="552">
        <v>364</v>
      </c>
      <c r="BZ498" s="552">
        <v>441</v>
      </c>
      <c r="CA498" s="552">
        <v>389</v>
      </c>
      <c r="CB498" s="552">
        <v>372</v>
      </c>
      <c r="CC498" s="552">
        <v>364</v>
      </c>
      <c r="CD498" s="552">
        <v>375</v>
      </c>
      <c r="CE498" s="552">
        <v>341</v>
      </c>
      <c r="CF498" s="552">
        <v>358</v>
      </c>
      <c r="CG498" s="552">
        <v>351</v>
      </c>
      <c r="CH498" s="552">
        <v>359</v>
      </c>
      <c r="CI498" s="552">
        <v>343</v>
      </c>
      <c r="CJ498" s="552">
        <v>401</v>
      </c>
      <c r="CK498" s="552">
        <v>297</v>
      </c>
      <c r="CL498" s="552">
        <v>262</v>
      </c>
      <c r="CM498" s="552">
        <v>235</v>
      </c>
      <c r="CN498" s="552">
        <v>261</v>
      </c>
      <c r="CO498" s="552">
        <v>210</v>
      </c>
      <c r="CP498" s="552">
        <v>179</v>
      </c>
      <c r="CQ498" s="552">
        <v>155</v>
      </c>
      <c r="CR498" s="552">
        <v>164</v>
      </c>
      <c r="CS498" s="552">
        <v>135</v>
      </c>
      <c r="CT498" s="552">
        <v>101</v>
      </c>
      <c r="CU498" s="552">
        <v>100</v>
      </c>
      <c r="CV498" s="552">
        <v>87</v>
      </c>
      <c r="CW498" s="552">
        <v>55</v>
      </c>
      <c r="CX498" s="552">
        <v>58</v>
      </c>
      <c r="CY498" s="552">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c r="A499" s="31" t="s">
        <v>215</v>
      </c>
      <c r="B499" s="1" t="s">
        <v>665</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552">
        <v>731</v>
      </c>
      <c r="N499" s="552">
        <v>689</v>
      </c>
      <c r="O499" s="552">
        <v>714</v>
      </c>
      <c r="P499" s="552">
        <v>751</v>
      </c>
      <c r="Q499" s="552">
        <v>788</v>
      </c>
      <c r="R499" s="552">
        <v>823</v>
      </c>
      <c r="S499" s="552">
        <v>811</v>
      </c>
      <c r="T499" s="552">
        <v>852</v>
      </c>
      <c r="U499" s="552">
        <v>862</v>
      </c>
      <c r="V499" s="552">
        <v>879</v>
      </c>
      <c r="W499" s="552">
        <v>884</v>
      </c>
      <c r="X499" s="552">
        <v>978</v>
      </c>
      <c r="Y499" s="552">
        <v>895</v>
      </c>
      <c r="Z499" s="552">
        <v>924</v>
      </c>
      <c r="AA499" s="552">
        <v>890</v>
      </c>
      <c r="AB499" s="552">
        <v>868</v>
      </c>
      <c r="AC499" s="552">
        <v>836</v>
      </c>
      <c r="AD499" s="552">
        <v>905</v>
      </c>
      <c r="AE499" s="552">
        <v>777</v>
      </c>
      <c r="AF499" s="552">
        <v>641</v>
      </c>
      <c r="AG499" s="552">
        <v>674</v>
      </c>
      <c r="AH499" s="552">
        <v>686</v>
      </c>
      <c r="AI499" s="552">
        <v>727</v>
      </c>
      <c r="AJ499" s="552">
        <v>840</v>
      </c>
      <c r="AK499" s="552">
        <v>858</v>
      </c>
      <c r="AL499" s="552">
        <v>945</v>
      </c>
      <c r="AM499" s="552">
        <v>890</v>
      </c>
      <c r="AN499" s="552">
        <v>816</v>
      </c>
      <c r="AO499" s="552">
        <v>944</v>
      </c>
      <c r="AP499" s="552">
        <v>857</v>
      </c>
      <c r="AQ499" s="552">
        <v>968</v>
      </c>
      <c r="AR499" s="552">
        <v>910</v>
      </c>
      <c r="AS499" s="552">
        <v>982</v>
      </c>
      <c r="AT499" s="552">
        <v>986</v>
      </c>
      <c r="AU499" s="552">
        <v>996</v>
      </c>
      <c r="AV499" s="552">
        <v>984</v>
      </c>
      <c r="AW499" s="552">
        <v>944</v>
      </c>
      <c r="AX499" s="552">
        <v>937</v>
      </c>
      <c r="AY499" s="552">
        <v>874</v>
      </c>
      <c r="AZ499" s="552">
        <v>882</v>
      </c>
      <c r="BA499" s="552">
        <v>860</v>
      </c>
      <c r="BB499" s="552">
        <v>916</v>
      </c>
      <c r="BC499" s="552">
        <v>935</v>
      </c>
      <c r="BD499" s="552">
        <v>885</v>
      </c>
      <c r="BE499" s="552">
        <v>798</v>
      </c>
      <c r="BF499" s="552">
        <v>764</v>
      </c>
      <c r="BG499" s="552">
        <v>821</v>
      </c>
      <c r="BH499" s="552">
        <v>816</v>
      </c>
      <c r="BI499" s="552">
        <v>884</v>
      </c>
      <c r="BJ499" s="552">
        <v>901</v>
      </c>
      <c r="BK499" s="552">
        <v>1009</v>
      </c>
      <c r="BL499" s="552">
        <v>1091</v>
      </c>
      <c r="BM499" s="552">
        <v>977</v>
      </c>
      <c r="BN499" s="552">
        <v>1017</v>
      </c>
      <c r="BO499" s="552">
        <v>1078</v>
      </c>
      <c r="BP499" s="552">
        <v>1056</v>
      </c>
      <c r="BQ499" s="552">
        <v>1081</v>
      </c>
      <c r="BR499" s="552">
        <v>1062</v>
      </c>
      <c r="BS499" s="552">
        <v>1067</v>
      </c>
      <c r="BT499" s="552">
        <v>1000</v>
      </c>
      <c r="BU499" s="552">
        <v>1035</v>
      </c>
      <c r="BV499" s="552">
        <v>984</v>
      </c>
      <c r="BW499" s="552">
        <v>918</v>
      </c>
      <c r="BX499" s="552">
        <v>903</v>
      </c>
      <c r="BY499" s="552">
        <v>907</v>
      </c>
      <c r="BZ499" s="552">
        <v>835</v>
      </c>
      <c r="CA499" s="552">
        <v>831</v>
      </c>
      <c r="CB499" s="552">
        <v>766</v>
      </c>
      <c r="CC499" s="552">
        <v>742</v>
      </c>
      <c r="CD499" s="552">
        <v>776</v>
      </c>
      <c r="CE499" s="552">
        <v>736</v>
      </c>
      <c r="CF499" s="552">
        <v>767</v>
      </c>
      <c r="CG499" s="552">
        <v>726</v>
      </c>
      <c r="CH499" s="552">
        <v>780</v>
      </c>
      <c r="CI499" s="552">
        <v>754</v>
      </c>
      <c r="CJ499" s="552">
        <v>809</v>
      </c>
      <c r="CK499" s="552">
        <v>632</v>
      </c>
      <c r="CL499" s="552">
        <v>617</v>
      </c>
      <c r="CM499" s="552">
        <v>572</v>
      </c>
      <c r="CN499" s="552">
        <v>506</v>
      </c>
      <c r="CO499" s="552">
        <v>443</v>
      </c>
      <c r="CP499" s="552">
        <v>449</v>
      </c>
      <c r="CQ499" s="552">
        <v>367</v>
      </c>
      <c r="CR499" s="552">
        <v>336</v>
      </c>
      <c r="CS499" s="552">
        <v>314</v>
      </c>
      <c r="CT499" s="552">
        <v>257</v>
      </c>
      <c r="CU499" s="552">
        <v>226</v>
      </c>
      <c r="CV499" s="552">
        <v>223</v>
      </c>
      <c r="CW499" s="552">
        <v>154</v>
      </c>
      <c r="CX499" s="552">
        <v>144</v>
      </c>
      <c r="CY499" s="552">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c r="A500" s="31" t="s">
        <v>215</v>
      </c>
      <c r="B500" s="1" t="s">
        <v>666</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552">
        <v>834</v>
      </c>
      <c r="N500" s="552">
        <v>824</v>
      </c>
      <c r="O500" s="552">
        <v>908</v>
      </c>
      <c r="P500" s="552">
        <v>935</v>
      </c>
      <c r="Q500" s="552">
        <v>1007</v>
      </c>
      <c r="R500" s="552">
        <v>996</v>
      </c>
      <c r="S500" s="552">
        <v>1029</v>
      </c>
      <c r="T500" s="552">
        <v>1072</v>
      </c>
      <c r="U500" s="552">
        <v>1068</v>
      </c>
      <c r="V500" s="552">
        <v>1056</v>
      </c>
      <c r="W500" s="552">
        <v>1069</v>
      </c>
      <c r="X500" s="552">
        <v>1095</v>
      </c>
      <c r="Y500" s="552">
        <v>1148</v>
      </c>
      <c r="Z500" s="552">
        <v>1126</v>
      </c>
      <c r="AA500" s="552">
        <v>1141</v>
      </c>
      <c r="AB500" s="552">
        <v>1053</v>
      </c>
      <c r="AC500" s="552">
        <v>1026</v>
      </c>
      <c r="AD500" s="552">
        <v>1028</v>
      </c>
      <c r="AE500" s="552">
        <v>1108</v>
      </c>
      <c r="AF500" s="552">
        <v>875</v>
      </c>
      <c r="AG500" s="552">
        <v>817</v>
      </c>
      <c r="AH500" s="552">
        <v>888</v>
      </c>
      <c r="AI500" s="552">
        <v>942</v>
      </c>
      <c r="AJ500" s="552">
        <v>891</v>
      </c>
      <c r="AK500" s="552">
        <v>901</v>
      </c>
      <c r="AL500" s="552">
        <v>1103</v>
      </c>
      <c r="AM500" s="552">
        <v>1005</v>
      </c>
      <c r="AN500" s="552">
        <v>987</v>
      </c>
      <c r="AO500" s="552">
        <v>1032</v>
      </c>
      <c r="AP500" s="552">
        <v>1030</v>
      </c>
      <c r="AQ500" s="552">
        <v>1074</v>
      </c>
      <c r="AR500" s="552">
        <v>1182</v>
      </c>
      <c r="AS500" s="552">
        <v>1115</v>
      </c>
      <c r="AT500" s="552">
        <v>1132</v>
      </c>
      <c r="AU500" s="552">
        <v>1167</v>
      </c>
      <c r="AV500" s="552">
        <v>1071</v>
      </c>
      <c r="AW500" s="552">
        <v>1140</v>
      </c>
      <c r="AX500" s="552">
        <v>1077</v>
      </c>
      <c r="AY500" s="552">
        <v>1079</v>
      </c>
      <c r="AZ500" s="552">
        <v>1060</v>
      </c>
      <c r="BA500" s="552">
        <v>1012</v>
      </c>
      <c r="BB500" s="552">
        <v>1070</v>
      </c>
      <c r="BC500" s="552">
        <v>1085</v>
      </c>
      <c r="BD500" s="552">
        <v>1002</v>
      </c>
      <c r="BE500" s="552">
        <v>958</v>
      </c>
      <c r="BF500" s="552">
        <v>997</v>
      </c>
      <c r="BG500" s="552">
        <v>992</v>
      </c>
      <c r="BH500" s="552">
        <v>988</v>
      </c>
      <c r="BI500" s="552">
        <v>1077</v>
      </c>
      <c r="BJ500" s="552">
        <v>1113</v>
      </c>
      <c r="BK500" s="552">
        <v>1157</v>
      </c>
      <c r="BL500" s="552">
        <v>1232</v>
      </c>
      <c r="BM500" s="552">
        <v>1129</v>
      </c>
      <c r="BN500" s="552">
        <v>1299</v>
      </c>
      <c r="BO500" s="552">
        <v>1259</v>
      </c>
      <c r="BP500" s="552">
        <v>1214</v>
      </c>
      <c r="BQ500" s="552">
        <v>1265</v>
      </c>
      <c r="BR500" s="552">
        <v>1277</v>
      </c>
      <c r="BS500" s="552">
        <v>1255</v>
      </c>
      <c r="BT500" s="552">
        <v>1273</v>
      </c>
      <c r="BU500" s="552">
        <v>1181</v>
      </c>
      <c r="BV500" s="552">
        <v>1146</v>
      </c>
      <c r="BW500" s="552">
        <v>1118</v>
      </c>
      <c r="BX500" s="552">
        <v>1064</v>
      </c>
      <c r="BY500" s="552">
        <v>1058</v>
      </c>
      <c r="BZ500" s="552">
        <v>1029</v>
      </c>
      <c r="CA500" s="552">
        <v>925</v>
      </c>
      <c r="CB500" s="552">
        <v>870</v>
      </c>
      <c r="CC500" s="552">
        <v>989</v>
      </c>
      <c r="CD500" s="552">
        <v>948</v>
      </c>
      <c r="CE500" s="552">
        <v>880</v>
      </c>
      <c r="CF500" s="552">
        <v>910</v>
      </c>
      <c r="CG500" s="552">
        <v>938</v>
      </c>
      <c r="CH500" s="552">
        <v>837</v>
      </c>
      <c r="CI500" s="552">
        <v>970</v>
      </c>
      <c r="CJ500" s="552">
        <v>989</v>
      </c>
      <c r="CK500" s="552">
        <v>740</v>
      </c>
      <c r="CL500" s="552">
        <v>691</v>
      </c>
      <c r="CM500" s="552">
        <v>645</v>
      </c>
      <c r="CN500" s="552">
        <v>570</v>
      </c>
      <c r="CO500" s="552">
        <v>578</v>
      </c>
      <c r="CP500" s="552">
        <v>442</v>
      </c>
      <c r="CQ500" s="552">
        <v>426</v>
      </c>
      <c r="CR500" s="552">
        <v>410</v>
      </c>
      <c r="CS500" s="552">
        <v>355</v>
      </c>
      <c r="CT500" s="552">
        <v>296</v>
      </c>
      <c r="CU500" s="552">
        <v>259</v>
      </c>
      <c r="CV500" s="552">
        <v>215</v>
      </c>
      <c r="CW500" s="552">
        <v>176</v>
      </c>
      <c r="CX500" s="552">
        <v>150</v>
      </c>
      <c r="CY500" s="552">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c r="A501" s="31" t="s">
        <v>215</v>
      </c>
      <c r="B501" s="1" t="s">
        <v>667</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552">
        <v>1950</v>
      </c>
      <c r="N501" s="552">
        <v>1875</v>
      </c>
      <c r="O501" s="552">
        <v>1880</v>
      </c>
      <c r="P501" s="552">
        <v>1977</v>
      </c>
      <c r="Q501" s="552">
        <v>2035</v>
      </c>
      <c r="R501" s="552">
        <v>2099</v>
      </c>
      <c r="S501" s="552">
        <v>2234</v>
      </c>
      <c r="T501" s="552">
        <v>2194</v>
      </c>
      <c r="U501" s="552">
        <v>2213</v>
      </c>
      <c r="V501" s="552">
        <v>2181</v>
      </c>
      <c r="W501" s="552">
        <v>2303</v>
      </c>
      <c r="X501" s="552">
        <v>2380</v>
      </c>
      <c r="Y501" s="552">
        <v>2271</v>
      </c>
      <c r="Z501" s="552">
        <v>2188</v>
      </c>
      <c r="AA501" s="552">
        <v>2173</v>
      </c>
      <c r="AB501" s="552">
        <v>2117</v>
      </c>
      <c r="AC501" s="552">
        <v>2130</v>
      </c>
      <c r="AD501" s="552">
        <v>2130</v>
      </c>
      <c r="AE501" s="552">
        <v>2327</v>
      </c>
      <c r="AF501" s="552">
        <v>4164</v>
      </c>
      <c r="AG501" s="552">
        <v>4565</v>
      </c>
      <c r="AH501" s="552">
        <v>4249</v>
      </c>
      <c r="AI501" s="552">
        <v>3797</v>
      </c>
      <c r="AJ501" s="552">
        <v>3628</v>
      </c>
      <c r="AK501" s="552">
        <v>3513</v>
      </c>
      <c r="AL501" s="552">
        <v>3439</v>
      </c>
      <c r="AM501" s="552">
        <v>3420</v>
      </c>
      <c r="AN501" s="552">
        <v>3228</v>
      </c>
      <c r="AO501" s="552">
        <v>3077</v>
      </c>
      <c r="AP501" s="552">
        <v>2999</v>
      </c>
      <c r="AQ501" s="552">
        <v>2824</v>
      </c>
      <c r="AR501" s="552">
        <v>2846</v>
      </c>
      <c r="AS501" s="552">
        <v>2776</v>
      </c>
      <c r="AT501" s="552">
        <v>2588</v>
      </c>
      <c r="AU501" s="552">
        <v>2705</v>
      </c>
      <c r="AV501" s="552">
        <v>2608</v>
      </c>
      <c r="AW501" s="552">
        <v>2669</v>
      </c>
      <c r="AX501" s="552">
        <v>2467</v>
      </c>
      <c r="AY501" s="552">
        <v>2494</v>
      </c>
      <c r="AZ501" s="552">
        <v>2498</v>
      </c>
      <c r="BA501" s="552">
        <v>2343</v>
      </c>
      <c r="BB501" s="552">
        <v>2361</v>
      </c>
      <c r="BC501" s="552">
        <v>2324</v>
      </c>
      <c r="BD501" s="552">
        <v>2260</v>
      </c>
      <c r="BE501" s="552">
        <v>2022</v>
      </c>
      <c r="BF501" s="552">
        <v>2128</v>
      </c>
      <c r="BG501" s="552">
        <v>2019</v>
      </c>
      <c r="BH501" s="552">
        <v>2027</v>
      </c>
      <c r="BI501" s="552">
        <v>2070</v>
      </c>
      <c r="BJ501" s="552">
        <v>1928</v>
      </c>
      <c r="BK501" s="552">
        <v>1966</v>
      </c>
      <c r="BL501" s="552">
        <v>2100</v>
      </c>
      <c r="BM501" s="552">
        <v>2061</v>
      </c>
      <c r="BN501" s="552">
        <v>2078</v>
      </c>
      <c r="BO501" s="552">
        <v>1992</v>
      </c>
      <c r="BP501" s="552">
        <v>2070</v>
      </c>
      <c r="BQ501" s="552">
        <v>1888</v>
      </c>
      <c r="BR501" s="552">
        <v>2027</v>
      </c>
      <c r="BS501" s="552">
        <v>1976</v>
      </c>
      <c r="BT501" s="552">
        <v>1918</v>
      </c>
      <c r="BU501" s="552">
        <v>1994</v>
      </c>
      <c r="BV501" s="552">
        <v>1814</v>
      </c>
      <c r="BW501" s="552">
        <v>1830</v>
      </c>
      <c r="BX501" s="552">
        <v>1808</v>
      </c>
      <c r="BY501" s="552">
        <v>1654</v>
      </c>
      <c r="BZ501" s="552">
        <v>1666</v>
      </c>
      <c r="CA501" s="552">
        <v>1538</v>
      </c>
      <c r="CB501" s="552">
        <v>1449</v>
      </c>
      <c r="CC501" s="552">
        <v>1467</v>
      </c>
      <c r="CD501" s="552">
        <v>1364</v>
      </c>
      <c r="CE501" s="552">
        <v>1286</v>
      </c>
      <c r="CF501" s="552">
        <v>1359</v>
      </c>
      <c r="CG501" s="552">
        <v>1353</v>
      </c>
      <c r="CH501" s="552">
        <v>1306</v>
      </c>
      <c r="CI501" s="552">
        <v>1244</v>
      </c>
      <c r="CJ501" s="552">
        <v>1342</v>
      </c>
      <c r="CK501" s="552">
        <v>991</v>
      </c>
      <c r="CL501" s="552">
        <v>942</v>
      </c>
      <c r="CM501" s="552">
        <v>905</v>
      </c>
      <c r="CN501" s="552">
        <v>742</v>
      </c>
      <c r="CO501" s="552">
        <v>691</v>
      </c>
      <c r="CP501" s="552">
        <v>611</v>
      </c>
      <c r="CQ501" s="552">
        <v>589</v>
      </c>
      <c r="CR501" s="552">
        <v>538</v>
      </c>
      <c r="CS501" s="552">
        <v>490</v>
      </c>
      <c r="CT501" s="552">
        <v>446</v>
      </c>
      <c r="CU501" s="552">
        <v>394</v>
      </c>
      <c r="CV501" s="552">
        <v>368</v>
      </c>
      <c r="CW501" s="552">
        <v>281</v>
      </c>
      <c r="CX501" s="552">
        <v>249</v>
      </c>
      <c r="CY501" s="552">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c r="A502" s="31" t="s">
        <v>215</v>
      </c>
      <c r="B502" s="1" t="s">
        <v>668</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552">
        <v>856</v>
      </c>
      <c r="N502" s="552">
        <v>866</v>
      </c>
      <c r="O502" s="552">
        <v>854</v>
      </c>
      <c r="P502" s="552">
        <v>934</v>
      </c>
      <c r="Q502" s="552">
        <v>976</v>
      </c>
      <c r="R502" s="552">
        <v>1016</v>
      </c>
      <c r="S502" s="552">
        <v>1068</v>
      </c>
      <c r="T502" s="552">
        <v>1057</v>
      </c>
      <c r="U502" s="552">
        <v>1032</v>
      </c>
      <c r="V502" s="552">
        <v>1077</v>
      </c>
      <c r="W502" s="552">
        <v>1158</v>
      </c>
      <c r="X502" s="552">
        <v>1168</v>
      </c>
      <c r="Y502" s="552">
        <v>1148</v>
      </c>
      <c r="Z502" s="552">
        <v>1099</v>
      </c>
      <c r="AA502" s="552">
        <v>1137</v>
      </c>
      <c r="AB502" s="552">
        <v>1146</v>
      </c>
      <c r="AC502" s="552">
        <v>1150</v>
      </c>
      <c r="AD502" s="552">
        <v>1098</v>
      </c>
      <c r="AE502" s="552">
        <v>1071</v>
      </c>
      <c r="AF502" s="552">
        <v>898</v>
      </c>
      <c r="AG502" s="552">
        <v>829</v>
      </c>
      <c r="AH502" s="552">
        <v>834</v>
      </c>
      <c r="AI502" s="552">
        <v>847</v>
      </c>
      <c r="AJ502" s="552">
        <v>907</v>
      </c>
      <c r="AK502" s="552">
        <v>957</v>
      </c>
      <c r="AL502" s="552">
        <v>1013</v>
      </c>
      <c r="AM502" s="552">
        <v>1000</v>
      </c>
      <c r="AN502" s="552">
        <v>923</v>
      </c>
      <c r="AO502" s="552">
        <v>977</v>
      </c>
      <c r="AP502" s="552">
        <v>975</v>
      </c>
      <c r="AQ502" s="552">
        <v>1005</v>
      </c>
      <c r="AR502" s="552">
        <v>1049</v>
      </c>
      <c r="AS502" s="552">
        <v>1077</v>
      </c>
      <c r="AT502" s="552">
        <v>1035</v>
      </c>
      <c r="AU502" s="552">
        <v>1116</v>
      </c>
      <c r="AV502" s="552">
        <v>1060</v>
      </c>
      <c r="AW502" s="552">
        <v>1050</v>
      </c>
      <c r="AX502" s="552">
        <v>991</v>
      </c>
      <c r="AY502" s="552">
        <v>1021</v>
      </c>
      <c r="AZ502" s="552">
        <v>1015</v>
      </c>
      <c r="BA502" s="552">
        <v>996</v>
      </c>
      <c r="BB502" s="552">
        <v>1033</v>
      </c>
      <c r="BC502" s="552">
        <v>1042</v>
      </c>
      <c r="BD502" s="552">
        <v>1003</v>
      </c>
      <c r="BE502" s="552">
        <v>929</v>
      </c>
      <c r="BF502" s="552">
        <v>918</v>
      </c>
      <c r="BG502" s="552">
        <v>1008</v>
      </c>
      <c r="BH502" s="552">
        <v>1037</v>
      </c>
      <c r="BI502" s="552">
        <v>1074</v>
      </c>
      <c r="BJ502" s="552">
        <v>1130</v>
      </c>
      <c r="BK502" s="552">
        <v>1203</v>
      </c>
      <c r="BL502" s="552">
        <v>1281</v>
      </c>
      <c r="BM502" s="552">
        <v>1243</v>
      </c>
      <c r="BN502" s="552">
        <v>1231</v>
      </c>
      <c r="BO502" s="552">
        <v>1260</v>
      </c>
      <c r="BP502" s="552">
        <v>1356</v>
      </c>
      <c r="BQ502" s="552">
        <v>1372</v>
      </c>
      <c r="BR502" s="552">
        <v>1413</v>
      </c>
      <c r="BS502" s="552">
        <v>1455</v>
      </c>
      <c r="BT502" s="552">
        <v>1317</v>
      </c>
      <c r="BU502" s="552">
        <v>1416</v>
      </c>
      <c r="BV502" s="552">
        <v>1373</v>
      </c>
      <c r="BW502" s="552">
        <v>1349</v>
      </c>
      <c r="BX502" s="552">
        <v>1279</v>
      </c>
      <c r="BY502" s="552">
        <v>1311</v>
      </c>
      <c r="BZ502" s="552">
        <v>1261</v>
      </c>
      <c r="CA502" s="552">
        <v>1172</v>
      </c>
      <c r="CB502" s="552">
        <v>1270</v>
      </c>
      <c r="CC502" s="552">
        <v>1212</v>
      </c>
      <c r="CD502" s="552">
        <v>1197</v>
      </c>
      <c r="CE502" s="552">
        <v>1164</v>
      </c>
      <c r="CF502" s="552">
        <v>1112</v>
      </c>
      <c r="CG502" s="552">
        <v>1141</v>
      </c>
      <c r="CH502" s="552">
        <v>1175</v>
      </c>
      <c r="CI502" s="552">
        <v>1186</v>
      </c>
      <c r="CJ502" s="552">
        <v>1175</v>
      </c>
      <c r="CK502" s="552">
        <v>999</v>
      </c>
      <c r="CL502" s="552">
        <v>920</v>
      </c>
      <c r="CM502" s="552">
        <v>863</v>
      </c>
      <c r="CN502" s="552">
        <v>789</v>
      </c>
      <c r="CO502" s="552">
        <v>736</v>
      </c>
      <c r="CP502" s="552">
        <v>619</v>
      </c>
      <c r="CQ502" s="552">
        <v>561</v>
      </c>
      <c r="CR502" s="552">
        <v>506</v>
      </c>
      <c r="CS502" s="552">
        <v>445</v>
      </c>
      <c r="CT502" s="552">
        <v>454</v>
      </c>
      <c r="CU502" s="552">
        <v>361</v>
      </c>
      <c r="CV502" s="552">
        <v>330</v>
      </c>
      <c r="CW502" s="552">
        <v>265</v>
      </c>
      <c r="CX502" s="552">
        <v>198</v>
      </c>
      <c r="CY502" s="552">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c r="A503" s="31" t="s">
        <v>215</v>
      </c>
      <c r="B503" s="1" t="s">
        <v>669</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552">
        <v>276</v>
      </c>
      <c r="N503" s="552">
        <v>237</v>
      </c>
      <c r="O503" s="552">
        <v>271</v>
      </c>
      <c r="P503" s="552">
        <v>294</v>
      </c>
      <c r="Q503" s="552">
        <v>285</v>
      </c>
      <c r="R503" s="552">
        <v>312</v>
      </c>
      <c r="S503" s="552">
        <v>341</v>
      </c>
      <c r="T503" s="552">
        <v>317</v>
      </c>
      <c r="U503" s="552">
        <v>309</v>
      </c>
      <c r="V503" s="552">
        <v>360</v>
      </c>
      <c r="W503" s="552">
        <v>360</v>
      </c>
      <c r="X503" s="552">
        <v>370</v>
      </c>
      <c r="Y503" s="552">
        <v>368</v>
      </c>
      <c r="Z503" s="552">
        <v>326</v>
      </c>
      <c r="AA503" s="552">
        <v>334</v>
      </c>
      <c r="AB503" s="552">
        <v>346</v>
      </c>
      <c r="AC503" s="552">
        <v>355</v>
      </c>
      <c r="AD503" s="552">
        <v>378</v>
      </c>
      <c r="AE503" s="552">
        <v>435</v>
      </c>
      <c r="AF503" s="552">
        <v>855</v>
      </c>
      <c r="AG503" s="552">
        <v>809</v>
      </c>
      <c r="AH503" s="552">
        <v>767</v>
      </c>
      <c r="AI503" s="552">
        <v>615</v>
      </c>
      <c r="AJ503" s="552">
        <v>548</v>
      </c>
      <c r="AK503" s="552">
        <v>432</v>
      </c>
      <c r="AL503" s="552">
        <v>350</v>
      </c>
      <c r="AM503" s="552">
        <v>336</v>
      </c>
      <c r="AN503" s="552">
        <v>361</v>
      </c>
      <c r="AO503" s="552">
        <v>363</v>
      </c>
      <c r="AP503" s="552">
        <v>307</v>
      </c>
      <c r="AQ503" s="552">
        <v>338</v>
      </c>
      <c r="AR503" s="552">
        <v>347</v>
      </c>
      <c r="AS503" s="552">
        <v>354</v>
      </c>
      <c r="AT503" s="552">
        <v>356</v>
      </c>
      <c r="AU503" s="552">
        <v>352</v>
      </c>
      <c r="AV503" s="552">
        <v>311</v>
      </c>
      <c r="AW503" s="552">
        <v>316</v>
      </c>
      <c r="AX503" s="552">
        <v>334</v>
      </c>
      <c r="AY503" s="552">
        <v>320</v>
      </c>
      <c r="AZ503" s="552">
        <v>335</v>
      </c>
      <c r="BA503" s="552">
        <v>353</v>
      </c>
      <c r="BB503" s="552">
        <v>347</v>
      </c>
      <c r="BC503" s="552">
        <v>316</v>
      </c>
      <c r="BD503" s="552">
        <v>308</v>
      </c>
      <c r="BE503" s="552">
        <v>280</v>
      </c>
      <c r="BF503" s="552">
        <v>309</v>
      </c>
      <c r="BG503" s="552">
        <v>342</v>
      </c>
      <c r="BH503" s="552">
        <v>348</v>
      </c>
      <c r="BI503" s="552">
        <v>356</v>
      </c>
      <c r="BJ503" s="552">
        <v>339</v>
      </c>
      <c r="BK503" s="552">
        <v>402</v>
      </c>
      <c r="BL503" s="552">
        <v>431</v>
      </c>
      <c r="BM503" s="552">
        <v>435</v>
      </c>
      <c r="BN503" s="552">
        <v>504</v>
      </c>
      <c r="BO503" s="552">
        <v>475</v>
      </c>
      <c r="BP503" s="552">
        <v>496</v>
      </c>
      <c r="BQ503" s="552">
        <v>511</v>
      </c>
      <c r="BR503" s="552">
        <v>501</v>
      </c>
      <c r="BS503" s="552">
        <v>541</v>
      </c>
      <c r="BT503" s="552">
        <v>553</v>
      </c>
      <c r="BU503" s="552">
        <v>538</v>
      </c>
      <c r="BV503" s="552">
        <v>517</v>
      </c>
      <c r="BW503" s="552">
        <v>495</v>
      </c>
      <c r="BX503" s="552">
        <v>529</v>
      </c>
      <c r="BY503" s="552">
        <v>518</v>
      </c>
      <c r="BZ503" s="552">
        <v>495</v>
      </c>
      <c r="CA503" s="552">
        <v>519</v>
      </c>
      <c r="CB503" s="552">
        <v>491</v>
      </c>
      <c r="CC503" s="552">
        <v>490</v>
      </c>
      <c r="CD503" s="552">
        <v>448</v>
      </c>
      <c r="CE503" s="552">
        <v>472</v>
      </c>
      <c r="CF503" s="552">
        <v>453</v>
      </c>
      <c r="CG503" s="552">
        <v>454</v>
      </c>
      <c r="CH503" s="552">
        <v>509</v>
      </c>
      <c r="CI503" s="552">
        <v>531</v>
      </c>
      <c r="CJ503" s="552">
        <v>500</v>
      </c>
      <c r="CK503" s="552">
        <v>376</v>
      </c>
      <c r="CL503" s="552">
        <v>376</v>
      </c>
      <c r="CM503" s="552">
        <v>354</v>
      </c>
      <c r="CN503" s="552">
        <v>347</v>
      </c>
      <c r="CO503" s="552">
        <v>289</v>
      </c>
      <c r="CP503" s="552">
        <v>213</v>
      </c>
      <c r="CQ503" s="552">
        <v>241</v>
      </c>
      <c r="CR503" s="552">
        <v>198</v>
      </c>
      <c r="CS503" s="552">
        <v>175</v>
      </c>
      <c r="CT503" s="552">
        <v>168</v>
      </c>
      <c r="CU503" s="552">
        <v>134</v>
      </c>
      <c r="CV503" s="552">
        <v>115</v>
      </c>
      <c r="CW503" s="552">
        <v>97</v>
      </c>
      <c r="CX503" s="552">
        <v>84</v>
      </c>
      <c r="CY503" s="552">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c r="A504" s="31" t="s">
        <v>215</v>
      </c>
      <c r="B504" s="1" t="s">
        <v>670</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552">
        <v>483</v>
      </c>
      <c r="N504" s="552">
        <v>469</v>
      </c>
      <c r="O504" s="552">
        <v>522</v>
      </c>
      <c r="P504" s="552">
        <v>523</v>
      </c>
      <c r="Q504" s="552">
        <v>549</v>
      </c>
      <c r="R504" s="552">
        <v>540</v>
      </c>
      <c r="S504" s="552">
        <v>563</v>
      </c>
      <c r="T504" s="552">
        <v>620</v>
      </c>
      <c r="U504" s="552">
        <v>583</v>
      </c>
      <c r="V504" s="552">
        <v>622</v>
      </c>
      <c r="W504" s="552">
        <v>611</v>
      </c>
      <c r="X504" s="552">
        <v>686</v>
      </c>
      <c r="Y504" s="552">
        <v>621</v>
      </c>
      <c r="Z504" s="552">
        <v>634</v>
      </c>
      <c r="AA504" s="552">
        <v>601</v>
      </c>
      <c r="AB504" s="552">
        <v>642</v>
      </c>
      <c r="AC504" s="552">
        <v>627</v>
      </c>
      <c r="AD504" s="552">
        <v>641</v>
      </c>
      <c r="AE504" s="552">
        <v>613</v>
      </c>
      <c r="AF504" s="552">
        <v>404</v>
      </c>
      <c r="AG504" s="552">
        <v>422</v>
      </c>
      <c r="AH504" s="552">
        <v>441</v>
      </c>
      <c r="AI504" s="552">
        <v>543</v>
      </c>
      <c r="AJ504" s="552">
        <v>525</v>
      </c>
      <c r="AK504" s="552">
        <v>583</v>
      </c>
      <c r="AL504" s="552">
        <v>572</v>
      </c>
      <c r="AM504" s="552">
        <v>471</v>
      </c>
      <c r="AN504" s="552">
        <v>561</v>
      </c>
      <c r="AO504" s="552">
        <v>538</v>
      </c>
      <c r="AP504" s="552">
        <v>526</v>
      </c>
      <c r="AQ504" s="552">
        <v>576</v>
      </c>
      <c r="AR504" s="552">
        <v>623</v>
      </c>
      <c r="AS504" s="552">
        <v>576</v>
      </c>
      <c r="AT504" s="552">
        <v>615</v>
      </c>
      <c r="AU504" s="552">
        <v>597</v>
      </c>
      <c r="AV504" s="552">
        <v>594</v>
      </c>
      <c r="AW504" s="552">
        <v>552</v>
      </c>
      <c r="AX504" s="552">
        <v>589</v>
      </c>
      <c r="AY504" s="552">
        <v>559</v>
      </c>
      <c r="AZ504" s="552">
        <v>543</v>
      </c>
      <c r="BA504" s="552">
        <v>551</v>
      </c>
      <c r="BB504" s="552">
        <v>596</v>
      </c>
      <c r="BC504" s="552">
        <v>626</v>
      </c>
      <c r="BD504" s="552">
        <v>555</v>
      </c>
      <c r="BE504" s="552">
        <v>470</v>
      </c>
      <c r="BF504" s="552">
        <v>555</v>
      </c>
      <c r="BG504" s="552">
        <v>559</v>
      </c>
      <c r="BH504" s="552">
        <v>569</v>
      </c>
      <c r="BI504" s="552">
        <v>603</v>
      </c>
      <c r="BJ504" s="552">
        <v>679</v>
      </c>
      <c r="BK504" s="552">
        <v>788</v>
      </c>
      <c r="BL504" s="552">
        <v>775</v>
      </c>
      <c r="BM504" s="552">
        <v>750</v>
      </c>
      <c r="BN504" s="552">
        <v>805</v>
      </c>
      <c r="BO504" s="552">
        <v>775</v>
      </c>
      <c r="BP504" s="552">
        <v>819</v>
      </c>
      <c r="BQ504" s="552">
        <v>862</v>
      </c>
      <c r="BR504" s="552">
        <v>890</v>
      </c>
      <c r="BS504" s="552">
        <v>870</v>
      </c>
      <c r="BT504" s="552">
        <v>881</v>
      </c>
      <c r="BU504" s="552">
        <v>879</v>
      </c>
      <c r="BV504" s="552">
        <v>894</v>
      </c>
      <c r="BW504" s="552">
        <v>876</v>
      </c>
      <c r="BX504" s="552">
        <v>830</v>
      </c>
      <c r="BY504" s="552">
        <v>792</v>
      </c>
      <c r="BZ504" s="552">
        <v>785</v>
      </c>
      <c r="CA504" s="552">
        <v>740</v>
      </c>
      <c r="CB504" s="552">
        <v>717</v>
      </c>
      <c r="CC504" s="552">
        <v>789</v>
      </c>
      <c r="CD504" s="552">
        <v>744</v>
      </c>
      <c r="CE504" s="552">
        <v>734</v>
      </c>
      <c r="CF504" s="552">
        <v>780</v>
      </c>
      <c r="CG504" s="552">
        <v>723</v>
      </c>
      <c r="CH504" s="552">
        <v>809</v>
      </c>
      <c r="CI504" s="552">
        <v>853</v>
      </c>
      <c r="CJ504" s="552">
        <v>851</v>
      </c>
      <c r="CK504" s="552">
        <v>673</v>
      </c>
      <c r="CL504" s="552">
        <v>628</v>
      </c>
      <c r="CM504" s="552">
        <v>602</v>
      </c>
      <c r="CN504" s="552">
        <v>548</v>
      </c>
      <c r="CO504" s="552">
        <v>479</v>
      </c>
      <c r="CP504" s="552">
        <v>400</v>
      </c>
      <c r="CQ504" s="552">
        <v>367</v>
      </c>
      <c r="CR504" s="552">
        <v>373</v>
      </c>
      <c r="CS504" s="552">
        <v>296</v>
      </c>
      <c r="CT504" s="552">
        <v>289</v>
      </c>
      <c r="CU504" s="552">
        <v>267</v>
      </c>
      <c r="CV504" s="552">
        <v>251</v>
      </c>
      <c r="CW504" s="552">
        <v>195</v>
      </c>
      <c r="CX504" s="552">
        <v>194</v>
      </c>
      <c r="CY504" s="552">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c r="A505" s="31" t="s">
        <v>215</v>
      </c>
      <c r="B505" s="1" t="s">
        <v>671</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552">
        <v>457</v>
      </c>
      <c r="N505" s="552">
        <v>493</v>
      </c>
      <c r="O505" s="552">
        <v>520</v>
      </c>
      <c r="P505" s="552">
        <v>480</v>
      </c>
      <c r="Q505" s="552">
        <v>486</v>
      </c>
      <c r="R505" s="552">
        <v>551</v>
      </c>
      <c r="S505" s="552">
        <v>523</v>
      </c>
      <c r="T505" s="552">
        <v>558</v>
      </c>
      <c r="U505" s="552">
        <v>524</v>
      </c>
      <c r="V505" s="552">
        <v>561</v>
      </c>
      <c r="W505" s="552">
        <v>567</v>
      </c>
      <c r="X505" s="552">
        <v>592</v>
      </c>
      <c r="Y505" s="552">
        <v>615</v>
      </c>
      <c r="Z505" s="552">
        <v>593</v>
      </c>
      <c r="AA505" s="552">
        <v>609</v>
      </c>
      <c r="AB505" s="552">
        <v>587</v>
      </c>
      <c r="AC505" s="552">
        <v>587</v>
      </c>
      <c r="AD505" s="552">
        <v>627</v>
      </c>
      <c r="AE505" s="552">
        <v>551</v>
      </c>
      <c r="AF505" s="552">
        <v>439</v>
      </c>
      <c r="AG505" s="552">
        <v>422</v>
      </c>
      <c r="AH505" s="552">
        <v>434</v>
      </c>
      <c r="AI505" s="552">
        <v>423</v>
      </c>
      <c r="AJ505" s="552">
        <v>470</v>
      </c>
      <c r="AK505" s="552">
        <v>490</v>
      </c>
      <c r="AL505" s="552">
        <v>482</v>
      </c>
      <c r="AM505" s="552">
        <v>514</v>
      </c>
      <c r="AN505" s="552">
        <v>470</v>
      </c>
      <c r="AO505" s="552">
        <v>500</v>
      </c>
      <c r="AP505" s="552">
        <v>483</v>
      </c>
      <c r="AQ505" s="552">
        <v>507</v>
      </c>
      <c r="AR505" s="552">
        <v>516</v>
      </c>
      <c r="AS505" s="552">
        <v>511</v>
      </c>
      <c r="AT505" s="552">
        <v>471</v>
      </c>
      <c r="AU505" s="552">
        <v>530</v>
      </c>
      <c r="AV505" s="552">
        <v>513</v>
      </c>
      <c r="AW505" s="552">
        <v>510</v>
      </c>
      <c r="AX505" s="552">
        <v>477</v>
      </c>
      <c r="AY505" s="552">
        <v>509</v>
      </c>
      <c r="AZ505" s="552">
        <v>424</v>
      </c>
      <c r="BA505" s="552">
        <v>488</v>
      </c>
      <c r="BB505" s="552">
        <v>496</v>
      </c>
      <c r="BC505" s="552">
        <v>500</v>
      </c>
      <c r="BD505" s="552">
        <v>478</v>
      </c>
      <c r="BE505" s="552">
        <v>422</v>
      </c>
      <c r="BF505" s="552">
        <v>464</v>
      </c>
      <c r="BG505" s="552">
        <v>515</v>
      </c>
      <c r="BH505" s="552">
        <v>516</v>
      </c>
      <c r="BI505" s="552">
        <v>525</v>
      </c>
      <c r="BJ505" s="552">
        <v>532</v>
      </c>
      <c r="BK505" s="552">
        <v>646</v>
      </c>
      <c r="BL505" s="552">
        <v>654</v>
      </c>
      <c r="BM505" s="552">
        <v>645</v>
      </c>
      <c r="BN505" s="552">
        <v>662</v>
      </c>
      <c r="BO505" s="552">
        <v>643</v>
      </c>
      <c r="BP505" s="552">
        <v>715</v>
      </c>
      <c r="BQ505" s="552">
        <v>681</v>
      </c>
      <c r="BR505" s="552">
        <v>758</v>
      </c>
      <c r="BS505" s="552">
        <v>746</v>
      </c>
      <c r="BT505" s="552">
        <v>697</v>
      </c>
      <c r="BU505" s="552">
        <v>737</v>
      </c>
      <c r="BV505" s="552">
        <v>654</v>
      </c>
      <c r="BW505" s="552">
        <v>713</v>
      </c>
      <c r="BX505" s="552">
        <v>665</v>
      </c>
      <c r="BY505" s="552">
        <v>635</v>
      </c>
      <c r="BZ505" s="552">
        <v>637</v>
      </c>
      <c r="CA505" s="552">
        <v>603</v>
      </c>
      <c r="CB505" s="552">
        <v>603</v>
      </c>
      <c r="CC505" s="552">
        <v>596</v>
      </c>
      <c r="CD505" s="552">
        <v>599</v>
      </c>
      <c r="CE505" s="552">
        <v>543</v>
      </c>
      <c r="CF505" s="552">
        <v>547</v>
      </c>
      <c r="CG505" s="552">
        <v>614</v>
      </c>
      <c r="CH505" s="552">
        <v>653</v>
      </c>
      <c r="CI505" s="552">
        <v>674</v>
      </c>
      <c r="CJ505" s="552">
        <v>666</v>
      </c>
      <c r="CK505" s="552">
        <v>469</v>
      </c>
      <c r="CL505" s="552">
        <v>446</v>
      </c>
      <c r="CM505" s="552">
        <v>473</v>
      </c>
      <c r="CN505" s="552">
        <v>443</v>
      </c>
      <c r="CO505" s="552">
        <v>359</v>
      </c>
      <c r="CP505" s="552">
        <v>328</v>
      </c>
      <c r="CQ505" s="552">
        <v>290</v>
      </c>
      <c r="CR505" s="552">
        <v>259</v>
      </c>
      <c r="CS505" s="552">
        <v>236</v>
      </c>
      <c r="CT505" s="552">
        <v>224</v>
      </c>
      <c r="CU505" s="552">
        <v>181</v>
      </c>
      <c r="CV505" s="552">
        <v>162</v>
      </c>
      <c r="CW505" s="552">
        <v>127</v>
      </c>
      <c r="CX505" s="552">
        <v>108</v>
      </c>
      <c r="CY505" s="552">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c r="A506" s="31" t="s">
        <v>215</v>
      </c>
      <c r="B506" s="1" t="s">
        <v>672</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552">
        <v>701</v>
      </c>
      <c r="N506" s="552">
        <v>780</v>
      </c>
      <c r="O506" s="552">
        <v>775</v>
      </c>
      <c r="P506" s="552">
        <v>770</v>
      </c>
      <c r="Q506" s="552">
        <v>817</v>
      </c>
      <c r="R506" s="552">
        <v>825</v>
      </c>
      <c r="S506" s="552">
        <v>849</v>
      </c>
      <c r="T506" s="552">
        <v>888</v>
      </c>
      <c r="U506" s="552">
        <v>904</v>
      </c>
      <c r="V506" s="552">
        <v>899</v>
      </c>
      <c r="W506" s="552">
        <v>971</v>
      </c>
      <c r="X506" s="552">
        <v>933</v>
      </c>
      <c r="Y506" s="552">
        <v>1008</v>
      </c>
      <c r="Z506" s="552">
        <v>933</v>
      </c>
      <c r="AA506" s="552">
        <v>1033</v>
      </c>
      <c r="AB506" s="552">
        <v>950</v>
      </c>
      <c r="AC506" s="552">
        <v>903</v>
      </c>
      <c r="AD506" s="552">
        <v>944</v>
      </c>
      <c r="AE506" s="552">
        <v>881</v>
      </c>
      <c r="AF506" s="552">
        <v>661</v>
      </c>
      <c r="AG506" s="552">
        <v>648</v>
      </c>
      <c r="AH506" s="552">
        <v>673</v>
      </c>
      <c r="AI506" s="552">
        <v>728</v>
      </c>
      <c r="AJ506" s="552">
        <v>844</v>
      </c>
      <c r="AK506" s="552">
        <v>853</v>
      </c>
      <c r="AL506" s="552">
        <v>829</v>
      </c>
      <c r="AM506" s="552">
        <v>799</v>
      </c>
      <c r="AN506" s="552">
        <v>822</v>
      </c>
      <c r="AO506" s="552">
        <v>837</v>
      </c>
      <c r="AP506" s="552">
        <v>879</v>
      </c>
      <c r="AQ506" s="552">
        <v>1004</v>
      </c>
      <c r="AR506" s="552">
        <v>928</v>
      </c>
      <c r="AS506" s="552">
        <v>919</v>
      </c>
      <c r="AT506" s="552">
        <v>961</v>
      </c>
      <c r="AU506" s="552">
        <v>970</v>
      </c>
      <c r="AV506" s="552">
        <v>947</v>
      </c>
      <c r="AW506" s="552">
        <v>978</v>
      </c>
      <c r="AX506" s="552">
        <v>903</v>
      </c>
      <c r="AY506" s="552">
        <v>860</v>
      </c>
      <c r="AZ506" s="552">
        <v>889</v>
      </c>
      <c r="BA506" s="552">
        <v>925</v>
      </c>
      <c r="BB506" s="552">
        <v>916</v>
      </c>
      <c r="BC506" s="552">
        <v>930</v>
      </c>
      <c r="BD506" s="552">
        <v>875</v>
      </c>
      <c r="BE506" s="552">
        <v>855</v>
      </c>
      <c r="BF506" s="552">
        <v>802</v>
      </c>
      <c r="BG506" s="552">
        <v>825</v>
      </c>
      <c r="BH506" s="552">
        <v>925</v>
      </c>
      <c r="BI506" s="552">
        <v>970</v>
      </c>
      <c r="BJ506" s="552">
        <v>989</v>
      </c>
      <c r="BK506" s="552">
        <v>1124</v>
      </c>
      <c r="BL506" s="552">
        <v>1159</v>
      </c>
      <c r="BM506" s="552">
        <v>1172</v>
      </c>
      <c r="BN506" s="552">
        <v>1222</v>
      </c>
      <c r="BO506" s="552">
        <v>1193</v>
      </c>
      <c r="BP506" s="552">
        <v>1115</v>
      </c>
      <c r="BQ506" s="552">
        <v>1116</v>
      </c>
      <c r="BR506" s="552">
        <v>1156</v>
      </c>
      <c r="BS506" s="552">
        <v>1196</v>
      </c>
      <c r="BT506" s="552">
        <v>1096</v>
      </c>
      <c r="BU506" s="552">
        <v>1149</v>
      </c>
      <c r="BV506" s="552">
        <v>1060</v>
      </c>
      <c r="BW506" s="552">
        <v>1024</v>
      </c>
      <c r="BX506" s="552">
        <v>1036</v>
      </c>
      <c r="BY506" s="552">
        <v>912</v>
      </c>
      <c r="BZ506" s="552">
        <v>883</v>
      </c>
      <c r="CA506" s="552">
        <v>867</v>
      </c>
      <c r="CB506" s="552">
        <v>793</v>
      </c>
      <c r="CC506" s="552">
        <v>812</v>
      </c>
      <c r="CD506" s="552">
        <v>850</v>
      </c>
      <c r="CE506" s="552">
        <v>761</v>
      </c>
      <c r="CF506" s="552">
        <v>877</v>
      </c>
      <c r="CG506" s="552">
        <v>832</v>
      </c>
      <c r="CH506" s="552">
        <v>891</v>
      </c>
      <c r="CI506" s="552">
        <v>922</v>
      </c>
      <c r="CJ506" s="552">
        <v>1006</v>
      </c>
      <c r="CK506" s="552">
        <v>637</v>
      </c>
      <c r="CL506" s="552">
        <v>646</v>
      </c>
      <c r="CM506" s="552">
        <v>660</v>
      </c>
      <c r="CN506" s="552">
        <v>553</v>
      </c>
      <c r="CO506" s="552">
        <v>481</v>
      </c>
      <c r="CP506" s="552">
        <v>430</v>
      </c>
      <c r="CQ506" s="552">
        <v>426</v>
      </c>
      <c r="CR506" s="552">
        <v>354</v>
      </c>
      <c r="CS506" s="552">
        <v>350</v>
      </c>
      <c r="CT506" s="552">
        <v>287</v>
      </c>
      <c r="CU506" s="552">
        <v>257</v>
      </c>
      <c r="CV506" s="552">
        <v>212</v>
      </c>
      <c r="CW506" s="552">
        <v>170</v>
      </c>
      <c r="CX506" s="552">
        <v>138</v>
      </c>
      <c r="CY506" s="552">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c r="A507" s="31" t="s">
        <v>215</v>
      </c>
      <c r="B507" s="1" t="s">
        <v>673</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552">
        <v>554</v>
      </c>
      <c r="N507" s="552">
        <v>518</v>
      </c>
      <c r="O507" s="552">
        <v>550</v>
      </c>
      <c r="P507" s="552">
        <v>548</v>
      </c>
      <c r="Q507" s="552">
        <v>593</v>
      </c>
      <c r="R507" s="552">
        <v>563</v>
      </c>
      <c r="S507" s="552">
        <v>656</v>
      </c>
      <c r="T507" s="552">
        <v>596</v>
      </c>
      <c r="U507" s="552">
        <v>662</v>
      </c>
      <c r="V507" s="552">
        <v>660</v>
      </c>
      <c r="W507" s="552">
        <v>664</v>
      </c>
      <c r="X507" s="552">
        <v>666</v>
      </c>
      <c r="Y507" s="552">
        <v>714</v>
      </c>
      <c r="Z507" s="552">
        <v>665</v>
      </c>
      <c r="AA507" s="552">
        <v>674</v>
      </c>
      <c r="AB507" s="552">
        <v>671</v>
      </c>
      <c r="AC507" s="552">
        <v>653</v>
      </c>
      <c r="AD507" s="552">
        <v>618</v>
      </c>
      <c r="AE507" s="552">
        <v>660</v>
      </c>
      <c r="AF507" s="552">
        <v>869</v>
      </c>
      <c r="AG507" s="552">
        <v>893</v>
      </c>
      <c r="AH507" s="552">
        <v>930</v>
      </c>
      <c r="AI507" s="552">
        <v>871</v>
      </c>
      <c r="AJ507" s="552">
        <v>777</v>
      </c>
      <c r="AK507" s="552">
        <v>709</v>
      </c>
      <c r="AL507" s="552">
        <v>648</v>
      </c>
      <c r="AM507" s="552">
        <v>637</v>
      </c>
      <c r="AN507" s="552">
        <v>635</v>
      </c>
      <c r="AO507" s="552">
        <v>676</v>
      </c>
      <c r="AP507" s="552">
        <v>659</v>
      </c>
      <c r="AQ507" s="552">
        <v>661</v>
      </c>
      <c r="AR507" s="552">
        <v>643</v>
      </c>
      <c r="AS507" s="552">
        <v>663</v>
      </c>
      <c r="AT507" s="552">
        <v>677</v>
      </c>
      <c r="AU507" s="552">
        <v>680</v>
      </c>
      <c r="AV507" s="552">
        <v>704</v>
      </c>
      <c r="AW507" s="552">
        <v>572</v>
      </c>
      <c r="AX507" s="552">
        <v>595</v>
      </c>
      <c r="AY507" s="552">
        <v>582</v>
      </c>
      <c r="AZ507" s="552">
        <v>586</v>
      </c>
      <c r="BA507" s="552">
        <v>589</v>
      </c>
      <c r="BB507" s="552">
        <v>603</v>
      </c>
      <c r="BC507" s="552">
        <v>613</v>
      </c>
      <c r="BD507" s="552">
        <v>569</v>
      </c>
      <c r="BE507" s="552">
        <v>557</v>
      </c>
      <c r="BF507" s="552">
        <v>575</v>
      </c>
      <c r="BG507" s="552">
        <v>581</v>
      </c>
      <c r="BH507" s="552">
        <v>606</v>
      </c>
      <c r="BI507" s="552">
        <v>678</v>
      </c>
      <c r="BJ507" s="552">
        <v>722</v>
      </c>
      <c r="BK507" s="552">
        <v>767</v>
      </c>
      <c r="BL507" s="552">
        <v>811</v>
      </c>
      <c r="BM507" s="552">
        <v>804</v>
      </c>
      <c r="BN507" s="552">
        <v>775</v>
      </c>
      <c r="BO507" s="552">
        <v>801</v>
      </c>
      <c r="BP507" s="552">
        <v>799</v>
      </c>
      <c r="BQ507" s="552">
        <v>858</v>
      </c>
      <c r="BR507" s="552">
        <v>866</v>
      </c>
      <c r="BS507" s="552">
        <v>874</v>
      </c>
      <c r="BT507" s="552">
        <v>888</v>
      </c>
      <c r="BU507" s="552">
        <v>867</v>
      </c>
      <c r="BV507" s="552">
        <v>849</v>
      </c>
      <c r="BW507" s="552">
        <v>771</v>
      </c>
      <c r="BX507" s="552">
        <v>768</v>
      </c>
      <c r="BY507" s="552">
        <v>811</v>
      </c>
      <c r="BZ507" s="552">
        <v>756</v>
      </c>
      <c r="CA507" s="552">
        <v>711</v>
      </c>
      <c r="CB507" s="552">
        <v>727</v>
      </c>
      <c r="CC507" s="552">
        <v>675</v>
      </c>
      <c r="CD507" s="552">
        <v>709</v>
      </c>
      <c r="CE507" s="552">
        <v>650</v>
      </c>
      <c r="CF507" s="552">
        <v>649</v>
      </c>
      <c r="CG507" s="552">
        <v>649</v>
      </c>
      <c r="CH507" s="552">
        <v>729</v>
      </c>
      <c r="CI507" s="552">
        <v>764</v>
      </c>
      <c r="CJ507" s="552">
        <v>736</v>
      </c>
      <c r="CK507" s="552">
        <v>589</v>
      </c>
      <c r="CL507" s="552">
        <v>522</v>
      </c>
      <c r="CM507" s="552">
        <v>521</v>
      </c>
      <c r="CN507" s="552">
        <v>483</v>
      </c>
      <c r="CO507" s="552">
        <v>379</v>
      </c>
      <c r="CP507" s="552">
        <v>308</v>
      </c>
      <c r="CQ507" s="552">
        <v>331</v>
      </c>
      <c r="CR507" s="552">
        <v>327</v>
      </c>
      <c r="CS507" s="552">
        <v>274</v>
      </c>
      <c r="CT507" s="552">
        <v>248</v>
      </c>
      <c r="CU507" s="552">
        <v>221</v>
      </c>
      <c r="CV507" s="552">
        <v>181</v>
      </c>
      <c r="CW507" s="552">
        <v>162</v>
      </c>
      <c r="CX507" s="552">
        <v>135</v>
      </c>
      <c r="CY507" s="552">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c r="A508" s="31" t="s">
        <v>215</v>
      </c>
      <c r="B508" s="1" t="s">
        <v>674</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552">
        <v>273</v>
      </c>
      <c r="N508" s="552">
        <v>322</v>
      </c>
      <c r="O508" s="552">
        <v>305</v>
      </c>
      <c r="P508" s="552">
        <v>320</v>
      </c>
      <c r="Q508" s="552">
        <v>334</v>
      </c>
      <c r="R508" s="552">
        <v>383</v>
      </c>
      <c r="S508" s="552">
        <v>383</v>
      </c>
      <c r="T508" s="552">
        <v>361</v>
      </c>
      <c r="U508" s="552">
        <v>383</v>
      </c>
      <c r="V508" s="552">
        <v>411</v>
      </c>
      <c r="W508" s="552">
        <v>394</v>
      </c>
      <c r="X508" s="552">
        <v>440</v>
      </c>
      <c r="Y508" s="552">
        <v>405</v>
      </c>
      <c r="Z508" s="552">
        <v>438</v>
      </c>
      <c r="AA508" s="552">
        <v>385</v>
      </c>
      <c r="AB508" s="552">
        <v>392</v>
      </c>
      <c r="AC508" s="552">
        <v>391</v>
      </c>
      <c r="AD508" s="552">
        <v>389</v>
      </c>
      <c r="AE508" s="552">
        <v>348</v>
      </c>
      <c r="AF508" s="552">
        <v>299</v>
      </c>
      <c r="AG508" s="552">
        <v>302</v>
      </c>
      <c r="AH508" s="552">
        <v>273</v>
      </c>
      <c r="AI508" s="552">
        <v>297</v>
      </c>
      <c r="AJ508" s="552">
        <v>367</v>
      </c>
      <c r="AK508" s="552">
        <v>299</v>
      </c>
      <c r="AL508" s="552">
        <v>316</v>
      </c>
      <c r="AM508" s="552">
        <v>341</v>
      </c>
      <c r="AN508" s="552">
        <v>319</v>
      </c>
      <c r="AO508" s="552">
        <v>363</v>
      </c>
      <c r="AP508" s="552">
        <v>338</v>
      </c>
      <c r="AQ508" s="552">
        <v>332</v>
      </c>
      <c r="AR508" s="552">
        <v>349</v>
      </c>
      <c r="AS508" s="552">
        <v>346</v>
      </c>
      <c r="AT508" s="552">
        <v>349</v>
      </c>
      <c r="AU508" s="552">
        <v>381</v>
      </c>
      <c r="AV508" s="552">
        <v>373</v>
      </c>
      <c r="AW508" s="552">
        <v>310</v>
      </c>
      <c r="AX508" s="552">
        <v>347</v>
      </c>
      <c r="AY508" s="552">
        <v>371</v>
      </c>
      <c r="AZ508" s="552">
        <v>328</v>
      </c>
      <c r="BA508" s="552">
        <v>331</v>
      </c>
      <c r="BB508" s="552">
        <v>346</v>
      </c>
      <c r="BC508" s="552">
        <v>345</v>
      </c>
      <c r="BD508" s="552">
        <v>373</v>
      </c>
      <c r="BE508" s="552">
        <v>321</v>
      </c>
      <c r="BF508" s="552">
        <v>306</v>
      </c>
      <c r="BG508" s="552">
        <v>326</v>
      </c>
      <c r="BH508" s="552">
        <v>357</v>
      </c>
      <c r="BI508" s="552">
        <v>373</v>
      </c>
      <c r="BJ508" s="552">
        <v>436</v>
      </c>
      <c r="BK508" s="552">
        <v>448</v>
      </c>
      <c r="BL508" s="552">
        <v>493</v>
      </c>
      <c r="BM508" s="552">
        <v>440</v>
      </c>
      <c r="BN508" s="552">
        <v>466</v>
      </c>
      <c r="BO508" s="552">
        <v>481</v>
      </c>
      <c r="BP508" s="552">
        <v>523</v>
      </c>
      <c r="BQ508" s="552">
        <v>490</v>
      </c>
      <c r="BR508" s="552">
        <v>546</v>
      </c>
      <c r="BS508" s="552">
        <v>515</v>
      </c>
      <c r="BT508" s="552">
        <v>563</v>
      </c>
      <c r="BU508" s="552">
        <v>503</v>
      </c>
      <c r="BV508" s="552">
        <v>511</v>
      </c>
      <c r="BW508" s="552">
        <v>539</v>
      </c>
      <c r="BX508" s="552">
        <v>521</v>
      </c>
      <c r="BY508" s="552">
        <v>482</v>
      </c>
      <c r="BZ508" s="552">
        <v>468</v>
      </c>
      <c r="CA508" s="552">
        <v>489</v>
      </c>
      <c r="CB508" s="552">
        <v>476</v>
      </c>
      <c r="CC508" s="552">
        <v>458</v>
      </c>
      <c r="CD508" s="552">
        <v>460</v>
      </c>
      <c r="CE508" s="552">
        <v>458</v>
      </c>
      <c r="CF508" s="552">
        <v>438</v>
      </c>
      <c r="CG508" s="552">
        <v>468</v>
      </c>
      <c r="CH508" s="552">
        <v>490</v>
      </c>
      <c r="CI508" s="552">
        <v>504</v>
      </c>
      <c r="CJ508" s="552">
        <v>484</v>
      </c>
      <c r="CK508" s="552">
        <v>343</v>
      </c>
      <c r="CL508" s="552">
        <v>365</v>
      </c>
      <c r="CM508" s="552">
        <v>374</v>
      </c>
      <c r="CN508" s="552">
        <v>344</v>
      </c>
      <c r="CO508" s="552">
        <v>273</v>
      </c>
      <c r="CP508" s="552">
        <v>244</v>
      </c>
      <c r="CQ508" s="552">
        <v>233</v>
      </c>
      <c r="CR508" s="552">
        <v>249</v>
      </c>
      <c r="CS508" s="552">
        <v>194</v>
      </c>
      <c r="CT508" s="552">
        <v>174</v>
      </c>
      <c r="CU508" s="552">
        <v>143</v>
      </c>
      <c r="CV508" s="552">
        <v>115</v>
      </c>
      <c r="CW508" s="552">
        <v>82</v>
      </c>
      <c r="CX508" s="552">
        <v>77</v>
      </c>
      <c r="CY508" s="552">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c r="A509" s="31" t="s">
        <v>215</v>
      </c>
      <c r="B509" s="1" t="s">
        <v>675</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552">
        <v>322</v>
      </c>
      <c r="N509" s="552">
        <v>325</v>
      </c>
      <c r="O509" s="552">
        <v>329</v>
      </c>
      <c r="P509" s="552">
        <v>309</v>
      </c>
      <c r="Q509" s="552">
        <v>371</v>
      </c>
      <c r="R509" s="552">
        <v>402</v>
      </c>
      <c r="S509" s="552">
        <v>381</v>
      </c>
      <c r="T509" s="552">
        <v>384</v>
      </c>
      <c r="U509" s="552">
        <v>350</v>
      </c>
      <c r="V509" s="552">
        <v>355</v>
      </c>
      <c r="W509" s="552">
        <v>378</v>
      </c>
      <c r="X509" s="552">
        <v>405</v>
      </c>
      <c r="Y509" s="552">
        <v>360</v>
      </c>
      <c r="Z509" s="552">
        <v>363</v>
      </c>
      <c r="AA509" s="552">
        <v>375</v>
      </c>
      <c r="AB509" s="552">
        <v>379</v>
      </c>
      <c r="AC509" s="552">
        <v>337</v>
      </c>
      <c r="AD509" s="552">
        <v>307</v>
      </c>
      <c r="AE509" s="552">
        <v>319</v>
      </c>
      <c r="AF509" s="552">
        <v>333</v>
      </c>
      <c r="AG509" s="552">
        <v>297</v>
      </c>
      <c r="AH509" s="552">
        <v>289</v>
      </c>
      <c r="AI509" s="552">
        <v>333</v>
      </c>
      <c r="AJ509" s="552">
        <v>329</v>
      </c>
      <c r="AK509" s="552">
        <v>314</v>
      </c>
      <c r="AL509" s="552">
        <v>356</v>
      </c>
      <c r="AM509" s="552">
        <v>342</v>
      </c>
      <c r="AN509" s="552">
        <v>329</v>
      </c>
      <c r="AO509" s="552">
        <v>375</v>
      </c>
      <c r="AP509" s="552">
        <v>373</v>
      </c>
      <c r="AQ509" s="552">
        <v>362</v>
      </c>
      <c r="AR509" s="552">
        <v>382</v>
      </c>
      <c r="AS509" s="552">
        <v>390</v>
      </c>
      <c r="AT509" s="552">
        <v>371</v>
      </c>
      <c r="AU509" s="552">
        <v>386</v>
      </c>
      <c r="AV509" s="552">
        <v>397</v>
      </c>
      <c r="AW509" s="552">
        <v>396</v>
      </c>
      <c r="AX509" s="552">
        <v>417</v>
      </c>
      <c r="AY509" s="552">
        <v>405</v>
      </c>
      <c r="AZ509" s="552">
        <v>353</v>
      </c>
      <c r="BA509" s="552">
        <v>345</v>
      </c>
      <c r="BB509" s="552">
        <v>368</v>
      </c>
      <c r="BC509" s="552">
        <v>386</v>
      </c>
      <c r="BD509" s="552">
        <v>340</v>
      </c>
      <c r="BE509" s="552">
        <v>284</v>
      </c>
      <c r="BF509" s="552">
        <v>280</v>
      </c>
      <c r="BG509" s="552">
        <v>319</v>
      </c>
      <c r="BH509" s="552">
        <v>331</v>
      </c>
      <c r="BI509" s="552">
        <v>303</v>
      </c>
      <c r="BJ509" s="552">
        <v>340</v>
      </c>
      <c r="BK509" s="552">
        <v>362</v>
      </c>
      <c r="BL509" s="552">
        <v>394</v>
      </c>
      <c r="BM509" s="552">
        <v>378</v>
      </c>
      <c r="BN509" s="552">
        <v>423</v>
      </c>
      <c r="BO509" s="552">
        <v>387</v>
      </c>
      <c r="BP509" s="552">
        <v>385</v>
      </c>
      <c r="BQ509" s="552">
        <v>419</v>
      </c>
      <c r="BR509" s="552">
        <v>416</v>
      </c>
      <c r="BS509" s="552">
        <v>421</v>
      </c>
      <c r="BT509" s="552">
        <v>381</v>
      </c>
      <c r="BU509" s="552">
        <v>405</v>
      </c>
      <c r="BV509" s="552">
        <v>379</v>
      </c>
      <c r="BW509" s="552">
        <v>383</v>
      </c>
      <c r="BX509" s="552">
        <v>405</v>
      </c>
      <c r="BY509" s="552">
        <v>393</v>
      </c>
      <c r="BZ509" s="552">
        <v>324</v>
      </c>
      <c r="CA509" s="552">
        <v>306</v>
      </c>
      <c r="CB509" s="552">
        <v>295</v>
      </c>
      <c r="CC509" s="552">
        <v>323</v>
      </c>
      <c r="CD509" s="552">
        <v>301</v>
      </c>
      <c r="CE509" s="552">
        <v>295</v>
      </c>
      <c r="CF509" s="552">
        <v>300</v>
      </c>
      <c r="CG509" s="552">
        <v>276</v>
      </c>
      <c r="CH509" s="552">
        <v>314</v>
      </c>
      <c r="CI509" s="552">
        <v>295</v>
      </c>
      <c r="CJ509" s="552">
        <v>264</v>
      </c>
      <c r="CK509" s="552">
        <v>208</v>
      </c>
      <c r="CL509" s="552">
        <v>225</v>
      </c>
      <c r="CM509" s="552">
        <v>219</v>
      </c>
      <c r="CN509" s="552">
        <v>190</v>
      </c>
      <c r="CO509" s="552">
        <v>177</v>
      </c>
      <c r="CP509" s="552">
        <v>123</v>
      </c>
      <c r="CQ509" s="552">
        <v>131</v>
      </c>
      <c r="CR509" s="552">
        <v>119</v>
      </c>
      <c r="CS509" s="552">
        <v>109</v>
      </c>
      <c r="CT509" s="552">
        <v>95</v>
      </c>
      <c r="CU509" s="552">
        <v>84</v>
      </c>
      <c r="CV509" s="552">
        <v>76</v>
      </c>
      <c r="CW509" s="552">
        <v>50</v>
      </c>
      <c r="CX509" s="552">
        <v>44</v>
      </c>
      <c r="CY509" s="552">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c r="A510" s="31" t="s">
        <v>215</v>
      </c>
      <c r="B510" s="1" t="s">
        <v>676</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552">
        <v>377</v>
      </c>
      <c r="N510" s="552">
        <v>383</v>
      </c>
      <c r="O510" s="552">
        <v>404</v>
      </c>
      <c r="P510" s="552">
        <v>394</v>
      </c>
      <c r="Q510" s="552">
        <v>447</v>
      </c>
      <c r="R510" s="552">
        <v>478</v>
      </c>
      <c r="S510" s="552">
        <v>490</v>
      </c>
      <c r="T510" s="552">
        <v>485</v>
      </c>
      <c r="U510" s="552">
        <v>489</v>
      </c>
      <c r="V510" s="552">
        <v>501</v>
      </c>
      <c r="W510" s="552">
        <v>531</v>
      </c>
      <c r="X510" s="552">
        <v>542</v>
      </c>
      <c r="Y510" s="552">
        <v>515</v>
      </c>
      <c r="Z510" s="552">
        <v>563</v>
      </c>
      <c r="AA510" s="552">
        <v>550</v>
      </c>
      <c r="AB510" s="552">
        <v>559</v>
      </c>
      <c r="AC510" s="552">
        <v>524</v>
      </c>
      <c r="AD510" s="552">
        <v>545</v>
      </c>
      <c r="AE510" s="552">
        <v>490</v>
      </c>
      <c r="AF510" s="552">
        <v>319</v>
      </c>
      <c r="AG510" s="552">
        <v>335</v>
      </c>
      <c r="AH510" s="552">
        <v>372</v>
      </c>
      <c r="AI510" s="552">
        <v>418</v>
      </c>
      <c r="AJ510" s="552">
        <v>441</v>
      </c>
      <c r="AK510" s="552">
        <v>398</v>
      </c>
      <c r="AL510" s="552">
        <v>495</v>
      </c>
      <c r="AM510" s="552">
        <v>449</v>
      </c>
      <c r="AN510" s="552">
        <v>462</v>
      </c>
      <c r="AO510" s="552">
        <v>457</v>
      </c>
      <c r="AP510" s="552">
        <v>442</v>
      </c>
      <c r="AQ510" s="552">
        <v>500</v>
      </c>
      <c r="AR510" s="552">
        <v>537</v>
      </c>
      <c r="AS510" s="552">
        <v>477</v>
      </c>
      <c r="AT510" s="552">
        <v>516</v>
      </c>
      <c r="AU510" s="552">
        <v>453</v>
      </c>
      <c r="AV510" s="552">
        <v>485</v>
      </c>
      <c r="AW510" s="552">
        <v>490</v>
      </c>
      <c r="AX510" s="552">
        <v>484</v>
      </c>
      <c r="AY510" s="552">
        <v>482</v>
      </c>
      <c r="AZ510" s="552">
        <v>486</v>
      </c>
      <c r="BA510" s="552">
        <v>499</v>
      </c>
      <c r="BB510" s="552">
        <v>471</v>
      </c>
      <c r="BC510" s="552">
        <v>509</v>
      </c>
      <c r="BD510" s="552">
        <v>520</v>
      </c>
      <c r="BE510" s="552">
        <v>463</v>
      </c>
      <c r="BF510" s="552">
        <v>519</v>
      </c>
      <c r="BG510" s="552">
        <v>496</v>
      </c>
      <c r="BH510" s="552">
        <v>549</v>
      </c>
      <c r="BI510" s="552">
        <v>538</v>
      </c>
      <c r="BJ510" s="552">
        <v>592</v>
      </c>
      <c r="BK510" s="552">
        <v>667</v>
      </c>
      <c r="BL510" s="552">
        <v>708</v>
      </c>
      <c r="BM510" s="552">
        <v>648</v>
      </c>
      <c r="BN510" s="552">
        <v>693</v>
      </c>
      <c r="BO510" s="552">
        <v>749</v>
      </c>
      <c r="BP510" s="552">
        <v>752</v>
      </c>
      <c r="BQ510" s="552">
        <v>784</v>
      </c>
      <c r="BR510" s="552">
        <v>766</v>
      </c>
      <c r="BS510" s="552">
        <v>756</v>
      </c>
      <c r="BT510" s="552">
        <v>782</v>
      </c>
      <c r="BU510" s="552">
        <v>721</v>
      </c>
      <c r="BV510" s="552">
        <v>717</v>
      </c>
      <c r="BW510" s="552">
        <v>665</v>
      </c>
      <c r="BX510" s="552">
        <v>635</v>
      </c>
      <c r="BY510" s="552">
        <v>685</v>
      </c>
      <c r="BZ510" s="552">
        <v>628</v>
      </c>
      <c r="CA510" s="552">
        <v>575</v>
      </c>
      <c r="CB510" s="552">
        <v>602</v>
      </c>
      <c r="CC510" s="552">
        <v>554</v>
      </c>
      <c r="CD510" s="552">
        <v>603</v>
      </c>
      <c r="CE510" s="552">
        <v>611</v>
      </c>
      <c r="CF510" s="552">
        <v>578</v>
      </c>
      <c r="CG510" s="552">
        <v>625</v>
      </c>
      <c r="CH510" s="552">
        <v>605</v>
      </c>
      <c r="CI510" s="552">
        <v>606</v>
      </c>
      <c r="CJ510" s="552">
        <v>658</v>
      </c>
      <c r="CK510" s="552">
        <v>487</v>
      </c>
      <c r="CL510" s="552">
        <v>470</v>
      </c>
      <c r="CM510" s="552">
        <v>490</v>
      </c>
      <c r="CN510" s="552">
        <v>437</v>
      </c>
      <c r="CO510" s="552">
        <v>368</v>
      </c>
      <c r="CP510" s="552">
        <v>310</v>
      </c>
      <c r="CQ510" s="552">
        <v>342</v>
      </c>
      <c r="CR510" s="552">
        <v>275</v>
      </c>
      <c r="CS510" s="552">
        <v>241</v>
      </c>
      <c r="CT510" s="552">
        <v>224</v>
      </c>
      <c r="CU510" s="552">
        <v>217</v>
      </c>
      <c r="CV510" s="552">
        <v>168</v>
      </c>
      <c r="CW510" s="552">
        <v>170</v>
      </c>
      <c r="CX510" s="552">
        <v>145</v>
      </c>
      <c r="CY510" s="552">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c r="A511" s="31" t="s">
        <v>215</v>
      </c>
      <c r="B511" s="1" t="s">
        <v>677</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552">
        <v>636</v>
      </c>
      <c r="N511" s="552">
        <v>642</v>
      </c>
      <c r="O511" s="552">
        <v>647</v>
      </c>
      <c r="P511" s="552">
        <v>707</v>
      </c>
      <c r="Q511" s="552">
        <v>762</v>
      </c>
      <c r="R511" s="552">
        <v>761</v>
      </c>
      <c r="S511" s="552">
        <v>825</v>
      </c>
      <c r="T511" s="552">
        <v>811</v>
      </c>
      <c r="U511" s="552">
        <v>818</v>
      </c>
      <c r="V511" s="552">
        <v>783</v>
      </c>
      <c r="W511" s="552">
        <v>915</v>
      </c>
      <c r="X511" s="552">
        <v>922</v>
      </c>
      <c r="Y511" s="552">
        <v>869</v>
      </c>
      <c r="Z511" s="552">
        <v>864</v>
      </c>
      <c r="AA511" s="552">
        <v>873</v>
      </c>
      <c r="AB511" s="552">
        <v>854</v>
      </c>
      <c r="AC511" s="552">
        <v>858</v>
      </c>
      <c r="AD511" s="552">
        <v>823</v>
      </c>
      <c r="AE511" s="552">
        <v>958</v>
      </c>
      <c r="AF511" s="552">
        <v>1502</v>
      </c>
      <c r="AG511" s="552">
        <v>878</v>
      </c>
      <c r="AH511" s="552">
        <v>667</v>
      </c>
      <c r="AI511" s="552">
        <v>607</v>
      </c>
      <c r="AJ511" s="552">
        <v>701</v>
      </c>
      <c r="AK511" s="552">
        <v>688</v>
      </c>
      <c r="AL511" s="552">
        <v>776</v>
      </c>
      <c r="AM511" s="552">
        <v>789</v>
      </c>
      <c r="AN511" s="552">
        <v>806</v>
      </c>
      <c r="AO511" s="552">
        <v>797</v>
      </c>
      <c r="AP511" s="552">
        <v>829</v>
      </c>
      <c r="AQ511" s="552">
        <v>904</v>
      </c>
      <c r="AR511" s="552">
        <v>851</v>
      </c>
      <c r="AS511" s="552">
        <v>855</v>
      </c>
      <c r="AT511" s="552">
        <v>855</v>
      </c>
      <c r="AU511" s="552">
        <v>825</v>
      </c>
      <c r="AV511" s="552">
        <v>845</v>
      </c>
      <c r="AW511" s="552">
        <v>903</v>
      </c>
      <c r="AX511" s="552">
        <v>859</v>
      </c>
      <c r="AY511" s="552">
        <v>868</v>
      </c>
      <c r="AZ511" s="552">
        <v>830</v>
      </c>
      <c r="BA511" s="552">
        <v>830</v>
      </c>
      <c r="BB511" s="552">
        <v>850</v>
      </c>
      <c r="BC511" s="552">
        <v>826</v>
      </c>
      <c r="BD511" s="552">
        <v>853</v>
      </c>
      <c r="BE511" s="552">
        <v>809</v>
      </c>
      <c r="BF511" s="552">
        <v>756</v>
      </c>
      <c r="BG511" s="552">
        <v>746</v>
      </c>
      <c r="BH511" s="552">
        <v>825</v>
      </c>
      <c r="BI511" s="552">
        <v>777</v>
      </c>
      <c r="BJ511" s="552">
        <v>849</v>
      </c>
      <c r="BK511" s="552">
        <v>862</v>
      </c>
      <c r="BL511" s="552">
        <v>954</v>
      </c>
      <c r="BM511" s="552">
        <v>904</v>
      </c>
      <c r="BN511" s="552">
        <v>948</v>
      </c>
      <c r="BO511" s="552">
        <v>1003</v>
      </c>
      <c r="BP511" s="552">
        <v>945</v>
      </c>
      <c r="BQ511" s="552">
        <v>984</v>
      </c>
      <c r="BR511" s="552">
        <v>991</v>
      </c>
      <c r="BS511" s="552">
        <v>1043</v>
      </c>
      <c r="BT511" s="552">
        <v>992</v>
      </c>
      <c r="BU511" s="552">
        <v>975</v>
      </c>
      <c r="BV511" s="552">
        <v>943</v>
      </c>
      <c r="BW511" s="552">
        <v>960</v>
      </c>
      <c r="BX511" s="552">
        <v>888</v>
      </c>
      <c r="BY511" s="552">
        <v>1006</v>
      </c>
      <c r="BZ511" s="552">
        <v>870</v>
      </c>
      <c r="CA511" s="552">
        <v>796</v>
      </c>
      <c r="CB511" s="552">
        <v>802</v>
      </c>
      <c r="CC511" s="552">
        <v>793</v>
      </c>
      <c r="CD511" s="552">
        <v>815</v>
      </c>
      <c r="CE511" s="552">
        <v>772</v>
      </c>
      <c r="CF511" s="552">
        <v>725</v>
      </c>
      <c r="CG511" s="552">
        <v>778</v>
      </c>
      <c r="CH511" s="552">
        <v>746</v>
      </c>
      <c r="CI511" s="552">
        <v>847</v>
      </c>
      <c r="CJ511" s="552">
        <v>799</v>
      </c>
      <c r="CK511" s="552">
        <v>579</v>
      </c>
      <c r="CL511" s="552">
        <v>577</v>
      </c>
      <c r="CM511" s="552">
        <v>556</v>
      </c>
      <c r="CN511" s="552">
        <v>505</v>
      </c>
      <c r="CO511" s="552">
        <v>452</v>
      </c>
      <c r="CP511" s="552">
        <v>360</v>
      </c>
      <c r="CQ511" s="552">
        <v>384</v>
      </c>
      <c r="CR511" s="552">
        <v>318</v>
      </c>
      <c r="CS511" s="552">
        <v>294</v>
      </c>
      <c r="CT511" s="552">
        <v>260</v>
      </c>
      <c r="CU511" s="552">
        <v>226</v>
      </c>
      <c r="CV511" s="552">
        <v>183</v>
      </c>
      <c r="CW511" s="552">
        <v>177</v>
      </c>
      <c r="CX511" s="552">
        <v>127</v>
      </c>
      <c r="CY511" s="552">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c r="A512" s="31" t="s">
        <v>215</v>
      </c>
      <c r="B512" s="1" t="s">
        <v>678</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552">
        <v>1002</v>
      </c>
      <c r="N512" s="552">
        <v>958</v>
      </c>
      <c r="O512" s="552">
        <v>993</v>
      </c>
      <c r="P512" s="552">
        <v>1033</v>
      </c>
      <c r="Q512" s="552">
        <v>1002</v>
      </c>
      <c r="R512" s="552">
        <v>1014</v>
      </c>
      <c r="S512" s="552">
        <v>1196</v>
      </c>
      <c r="T512" s="552">
        <v>1083</v>
      </c>
      <c r="U512" s="552">
        <v>1043</v>
      </c>
      <c r="V512" s="552">
        <v>1089</v>
      </c>
      <c r="W512" s="552">
        <v>1039</v>
      </c>
      <c r="X512" s="552">
        <v>1059</v>
      </c>
      <c r="Y512" s="552">
        <v>1048</v>
      </c>
      <c r="Z512" s="552">
        <v>1123</v>
      </c>
      <c r="AA512" s="552">
        <v>1128</v>
      </c>
      <c r="AB512" s="552">
        <v>945</v>
      </c>
      <c r="AC512" s="552">
        <v>940</v>
      </c>
      <c r="AD512" s="552">
        <v>952</v>
      </c>
      <c r="AE512" s="552">
        <v>969</v>
      </c>
      <c r="AF512" s="552">
        <v>782</v>
      </c>
      <c r="AG512" s="552">
        <v>699</v>
      </c>
      <c r="AH512" s="552">
        <v>774</v>
      </c>
      <c r="AI512" s="552">
        <v>881</v>
      </c>
      <c r="AJ512" s="552">
        <v>985</v>
      </c>
      <c r="AK512" s="552">
        <v>959</v>
      </c>
      <c r="AL512" s="552">
        <v>1027</v>
      </c>
      <c r="AM512" s="552">
        <v>1005</v>
      </c>
      <c r="AN512" s="552">
        <v>1020</v>
      </c>
      <c r="AO512" s="552">
        <v>1076</v>
      </c>
      <c r="AP512" s="552">
        <v>1245</v>
      </c>
      <c r="AQ512" s="552">
        <v>1220</v>
      </c>
      <c r="AR512" s="552">
        <v>1265</v>
      </c>
      <c r="AS512" s="552">
        <v>1169</v>
      </c>
      <c r="AT512" s="552">
        <v>1279</v>
      </c>
      <c r="AU512" s="552">
        <v>1332</v>
      </c>
      <c r="AV512" s="552">
        <v>1215</v>
      </c>
      <c r="AW512" s="552">
        <v>1185</v>
      </c>
      <c r="AX512" s="552">
        <v>1259</v>
      </c>
      <c r="AY512" s="552">
        <v>1143</v>
      </c>
      <c r="AZ512" s="552">
        <v>1017</v>
      </c>
      <c r="BA512" s="552">
        <v>1038</v>
      </c>
      <c r="BB512" s="552">
        <v>1044</v>
      </c>
      <c r="BC512" s="552">
        <v>1120</v>
      </c>
      <c r="BD512" s="552">
        <v>1055</v>
      </c>
      <c r="BE512" s="552">
        <v>942</v>
      </c>
      <c r="BF512" s="552">
        <v>907</v>
      </c>
      <c r="BG512" s="552">
        <v>917</v>
      </c>
      <c r="BH512" s="552">
        <v>953</v>
      </c>
      <c r="BI512" s="552">
        <v>944</v>
      </c>
      <c r="BJ512" s="552">
        <v>996</v>
      </c>
      <c r="BK512" s="552">
        <v>980</v>
      </c>
      <c r="BL512" s="552">
        <v>1095</v>
      </c>
      <c r="BM512" s="552">
        <v>1067</v>
      </c>
      <c r="BN512" s="552">
        <v>1100</v>
      </c>
      <c r="BO512" s="552">
        <v>948</v>
      </c>
      <c r="BP512" s="552">
        <v>1070</v>
      </c>
      <c r="BQ512" s="552">
        <v>1067</v>
      </c>
      <c r="BR512" s="552">
        <v>1053</v>
      </c>
      <c r="BS512" s="552">
        <v>1041</v>
      </c>
      <c r="BT512" s="552">
        <v>1021</v>
      </c>
      <c r="BU512" s="552">
        <v>935</v>
      </c>
      <c r="BV512" s="552">
        <v>982</v>
      </c>
      <c r="BW512" s="552">
        <v>893</v>
      </c>
      <c r="BX512" s="552">
        <v>964</v>
      </c>
      <c r="BY512" s="552">
        <v>829</v>
      </c>
      <c r="BZ512" s="552">
        <v>800</v>
      </c>
      <c r="CA512" s="552">
        <v>680</v>
      </c>
      <c r="CB512" s="552">
        <v>675</v>
      </c>
      <c r="CC512" s="552">
        <v>724</v>
      </c>
      <c r="CD512" s="552">
        <v>751</v>
      </c>
      <c r="CE512" s="552">
        <v>678</v>
      </c>
      <c r="CF512" s="552">
        <v>607</v>
      </c>
      <c r="CG512" s="552">
        <v>654</v>
      </c>
      <c r="CH512" s="552">
        <v>620</v>
      </c>
      <c r="CI512" s="552">
        <v>701</v>
      </c>
      <c r="CJ512" s="552">
        <v>753</v>
      </c>
      <c r="CK512" s="552">
        <v>517</v>
      </c>
      <c r="CL512" s="552">
        <v>519</v>
      </c>
      <c r="CM512" s="552">
        <v>492</v>
      </c>
      <c r="CN512" s="552">
        <v>470</v>
      </c>
      <c r="CO512" s="552">
        <v>374</v>
      </c>
      <c r="CP512" s="552">
        <v>319</v>
      </c>
      <c r="CQ512" s="552">
        <v>324</v>
      </c>
      <c r="CR512" s="552">
        <v>314</v>
      </c>
      <c r="CS512" s="552">
        <v>256</v>
      </c>
      <c r="CT512" s="552">
        <v>240</v>
      </c>
      <c r="CU512" s="552">
        <v>230</v>
      </c>
      <c r="CV512" s="552">
        <v>172</v>
      </c>
      <c r="CW512" s="552">
        <v>142</v>
      </c>
      <c r="CX512" s="552">
        <v>117</v>
      </c>
      <c r="CY512" s="552">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c r="A513" s="31" t="s">
        <v>215</v>
      </c>
      <c r="B513" s="1" t="s">
        <v>679</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552">
        <v>547</v>
      </c>
      <c r="N513" s="552">
        <v>541</v>
      </c>
      <c r="O513" s="552">
        <v>560</v>
      </c>
      <c r="P513" s="552">
        <v>587</v>
      </c>
      <c r="Q513" s="552">
        <v>646</v>
      </c>
      <c r="R513" s="552">
        <v>630</v>
      </c>
      <c r="S513" s="552">
        <v>657</v>
      </c>
      <c r="T513" s="552">
        <v>695</v>
      </c>
      <c r="U513" s="552">
        <v>700</v>
      </c>
      <c r="V513" s="552">
        <v>693</v>
      </c>
      <c r="W513" s="552">
        <v>704</v>
      </c>
      <c r="X513" s="552">
        <v>745</v>
      </c>
      <c r="Y513" s="552">
        <v>723</v>
      </c>
      <c r="Z513" s="552">
        <v>691</v>
      </c>
      <c r="AA513" s="552">
        <v>785</v>
      </c>
      <c r="AB513" s="552">
        <v>690</v>
      </c>
      <c r="AC513" s="552">
        <v>779</v>
      </c>
      <c r="AD513" s="552">
        <v>726</v>
      </c>
      <c r="AE513" s="552">
        <v>659</v>
      </c>
      <c r="AF513" s="552">
        <v>545</v>
      </c>
      <c r="AG513" s="552">
        <v>505</v>
      </c>
      <c r="AH513" s="552">
        <v>573</v>
      </c>
      <c r="AI513" s="552">
        <v>608</v>
      </c>
      <c r="AJ513" s="552">
        <v>603</v>
      </c>
      <c r="AK513" s="552">
        <v>650</v>
      </c>
      <c r="AL513" s="552">
        <v>681</v>
      </c>
      <c r="AM513" s="552">
        <v>604</v>
      </c>
      <c r="AN513" s="552">
        <v>539</v>
      </c>
      <c r="AO513" s="552">
        <v>615</v>
      </c>
      <c r="AP513" s="552">
        <v>649</v>
      </c>
      <c r="AQ513" s="552">
        <v>715</v>
      </c>
      <c r="AR513" s="552">
        <v>687</v>
      </c>
      <c r="AS513" s="552">
        <v>631</v>
      </c>
      <c r="AT513" s="552">
        <v>601</v>
      </c>
      <c r="AU513" s="552">
        <v>686</v>
      </c>
      <c r="AV513" s="552">
        <v>659</v>
      </c>
      <c r="AW513" s="552">
        <v>623</v>
      </c>
      <c r="AX513" s="552">
        <v>623</v>
      </c>
      <c r="AY513" s="552">
        <v>614</v>
      </c>
      <c r="AZ513" s="552">
        <v>608</v>
      </c>
      <c r="BA513" s="552">
        <v>609</v>
      </c>
      <c r="BB513" s="552">
        <v>629</v>
      </c>
      <c r="BC513" s="552">
        <v>647</v>
      </c>
      <c r="BD513" s="552">
        <v>626</v>
      </c>
      <c r="BE513" s="552">
        <v>583</v>
      </c>
      <c r="BF513" s="552">
        <v>542</v>
      </c>
      <c r="BG513" s="552">
        <v>580</v>
      </c>
      <c r="BH513" s="552">
        <v>603</v>
      </c>
      <c r="BI513" s="552">
        <v>639</v>
      </c>
      <c r="BJ513" s="552">
        <v>703</v>
      </c>
      <c r="BK513" s="552">
        <v>754</v>
      </c>
      <c r="BL513" s="552">
        <v>757</v>
      </c>
      <c r="BM513" s="552">
        <v>818</v>
      </c>
      <c r="BN513" s="552">
        <v>808</v>
      </c>
      <c r="BO513" s="552">
        <v>855</v>
      </c>
      <c r="BP513" s="552">
        <v>905</v>
      </c>
      <c r="BQ513" s="552">
        <v>926</v>
      </c>
      <c r="BR513" s="552">
        <v>915</v>
      </c>
      <c r="BS513" s="552">
        <v>887</v>
      </c>
      <c r="BT513" s="552">
        <v>1009</v>
      </c>
      <c r="BU513" s="552">
        <v>967</v>
      </c>
      <c r="BV513" s="552">
        <v>914</v>
      </c>
      <c r="BW513" s="552">
        <v>904</v>
      </c>
      <c r="BX513" s="552">
        <v>952</v>
      </c>
      <c r="BY513" s="552">
        <v>893</v>
      </c>
      <c r="BZ513" s="552">
        <v>866</v>
      </c>
      <c r="CA513" s="552">
        <v>855</v>
      </c>
      <c r="CB513" s="552">
        <v>857</v>
      </c>
      <c r="CC513" s="552">
        <v>882</v>
      </c>
      <c r="CD513" s="552">
        <v>875</v>
      </c>
      <c r="CE513" s="552">
        <v>807</v>
      </c>
      <c r="CF513" s="552">
        <v>838</v>
      </c>
      <c r="CG513" s="552">
        <v>832</v>
      </c>
      <c r="CH513" s="552">
        <v>800</v>
      </c>
      <c r="CI513" s="552">
        <v>838</v>
      </c>
      <c r="CJ513" s="552">
        <v>882</v>
      </c>
      <c r="CK513" s="552">
        <v>614</v>
      </c>
      <c r="CL513" s="552">
        <v>659</v>
      </c>
      <c r="CM513" s="552">
        <v>627</v>
      </c>
      <c r="CN513" s="552">
        <v>545</v>
      </c>
      <c r="CO513" s="552">
        <v>490</v>
      </c>
      <c r="CP513" s="552">
        <v>469</v>
      </c>
      <c r="CQ513" s="552">
        <v>418</v>
      </c>
      <c r="CR513" s="552">
        <v>376</v>
      </c>
      <c r="CS513" s="552">
        <v>328</v>
      </c>
      <c r="CT513" s="552">
        <v>268</v>
      </c>
      <c r="CU513" s="552">
        <v>254</v>
      </c>
      <c r="CV513" s="552">
        <v>224</v>
      </c>
      <c r="CW513" s="552">
        <v>142</v>
      </c>
      <c r="CX513" s="552">
        <v>181</v>
      </c>
      <c r="CY513" s="552">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c r="A514" s="31" t="s">
        <v>215</v>
      </c>
      <c r="B514" s="1" t="s">
        <v>680</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552">
        <v>542</v>
      </c>
      <c r="N514" s="552">
        <v>558</v>
      </c>
      <c r="O514" s="552">
        <v>557</v>
      </c>
      <c r="P514" s="552">
        <v>623</v>
      </c>
      <c r="Q514" s="552">
        <v>680</v>
      </c>
      <c r="R514" s="552">
        <v>640</v>
      </c>
      <c r="S514" s="552">
        <v>636</v>
      </c>
      <c r="T514" s="552">
        <v>702</v>
      </c>
      <c r="U514" s="552">
        <v>710</v>
      </c>
      <c r="V514" s="552">
        <v>708</v>
      </c>
      <c r="W514" s="552">
        <v>684</v>
      </c>
      <c r="X514" s="552">
        <v>699</v>
      </c>
      <c r="Y514" s="552">
        <v>687</v>
      </c>
      <c r="Z514" s="552">
        <v>724</v>
      </c>
      <c r="AA514" s="552">
        <v>813</v>
      </c>
      <c r="AB514" s="552">
        <v>726</v>
      </c>
      <c r="AC514" s="552">
        <v>720</v>
      </c>
      <c r="AD514" s="552">
        <v>759</v>
      </c>
      <c r="AE514" s="552">
        <v>677</v>
      </c>
      <c r="AF514" s="552">
        <v>546</v>
      </c>
      <c r="AG514" s="552">
        <v>497</v>
      </c>
      <c r="AH514" s="552">
        <v>540</v>
      </c>
      <c r="AI514" s="552">
        <v>576</v>
      </c>
      <c r="AJ514" s="552">
        <v>708</v>
      </c>
      <c r="AK514" s="552">
        <v>659</v>
      </c>
      <c r="AL514" s="552">
        <v>640</v>
      </c>
      <c r="AM514" s="552">
        <v>700</v>
      </c>
      <c r="AN514" s="552">
        <v>643</v>
      </c>
      <c r="AO514" s="552">
        <v>676</v>
      </c>
      <c r="AP514" s="552">
        <v>655</v>
      </c>
      <c r="AQ514" s="552">
        <v>689</v>
      </c>
      <c r="AR514" s="552">
        <v>681</v>
      </c>
      <c r="AS514" s="552">
        <v>678</v>
      </c>
      <c r="AT514" s="552">
        <v>691</v>
      </c>
      <c r="AU514" s="552">
        <v>706</v>
      </c>
      <c r="AV514" s="552">
        <v>621</v>
      </c>
      <c r="AW514" s="552">
        <v>641</v>
      </c>
      <c r="AX514" s="552">
        <v>683</v>
      </c>
      <c r="AY514" s="552">
        <v>629</v>
      </c>
      <c r="AZ514" s="552">
        <v>628</v>
      </c>
      <c r="BA514" s="552">
        <v>668</v>
      </c>
      <c r="BB514" s="552">
        <v>643</v>
      </c>
      <c r="BC514" s="552">
        <v>674</v>
      </c>
      <c r="BD514" s="552">
        <v>652</v>
      </c>
      <c r="BE514" s="552">
        <v>622</v>
      </c>
      <c r="BF514" s="552">
        <v>638</v>
      </c>
      <c r="BG514" s="552">
        <v>646</v>
      </c>
      <c r="BH514" s="552">
        <v>721</v>
      </c>
      <c r="BI514" s="552">
        <v>733</v>
      </c>
      <c r="BJ514" s="552">
        <v>732</v>
      </c>
      <c r="BK514" s="552">
        <v>904</v>
      </c>
      <c r="BL514" s="552">
        <v>916</v>
      </c>
      <c r="BM514" s="552">
        <v>874</v>
      </c>
      <c r="BN514" s="552">
        <v>967</v>
      </c>
      <c r="BO514" s="552">
        <v>918</v>
      </c>
      <c r="BP514" s="552">
        <v>1049</v>
      </c>
      <c r="BQ514" s="552">
        <v>1027</v>
      </c>
      <c r="BR514" s="552">
        <v>1085</v>
      </c>
      <c r="BS514" s="552">
        <v>1055</v>
      </c>
      <c r="BT514" s="552">
        <v>1079</v>
      </c>
      <c r="BU514" s="552">
        <v>1083</v>
      </c>
      <c r="BV514" s="552">
        <v>1072</v>
      </c>
      <c r="BW514" s="552">
        <v>1062</v>
      </c>
      <c r="BX514" s="552">
        <v>1068</v>
      </c>
      <c r="BY514" s="552">
        <v>970</v>
      </c>
      <c r="BZ514" s="552">
        <v>1004</v>
      </c>
      <c r="CA514" s="552">
        <v>1048</v>
      </c>
      <c r="CB514" s="552">
        <v>920</v>
      </c>
      <c r="CC514" s="552">
        <v>981</v>
      </c>
      <c r="CD514" s="552">
        <v>986</v>
      </c>
      <c r="CE514" s="552">
        <v>946</v>
      </c>
      <c r="CF514" s="552">
        <v>909</v>
      </c>
      <c r="CG514" s="552">
        <v>957</v>
      </c>
      <c r="CH514" s="552">
        <v>966</v>
      </c>
      <c r="CI514" s="552">
        <v>1053</v>
      </c>
      <c r="CJ514" s="552">
        <v>1016</v>
      </c>
      <c r="CK514" s="552">
        <v>762</v>
      </c>
      <c r="CL514" s="552">
        <v>697</v>
      </c>
      <c r="CM514" s="552">
        <v>815</v>
      </c>
      <c r="CN514" s="552">
        <v>676</v>
      </c>
      <c r="CO514" s="552">
        <v>565</v>
      </c>
      <c r="CP514" s="552">
        <v>480</v>
      </c>
      <c r="CQ514" s="552">
        <v>484</v>
      </c>
      <c r="CR514" s="552">
        <v>421</v>
      </c>
      <c r="CS514" s="552">
        <v>402</v>
      </c>
      <c r="CT514" s="552">
        <v>348</v>
      </c>
      <c r="CU514" s="552">
        <v>295</v>
      </c>
      <c r="CV514" s="552">
        <v>283</v>
      </c>
      <c r="CW514" s="552">
        <v>234</v>
      </c>
      <c r="CX514" s="552">
        <v>151</v>
      </c>
      <c r="CY514" s="552">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c r="A515" s="31" t="s">
        <v>215</v>
      </c>
      <c r="B515" s="1" t="s">
        <v>681</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552">
        <v>1182</v>
      </c>
      <c r="N515" s="552">
        <v>1192</v>
      </c>
      <c r="O515" s="552">
        <v>1246</v>
      </c>
      <c r="P515" s="552">
        <v>1330</v>
      </c>
      <c r="Q515" s="552">
        <v>1390</v>
      </c>
      <c r="R515" s="552">
        <v>1335</v>
      </c>
      <c r="S515" s="552">
        <v>1349</v>
      </c>
      <c r="T515" s="552">
        <v>1424</v>
      </c>
      <c r="U515" s="552">
        <v>1454</v>
      </c>
      <c r="V515" s="552">
        <v>1448</v>
      </c>
      <c r="W515" s="552">
        <v>1470</v>
      </c>
      <c r="X515" s="552">
        <v>1500</v>
      </c>
      <c r="Y515" s="552">
        <v>1414</v>
      </c>
      <c r="Z515" s="552">
        <v>1599</v>
      </c>
      <c r="AA515" s="552">
        <v>1471</v>
      </c>
      <c r="AB515" s="552">
        <v>1487</v>
      </c>
      <c r="AC515" s="552">
        <v>1400</v>
      </c>
      <c r="AD515" s="552">
        <v>1425</v>
      </c>
      <c r="AE515" s="552">
        <v>1383</v>
      </c>
      <c r="AF515" s="552">
        <v>1430</v>
      </c>
      <c r="AG515" s="552">
        <v>1361</v>
      </c>
      <c r="AH515" s="552">
        <v>1470</v>
      </c>
      <c r="AI515" s="552">
        <v>1333</v>
      </c>
      <c r="AJ515" s="552">
        <v>1508</v>
      </c>
      <c r="AK515" s="552">
        <v>1349</v>
      </c>
      <c r="AL515" s="552">
        <v>1510</v>
      </c>
      <c r="AM515" s="552">
        <v>1397</v>
      </c>
      <c r="AN515" s="552">
        <v>1501</v>
      </c>
      <c r="AO515" s="552">
        <v>1440</v>
      </c>
      <c r="AP515" s="552">
        <v>1561</v>
      </c>
      <c r="AQ515" s="552">
        <v>1531</v>
      </c>
      <c r="AR515" s="552">
        <v>1507</v>
      </c>
      <c r="AS515" s="552">
        <v>1666</v>
      </c>
      <c r="AT515" s="552">
        <v>1646</v>
      </c>
      <c r="AU515" s="552">
        <v>1508</v>
      </c>
      <c r="AV515" s="552">
        <v>1576</v>
      </c>
      <c r="AW515" s="552">
        <v>1511</v>
      </c>
      <c r="AX515" s="552">
        <v>1573</v>
      </c>
      <c r="AY515" s="552">
        <v>1526</v>
      </c>
      <c r="AZ515" s="552">
        <v>1487</v>
      </c>
      <c r="BA515" s="552">
        <v>1448</v>
      </c>
      <c r="BB515" s="552">
        <v>1387</v>
      </c>
      <c r="BC515" s="552">
        <v>1473</v>
      </c>
      <c r="BD515" s="552">
        <v>1436</v>
      </c>
      <c r="BE515" s="552">
        <v>1292</v>
      </c>
      <c r="BF515" s="552">
        <v>1234</v>
      </c>
      <c r="BG515" s="552">
        <v>1228</v>
      </c>
      <c r="BH515" s="552">
        <v>1344</v>
      </c>
      <c r="BI515" s="552">
        <v>1265</v>
      </c>
      <c r="BJ515" s="552">
        <v>1525</v>
      </c>
      <c r="BK515" s="552">
        <v>1616</v>
      </c>
      <c r="BL515" s="552">
        <v>1695</v>
      </c>
      <c r="BM515" s="552">
        <v>1558</v>
      </c>
      <c r="BN515" s="552">
        <v>1611</v>
      </c>
      <c r="BO515" s="552">
        <v>1667</v>
      </c>
      <c r="BP515" s="552">
        <v>1659</v>
      </c>
      <c r="BQ515" s="552">
        <v>1692</v>
      </c>
      <c r="BR515" s="552">
        <v>1734</v>
      </c>
      <c r="BS515" s="552">
        <v>1649</v>
      </c>
      <c r="BT515" s="552">
        <v>1594</v>
      </c>
      <c r="BU515" s="552">
        <v>1607</v>
      </c>
      <c r="BV515" s="552">
        <v>1496</v>
      </c>
      <c r="BW515" s="552">
        <v>1364</v>
      </c>
      <c r="BX515" s="552">
        <v>1434</v>
      </c>
      <c r="BY515" s="552">
        <v>1372</v>
      </c>
      <c r="BZ515" s="552">
        <v>1354</v>
      </c>
      <c r="CA515" s="552">
        <v>1261</v>
      </c>
      <c r="CB515" s="552">
        <v>1184</v>
      </c>
      <c r="CC515" s="552">
        <v>1223</v>
      </c>
      <c r="CD515" s="552">
        <v>1163</v>
      </c>
      <c r="CE515" s="552">
        <v>1238</v>
      </c>
      <c r="CF515" s="552">
        <v>1171</v>
      </c>
      <c r="CG515" s="552">
        <v>1232</v>
      </c>
      <c r="CH515" s="552">
        <v>1244</v>
      </c>
      <c r="CI515" s="552">
        <v>1280</v>
      </c>
      <c r="CJ515" s="552">
        <v>1272</v>
      </c>
      <c r="CK515" s="552">
        <v>1071</v>
      </c>
      <c r="CL515" s="552">
        <v>988</v>
      </c>
      <c r="CM515" s="552">
        <v>843</v>
      </c>
      <c r="CN515" s="552">
        <v>708</v>
      </c>
      <c r="CO515" s="552">
        <v>680</v>
      </c>
      <c r="CP515" s="552">
        <v>591</v>
      </c>
      <c r="CQ515" s="552">
        <v>536</v>
      </c>
      <c r="CR515" s="552">
        <v>480</v>
      </c>
      <c r="CS515" s="552">
        <v>454</v>
      </c>
      <c r="CT515" s="552">
        <v>366</v>
      </c>
      <c r="CU515" s="552">
        <v>342</v>
      </c>
      <c r="CV515" s="552">
        <v>288</v>
      </c>
      <c r="CW515" s="552">
        <v>231</v>
      </c>
      <c r="CX515" s="552">
        <v>183</v>
      </c>
      <c r="CY515" s="552">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c r="A516" s="31" t="s">
        <v>215</v>
      </c>
      <c r="B516" s="1" t="s">
        <v>682</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552">
        <v>1134</v>
      </c>
      <c r="N516" s="552">
        <v>1063</v>
      </c>
      <c r="O516" s="552">
        <v>1133</v>
      </c>
      <c r="P516" s="552">
        <v>1224</v>
      </c>
      <c r="Q516" s="552">
        <v>1266</v>
      </c>
      <c r="R516" s="552">
        <v>1252</v>
      </c>
      <c r="S516" s="552">
        <v>1374</v>
      </c>
      <c r="T516" s="552">
        <v>1363</v>
      </c>
      <c r="U516" s="552">
        <v>1342</v>
      </c>
      <c r="V516" s="552">
        <v>1419</v>
      </c>
      <c r="W516" s="552">
        <v>1459</v>
      </c>
      <c r="X516" s="552">
        <v>1510</v>
      </c>
      <c r="Y516" s="552">
        <v>1407</v>
      </c>
      <c r="Z516" s="552">
        <v>1464</v>
      </c>
      <c r="AA516" s="552">
        <v>1527</v>
      </c>
      <c r="AB516" s="552">
        <v>1392</v>
      </c>
      <c r="AC516" s="552">
        <v>1385</v>
      </c>
      <c r="AD516" s="552">
        <v>1426</v>
      </c>
      <c r="AE516" s="552">
        <v>1459</v>
      </c>
      <c r="AF516" s="552">
        <v>1896</v>
      </c>
      <c r="AG516" s="552">
        <v>2522</v>
      </c>
      <c r="AH516" s="552">
        <v>2615</v>
      </c>
      <c r="AI516" s="552">
        <v>2280</v>
      </c>
      <c r="AJ516" s="552">
        <v>1910</v>
      </c>
      <c r="AK516" s="552">
        <v>1501</v>
      </c>
      <c r="AL516" s="552">
        <v>1507</v>
      </c>
      <c r="AM516" s="552">
        <v>1486</v>
      </c>
      <c r="AN516" s="552">
        <v>1351</v>
      </c>
      <c r="AO516" s="552">
        <v>1422</v>
      </c>
      <c r="AP516" s="552">
        <v>1448</v>
      </c>
      <c r="AQ516" s="552">
        <v>1520</v>
      </c>
      <c r="AR516" s="552">
        <v>1551</v>
      </c>
      <c r="AS516" s="552">
        <v>1644</v>
      </c>
      <c r="AT516" s="552">
        <v>1442</v>
      </c>
      <c r="AU516" s="552">
        <v>1501</v>
      </c>
      <c r="AV516" s="552">
        <v>1514</v>
      </c>
      <c r="AW516" s="552">
        <v>1498</v>
      </c>
      <c r="AX516" s="552">
        <v>1597</v>
      </c>
      <c r="AY516" s="552">
        <v>1396</v>
      </c>
      <c r="AZ516" s="552">
        <v>1455</v>
      </c>
      <c r="BA516" s="552">
        <v>1397</v>
      </c>
      <c r="BB516" s="552">
        <v>1417</v>
      </c>
      <c r="BC516" s="552">
        <v>1584</v>
      </c>
      <c r="BD516" s="552">
        <v>1343</v>
      </c>
      <c r="BE516" s="552">
        <v>1273</v>
      </c>
      <c r="BF516" s="552">
        <v>1289</v>
      </c>
      <c r="BG516" s="552">
        <v>1339</v>
      </c>
      <c r="BH516" s="552">
        <v>1379</v>
      </c>
      <c r="BI516" s="552">
        <v>1335</v>
      </c>
      <c r="BJ516" s="552">
        <v>1336</v>
      </c>
      <c r="BK516" s="552">
        <v>1462</v>
      </c>
      <c r="BL516" s="552">
        <v>1510</v>
      </c>
      <c r="BM516" s="552">
        <v>1509</v>
      </c>
      <c r="BN516" s="552">
        <v>1691</v>
      </c>
      <c r="BO516" s="552">
        <v>1552</v>
      </c>
      <c r="BP516" s="552">
        <v>1528</v>
      </c>
      <c r="BQ516" s="552">
        <v>1522</v>
      </c>
      <c r="BR516" s="552">
        <v>1665</v>
      </c>
      <c r="BS516" s="552">
        <v>1640</v>
      </c>
      <c r="BT516" s="552">
        <v>1484</v>
      </c>
      <c r="BU516" s="552">
        <v>1519</v>
      </c>
      <c r="BV516" s="552">
        <v>1456</v>
      </c>
      <c r="BW516" s="552">
        <v>1447</v>
      </c>
      <c r="BX516" s="552">
        <v>1394</v>
      </c>
      <c r="BY516" s="552">
        <v>1349</v>
      </c>
      <c r="BZ516" s="552">
        <v>1273</v>
      </c>
      <c r="CA516" s="552">
        <v>1240</v>
      </c>
      <c r="CB516" s="552">
        <v>1189</v>
      </c>
      <c r="CC516" s="552">
        <v>1181</v>
      </c>
      <c r="CD516" s="552">
        <v>1218</v>
      </c>
      <c r="CE516" s="552">
        <v>1171</v>
      </c>
      <c r="CF516" s="552">
        <v>1093</v>
      </c>
      <c r="CG516" s="552">
        <v>1212</v>
      </c>
      <c r="CH516" s="552">
        <v>1187</v>
      </c>
      <c r="CI516" s="552">
        <v>1233</v>
      </c>
      <c r="CJ516" s="552">
        <v>1340</v>
      </c>
      <c r="CK516" s="552">
        <v>889</v>
      </c>
      <c r="CL516" s="552">
        <v>905</v>
      </c>
      <c r="CM516" s="552">
        <v>899</v>
      </c>
      <c r="CN516" s="552">
        <v>852</v>
      </c>
      <c r="CO516" s="552">
        <v>748</v>
      </c>
      <c r="CP516" s="552">
        <v>612</v>
      </c>
      <c r="CQ516" s="552">
        <v>591</v>
      </c>
      <c r="CR516" s="552">
        <v>524</v>
      </c>
      <c r="CS516" s="552">
        <v>525</v>
      </c>
      <c r="CT516" s="552">
        <v>455</v>
      </c>
      <c r="CU516" s="552">
        <v>393</v>
      </c>
      <c r="CV516" s="552">
        <v>348</v>
      </c>
      <c r="CW516" s="552">
        <v>276</v>
      </c>
      <c r="CX516" s="552">
        <v>244</v>
      </c>
      <c r="CY516" s="552">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c r="A517" s="31" t="s">
        <v>215</v>
      </c>
      <c r="B517" s="1" t="s">
        <v>683</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552">
        <v>514</v>
      </c>
      <c r="N517" s="552">
        <v>466</v>
      </c>
      <c r="O517" s="552">
        <v>537</v>
      </c>
      <c r="P517" s="552">
        <v>540</v>
      </c>
      <c r="Q517" s="552">
        <v>516</v>
      </c>
      <c r="R517" s="552">
        <v>556</v>
      </c>
      <c r="S517" s="552">
        <v>581</v>
      </c>
      <c r="T517" s="552">
        <v>514</v>
      </c>
      <c r="U517" s="552">
        <v>551</v>
      </c>
      <c r="V517" s="552">
        <v>551</v>
      </c>
      <c r="W517" s="552">
        <v>588</v>
      </c>
      <c r="X517" s="552">
        <v>600</v>
      </c>
      <c r="Y517" s="552">
        <v>586</v>
      </c>
      <c r="Z517" s="552">
        <v>625</v>
      </c>
      <c r="AA517" s="552">
        <v>581</v>
      </c>
      <c r="AB517" s="552">
        <v>557</v>
      </c>
      <c r="AC517" s="552">
        <v>592</v>
      </c>
      <c r="AD517" s="552">
        <v>585</v>
      </c>
      <c r="AE517" s="552">
        <v>488</v>
      </c>
      <c r="AF517" s="552">
        <v>425</v>
      </c>
      <c r="AG517" s="552">
        <v>404</v>
      </c>
      <c r="AH517" s="552">
        <v>418</v>
      </c>
      <c r="AI517" s="552">
        <v>438</v>
      </c>
      <c r="AJ517" s="552">
        <v>462</v>
      </c>
      <c r="AK517" s="552">
        <v>507</v>
      </c>
      <c r="AL517" s="552">
        <v>598</v>
      </c>
      <c r="AM517" s="552">
        <v>533</v>
      </c>
      <c r="AN517" s="552">
        <v>576</v>
      </c>
      <c r="AO517" s="552">
        <v>555</v>
      </c>
      <c r="AP517" s="552">
        <v>540</v>
      </c>
      <c r="AQ517" s="552">
        <v>596</v>
      </c>
      <c r="AR517" s="552">
        <v>615</v>
      </c>
      <c r="AS517" s="552">
        <v>622</v>
      </c>
      <c r="AT517" s="552">
        <v>617</v>
      </c>
      <c r="AU517" s="552">
        <v>553</v>
      </c>
      <c r="AV517" s="552">
        <v>586</v>
      </c>
      <c r="AW517" s="552">
        <v>593</v>
      </c>
      <c r="AX517" s="552">
        <v>574</v>
      </c>
      <c r="AY517" s="552">
        <v>532</v>
      </c>
      <c r="AZ517" s="552">
        <v>548</v>
      </c>
      <c r="BA517" s="552">
        <v>555</v>
      </c>
      <c r="BB517" s="552">
        <v>493</v>
      </c>
      <c r="BC517" s="552">
        <v>523</v>
      </c>
      <c r="BD517" s="552">
        <v>539</v>
      </c>
      <c r="BE517" s="552">
        <v>428</v>
      </c>
      <c r="BF517" s="552">
        <v>504</v>
      </c>
      <c r="BG517" s="552">
        <v>432</v>
      </c>
      <c r="BH517" s="552">
        <v>497</v>
      </c>
      <c r="BI517" s="552">
        <v>493</v>
      </c>
      <c r="BJ517" s="552">
        <v>561</v>
      </c>
      <c r="BK517" s="552">
        <v>569</v>
      </c>
      <c r="BL517" s="552">
        <v>636</v>
      </c>
      <c r="BM517" s="552">
        <v>634</v>
      </c>
      <c r="BN517" s="552">
        <v>601</v>
      </c>
      <c r="BO517" s="552">
        <v>597</v>
      </c>
      <c r="BP517" s="552">
        <v>623</v>
      </c>
      <c r="BQ517" s="552">
        <v>631</v>
      </c>
      <c r="BR517" s="552">
        <v>707</v>
      </c>
      <c r="BS517" s="552">
        <v>646</v>
      </c>
      <c r="BT517" s="552">
        <v>672</v>
      </c>
      <c r="BU517" s="552">
        <v>661</v>
      </c>
      <c r="BV517" s="552">
        <v>655</v>
      </c>
      <c r="BW517" s="552">
        <v>574</v>
      </c>
      <c r="BX517" s="552">
        <v>580</v>
      </c>
      <c r="BY517" s="552">
        <v>594</v>
      </c>
      <c r="BZ517" s="552">
        <v>511</v>
      </c>
      <c r="CA517" s="552">
        <v>490</v>
      </c>
      <c r="CB517" s="552">
        <v>470</v>
      </c>
      <c r="CC517" s="552">
        <v>535</v>
      </c>
      <c r="CD517" s="552">
        <v>469</v>
      </c>
      <c r="CE517" s="552">
        <v>488</v>
      </c>
      <c r="CF517" s="552">
        <v>479</v>
      </c>
      <c r="CG517" s="552">
        <v>457</v>
      </c>
      <c r="CH517" s="552">
        <v>484</v>
      </c>
      <c r="CI517" s="552">
        <v>455</v>
      </c>
      <c r="CJ517" s="552">
        <v>541</v>
      </c>
      <c r="CK517" s="552">
        <v>404</v>
      </c>
      <c r="CL517" s="552">
        <v>398</v>
      </c>
      <c r="CM517" s="552">
        <v>348</v>
      </c>
      <c r="CN517" s="552">
        <v>298</v>
      </c>
      <c r="CO517" s="552">
        <v>266</v>
      </c>
      <c r="CP517" s="552">
        <v>246</v>
      </c>
      <c r="CQ517" s="552">
        <v>224</v>
      </c>
      <c r="CR517" s="552">
        <v>223</v>
      </c>
      <c r="CS517" s="552">
        <v>187</v>
      </c>
      <c r="CT517" s="552">
        <v>157</v>
      </c>
      <c r="CU517" s="552">
        <v>143</v>
      </c>
      <c r="CV517" s="552">
        <v>129</v>
      </c>
      <c r="CW517" s="552">
        <v>118</v>
      </c>
      <c r="CX517" s="552">
        <v>110</v>
      </c>
      <c r="CY517" s="552">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c r="A518" s="31" t="s">
        <v>215</v>
      </c>
      <c r="B518" s="1" t="s">
        <v>684</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552">
        <v>642</v>
      </c>
      <c r="N518" s="552">
        <v>670</v>
      </c>
      <c r="O518" s="552">
        <v>666</v>
      </c>
      <c r="P518" s="552">
        <v>745</v>
      </c>
      <c r="Q518" s="552">
        <v>708</v>
      </c>
      <c r="R518" s="552">
        <v>814</v>
      </c>
      <c r="S518" s="552">
        <v>772</v>
      </c>
      <c r="T518" s="552">
        <v>756</v>
      </c>
      <c r="U518" s="552">
        <v>790</v>
      </c>
      <c r="V518" s="552">
        <v>869</v>
      </c>
      <c r="W518" s="552">
        <v>878</v>
      </c>
      <c r="X518" s="552">
        <v>861</v>
      </c>
      <c r="Y518" s="552">
        <v>888</v>
      </c>
      <c r="Z518" s="552">
        <v>889</v>
      </c>
      <c r="AA518" s="552">
        <v>863</v>
      </c>
      <c r="AB518" s="552">
        <v>841</v>
      </c>
      <c r="AC518" s="552">
        <v>775</v>
      </c>
      <c r="AD518" s="552">
        <v>759</v>
      </c>
      <c r="AE518" s="552">
        <v>728</v>
      </c>
      <c r="AF518" s="552">
        <v>587</v>
      </c>
      <c r="AG518" s="552">
        <v>503</v>
      </c>
      <c r="AH518" s="552">
        <v>620</v>
      </c>
      <c r="AI518" s="552">
        <v>676</v>
      </c>
      <c r="AJ518" s="552">
        <v>666</v>
      </c>
      <c r="AK518" s="552">
        <v>621</v>
      </c>
      <c r="AL518" s="552">
        <v>702</v>
      </c>
      <c r="AM518" s="552">
        <v>663</v>
      </c>
      <c r="AN518" s="552">
        <v>711</v>
      </c>
      <c r="AO518" s="552">
        <v>738</v>
      </c>
      <c r="AP518" s="552">
        <v>687</v>
      </c>
      <c r="AQ518" s="552">
        <v>701</v>
      </c>
      <c r="AR518" s="552">
        <v>728</v>
      </c>
      <c r="AS518" s="552">
        <v>706</v>
      </c>
      <c r="AT518" s="552">
        <v>774</v>
      </c>
      <c r="AU518" s="552">
        <v>806</v>
      </c>
      <c r="AV518" s="552">
        <v>800</v>
      </c>
      <c r="AW518" s="552">
        <v>846</v>
      </c>
      <c r="AX518" s="552">
        <v>741</v>
      </c>
      <c r="AY518" s="552">
        <v>762</v>
      </c>
      <c r="AZ518" s="552">
        <v>802</v>
      </c>
      <c r="BA518" s="552">
        <v>818</v>
      </c>
      <c r="BB518" s="552">
        <v>893</v>
      </c>
      <c r="BC518" s="552">
        <v>884</v>
      </c>
      <c r="BD518" s="552">
        <v>832</v>
      </c>
      <c r="BE518" s="552">
        <v>669</v>
      </c>
      <c r="BF518" s="552">
        <v>732</v>
      </c>
      <c r="BG518" s="552">
        <v>722</v>
      </c>
      <c r="BH518" s="552">
        <v>807</v>
      </c>
      <c r="BI518" s="552">
        <v>781</v>
      </c>
      <c r="BJ518" s="552">
        <v>815</v>
      </c>
      <c r="BK518" s="552">
        <v>842</v>
      </c>
      <c r="BL518" s="552">
        <v>880</v>
      </c>
      <c r="BM518" s="552">
        <v>853</v>
      </c>
      <c r="BN518" s="552">
        <v>916</v>
      </c>
      <c r="BO518" s="552">
        <v>871</v>
      </c>
      <c r="BP518" s="552">
        <v>920</v>
      </c>
      <c r="BQ518" s="552">
        <v>867</v>
      </c>
      <c r="BR518" s="552">
        <v>906</v>
      </c>
      <c r="BS518" s="552">
        <v>932</v>
      </c>
      <c r="BT518" s="552">
        <v>907</v>
      </c>
      <c r="BU518" s="552">
        <v>934</v>
      </c>
      <c r="BV518" s="552">
        <v>904</v>
      </c>
      <c r="BW518" s="552">
        <v>828</v>
      </c>
      <c r="BX518" s="552">
        <v>857</v>
      </c>
      <c r="BY518" s="552">
        <v>763</v>
      </c>
      <c r="BZ518" s="552">
        <v>786</v>
      </c>
      <c r="CA518" s="552">
        <v>761</v>
      </c>
      <c r="CB518" s="552">
        <v>745</v>
      </c>
      <c r="CC518" s="552">
        <v>753</v>
      </c>
      <c r="CD518" s="552">
        <v>754</v>
      </c>
      <c r="CE518" s="552">
        <v>696</v>
      </c>
      <c r="CF518" s="552">
        <v>706</v>
      </c>
      <c r="CG518" s="552">
        <v>707</v>
      </c>
      <c r="CH518" s="552">
        <v>714</v>
      </c>
      <c r="CI518" s="552">
        <v>737</v>
      </c>
      <c r="CJ518" s="552">
        <v>775</v>
      </c>
      <c r="CK518" s="552">
        <v>562</v>
      </c>
      <c r="CL518" s="552">
        <v>555</v>
      </c>
      <c r="CM518" s="552">
        <v>563</v>
      </c>
      <c r="CN518" s="552">
        <v>468</v>
      </c>
      <c r="CO518" s="552">
        <v>410</v>
      </c>
      <c r="CP518" s="552">
        <v>391</v>
      </c>
      <c r="CQ518" s="552">
        <v>349</v>
      </c>
      <c r="CR518" s="552">
        <v>336</v>
      </c>
      <c r="CS518" s="552">
        <v>307</v>
      </c>
      <c r="CT518" s="552">
        <v>239</v>
      </c>
      <c r="CU518" s="552">
        <v>231</v>
      </c>
      <c r="CV518" s="552">
        <v>180</v>
      </c>
      <c r="CW518" s="552">
        <v>170</v>
      </c>
      <c r="CX518" s="552">
        <v>135</v>
      </c>
      <c r="CY518" s="552">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c r="A519" s="31" t="s">
        <v>215</v>
      </c>
      <c r="B519" s="1" t="s">
        <v>685</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552">
        <v>673</v>
      </c>
      <c r="N519" s="552">
        <v>647</v>
      </c>
      <c r="O519" s="552">
        <v>740</v>
      </c>
      <c r="P519" s="552">
        <v>723</v>
      </c>
      <c r="Q519" s="552">
        <v>730</v>
      </c>
      <c r="R519" s="552">
        <v>761</v>
      </c>
      <c r="S519" s="552">
        <v>793</v>
      </c>
      <c r="T519" s="552">
        <v>761</v>
      </c>
      <c r="U519" s="552">
        <v>814</v>
      </c>
      <c r="V519" s="552">
        <v>862</v>
      </c>
      <c r="W519" s="552">
        <v>831</v>
      </c>
      <c r="X519" s="552">
        <v>858</v>
      </c>
      <c r="Y519" s="552">
        <v>859</v>
      </c>
      <c r="Z519" s="552">
        <v>879</v>
      </c>
      <c r="AA519" s="552">
        <v>845</v>
      </c>
      <c r="AB519" s="552">
        <v>853</v>
      </c>
      <c r="AC519" s="552">
        <v>831</v>
      </c>
      <c r="AD519" s="552">
        <v>839</v>
      </c>
      <c r="AE519" s="552">
        <v>753</v>
      </c>
      <c r="AF519" s="552">
        <v>630</v>
      </c>
      <c r="AG519" s="552">
        <v>619</v>
      </c>
      <c r="AH519" s="552">
        <v>629</v>
      </c>
      <c r="AI519" s="552">
        <v>670</v>
      </c>
      <c r="AJ519" s="552">
        <v>758</v>
      </c>
      <c r="AK519" s="552">
        <v>790</v>
      </c>
      <c r="AL519" s="552">
        <v>832</v>
      </c>
      <c r="AM519" s="552">
        <v>753</v>
      </c>
      <c r="AN519" s="552">
        <v>823</v>
      </c>
      <c r="AO519" s="552">
        <v>819</v>
      </c>
      <c r="AP519" s="552">
        <v>821</v>
      </c>
      <c r="AQ519" s="552">
        <v>786</v>
      </c>
      <c r="AR519" s="552">
        <v>853</v>
      </c>
      <c r="AS519" s="552">
        <v>859</v>
      </c>
      <c r="AT519" s="552">
        <v>835</v>
      </c>
      <c r="AU519" s="552">
        <v>874</v>
      </c>
      <c r="AV519" s="552">
        <v>850</v>
      </c>
      <c r="AW519" s="552">
        <v>902</v>
      </c>
      <c r="AX519" s="552">
        <v>921</v>
      </c>
      <c r="AY519" s="552">
        <v>825</v>
      </c>
      <c r="AZ519" s="552">
        <v>847</v>
      </c>
      <c r="BA519" s="552">
        <v>842</v>
      </c>
      <c r="BB519" s="552">
        <v>901</v>
      </c>
      <c r="BC519" s="552">
        <v>918</v>
      </c>
      <c r="BD519" s="552">
        <v>874</v>
      </c>
      <c r="BE519" s="552">
        <v>746</v>
      </c>
      <c r="BF519" s="552">
        <v>759</v>
      </c>
      <c r="BG519" s="552">
        <v>795</v>
      </c>
      <c r="BH519" s="552">
        <v>790</v>
      </c>
      <c r="BI519" s="552">
        <v>799</v>
      </c>
      <c r="BJ519" s="552">
        <v>915</v>
      </c>
      <c r="BK519" s="552">
        <v>955</v>
      </c>
      <c r="BL519" s="552">
        <v>1013</v>
      </c>
      <c r="BM519" s="552">
        <v>995</v>
      </c>
      <c r="BN519" s="552">
        <v>1003</v>
      </c>
      <c r="BO519" s="552">
        <v>969</v>
      </c>
      <c r="BP519" s="552">
        <v>960</v>
      </c>
      <c r="BQ519" s="552">
        <v>1007</v>
      </c>
      <c r="BR519" s="552">
        <v>986</v>
      </c>
      <c r="BS519" s="552">
        <v>968</v>
      </c>
      <c r="BT519" s="552">
        <v>965</v>
      </c>
      <c r="BU519" s="552">
        <v>916</v>
      </c>
      <c r="BV519" s="552">
        <v>884</v>
      </c>
      <c r="BW519" s="552">
        <v>833</v>
      </c>
      <c r="BX519" s="552">
        <v>743</v>
      </c>
      <c r="BY519" s="552">
        <v>790</v>
      </c>
      <c r="BZ519" s="552">
        <v>795</v>
      </c>
      <c r="CA519" s="552">
        <v>774</v>
      </c>
      <c r="CB519" s="552">
        <v>688</v>
      </c>
      <c r="CC519" s="552">
        <v>698</v>
      </c>
      <c r="CD519" s="552">
        <v>716</v>
      </c>
      <c r="CE519" s="552">
        <v>688</v>
      </c>
      <c r="CF519" s="552">
        <v>667</v>
      </c>
      <c r="CG519" s="552">
        <v>680</v>
      </c>
      <c r="CH519" s="552">
        <v>708</v>
      </c>
      <c r="CI519" s="552">
        <v>706</v>
      </c>
      <c r="CJ519" s="552">
        <v>754</v>
      </c>
      <c r="CK519" s="552">
        <v>572</v>
      </c>
      <c r="CL519" s="552">
        <v>512</v>
      </c>
      <c r="CM519" s="552">
        <v>519</v>
      </c>
      <c r="CN519" s="552">
        <v>494</v>
      </c>
      <c r="CO519" s="552">
        <v>429</v>
      </c>
      <c r="CP519" s="552">
        <v>357</v>
      </c>
      <c r="CQ519" s="552">
        <v>308</v>
      </c>
      <c r="CR519" s="552">
        <v>275</v>
      </c>
      <c r="CS519" s="552">
        <v>281</v>
      </c>
      <c r="CT519" s="552">
        <v>235</v>
      </c>
      <c r="CU519" s="552">
        <v>217</v>
      </c>
      <c r="CV519" s="552">
        <v>176</v>
      </c>
      <c r="CW519" s="552">
        <v>132</v>
      </c>
      <c r="CX519" s="552">
        <v>132</v>
      </c>
      <c r="CY519" s="552">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c r="A521" s="31" t="s">
        <v>219</v>
      </c>
      <c r="B521" s="1" t="s">
        <v>686</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c r="A522" s="31" t="s">
        <v>219</v>
      </c>
      <c r="B522" s="1" t="s">
        <v>687</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c r="A523" s="31" t="s">
        <v>219</v>
      </c>
      <c r="B523" s="1" t="s">
        <v>688</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c r="A524" s="31" t="s">
        <v>219</v>
      </c>
      <c r="B524" s="1" t="s">
        <v>689</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c r="A525" s="31" t="s">
        <v>219</v>
      </c>
      <c r="B525" s="1" t="s">
        <v>690</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c r="A526" s="31" t="s">
        <v>219</v>
      </c>
      <c r="B526" s="1" t="s">
        <v>691</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c r="A527" s="31" t="s">
        <v>219</v>
      </c>
      <c r="B527" s="1" t="s">
        <v>692</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c r="A528" s="31" t="s">
        <v>219</v>
      </c>
      <c r="B528" s="1" t="s">
        <v>693</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c r="A529" s="31" t="s">
        <v>219</v>
      </c>
      <c r="B529" s="1" t="s">
        <v>694</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c r="A530" s="31" t="s">
        <v>219</v>
      </c>
      <c r="B530" s="1" t="s">
        <v>695</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c r="A531" s="31" t="s">
        <v>219</v>
      </c>
      <c r="B531" s="1" t="s">
        <v>696</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c r="A535" s="572" t="s">
        <v>880</v>
      </c>
      <c r="B535" s="573"/>
      <c r="C535" s="574"/>
      <c r="D535" s="575"/>
      <c r="E535" s="575"/>
      <c r="F535" s="575"/>
      <c r="G535" s="576"/>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c r="C537" s="11"/>
      <c r="D537" s="577" t="s">
        <v>881</v>
      </c>
      <c r="E537" s="578" t="s">
        <v>882</v>
      </c>
      <c r="F537" s="577" t="s">
        <v>883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4.5">
      <c r="C538" s="11"/>
      <c r="D538" s="579" t="s">
        <v>884</v>
      </c>
      <c r="E538" s="580" t="s">
        <v>885</v>
      </c>
      <c r="F538" s="579" t="s">
        <v>886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4.5">
      <c r="C539" s="11"/>
      <c r="D539" s="579" t="s">
        <v>887</v>
      </c>
      <c r="E539" s="580" t="s">
        <v>888</v>
      </c>
      <c r="F539" s="579" t="s">
        <v>889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4.5">
      <c r="C540" s="1" t="s">
        <v>890</v>
      </c>
      <c r="D540" s="581">
        <v>60238038</v>
      </c>
      <c r="E540" s="582"/>
      <c r="F540" s="583"/>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4.5">
      <c r="C541" s="584" t="s">
        <v>891</v>
      </c>
      <c r="D541" s="585"/>
      <c r="E541" s="586">
        <v>60856434</v>
      </c>
      <c r="F541" s="581">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4.5">
      <c r="C542" s="584" t="s">
        <v>892</v>
      </c>
      <c r="D542" s="585"/>
      <c r="E542" s="587">
        <f>(E541-D540)/D540</f>
        <v>1.0265872205200309E-2</v>
      </c>
      <c r="F542" s="588">
        <f>(F541-D540)/D540</f>
        <v>2.0553358660187437E-2</v>
      </c>
      <c r="G542" s="589">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4.5">
      <c r="C543" s="584" t="s">
        <v>893</v>
      </c>
      <c r="D543" s="585"/>
      <c r="E543" s="590"/>
      <c r="F543" s="581">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4.5">
      <c r="C544" s="584" t="s">
        <v>894</v>
      </c>
      <c r="D544" s="585"/>
      <c r="E544" s="590"/>
      <c r="F544" s="581">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c r="A547" s="568"/>
      <c r="B547" s="569"/>
      <c r="C547" s="21" t="s">
        <v>697</v>
      </c>
      <c r="D547" s="139" t="s">
        <v>698</v>
      </c>
      <c r="E547" s="139" t="s">
        <v>699</v>
      </c>
      <c r="F547" s="139" t="s">
        <v>700</v>
      </c>
      <c r="G547" s="139" t="s">
        <v>701</v>
      </c>
      <c r="H547" s="139" t="s">
        <v>702</v>
      </c>
      <c r="I547" s="139" t="s">
        <v>703</v>
      </c>
      <c r="J547" s="514" t="s">
        <v>704</v>
      </c>
      <c r="K547" s="517" t="s">
        <v>705</v>
      </c>
      <c r="L547" s="341" t="s">
        <v>706</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c r="A548" s="570" t="s">
        <v>879</v>
      </c>
      <c r="C548" s="21" t="s">
        <v>707</v>
      </c>
      <c r="D548" s="903" t="s">
        <v>708</v>
      </c>
      <c r="E548" s="904"/>
      <c r="F548" s="904"/>
      <c r="G548" s="904"/>
      <c r="H548" s="904"/>
      <c r="I548" s="905"/>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c r="A549" s="570" t="s">
        <v>879</v>
      </c>
      <c r="B549" s="11">
        <v>0</v>
      </c>
      <c r="C549" s="138" t="s">
        <v>709</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c r="A550" s="570" t="s">
        <v>879</v>
      </c>
      <c r="B550" s="11">
        <v>1</v>
      </c>
      <c r="C550" s="138" t="s">
        <v>710</v>
      </c>
      <c r="D550" s="142"/>
      <c r="E550" s="142">
        <v>1.0090702843828887</v>
      </c>
      <c r="F550" s="142">
        <v>1.0170393771683619</v>
      </c>
      <c r="G550" s="142">
        <v>1.0238793000184203</v>
      </c>
      <c r="H550" s="142">
        <v>1.0295635385778663</v>
      </c>
      <c r="I550" s="142">
        <v>1.0351195322438309</v>
      </c>
      <c r="J550" s="515">
        <f>(I550-100%)/5</f>
        <v>7.0239064487661821E-3</v>
      </c>
      <c r="K550" s="518">
        <f t="shared" ref="K550:K563" si="144">(I550/100%)^(1/5)-1</f>
        <v>6.9272652964273984E-3</v>
      </c>
      <c r="L550" s="513">
        <v>6.9272652964273984E-3</v>
      </c>
      <c r="M550" s="509"/>
      <c r="N550" s="509"/>
      <c r="O550" s="510"/>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c r="A551" s="570" t="s">
        <v>879</v>
      </c>
      <c r="B551" s="11">
        <v>2</v>
      </c>
      <c r="C551" s="138" t="s">
        <v>711</v>
      </c>
      <c r="D551" s="142"/>
      <c r="E551" s="142">
        <v>0.96173452499784384</v>
      </c>
      <c r="F551" s="142">
        <v>0.949547172001034</v>
      </c>
      <c r="G551" s="142">
        <v>0.93849673400054612</v>
      </c>
      <c r="H551" s="142">
        <v>0.92766778564091124</v>
      </c>
      <c r="I551" s="142">
        <v>0.91680012001884892</v>
      </c>
      <c r="J551" s="515">
        <f t="shared" ref="J551:J563" si="145">(I551-100%)/5</f>
        <v>-1.6639975996230218E-2</v>
      </c>
      <c r="K551" s="518">
        <f t="shared" si="144"/>
        <v>-1.7223117235316776E-2</v>
      </c>
      <c r="L551" s="513">
        <v>-1.7223117235316776E-2</v>
      </c>
      <c r="M551" s="509"/>
      <c r="N551" s="509"/>
      <c r="O551" s="510"/>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c r="A552" s="570" t="s">
        <v>879</v>
      </c>
      <c r="B552" s="11">
        <v>3</v>
      </c>
      <c r="C552" s="138" t="s">
        <v>712</v>
      </c>
      <c r="D552" s="142"/>
      <c r="E552" s="142">
        <v>1.0707061745580608</v>
      </c>
      <c r="F552" s="142">
        <v>1.0961797739954167</v>
      </c>
      <c r="G552" s="142">
        <v>1.1120352164720533</v>
      </c>
      <c r="H552" s="142">
        <v>1.1172916519636134</v>
      </c>
      <c r="I552" s="142">
        <v>1.1228072524832799</v>
      </c>
      <c r="J552" s="515">
        <f t="shared" si="145"/>
        <v>2.4561450496655989E-2</v>
      </c>
      <c r="K552" s="518">
        <f t="shared" si="144"/>
        <v>2.3436830336478032E-2</v>
      </c>
      <c r="L552" s="513">
        <v>2.3436830336478032E-2</v>
      </c>
      <c r="M552" s="509"/>
      <c r="N552" s="509"/>
      <c r="O552" s="510"/>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c r="A553" s="570" t="s">
        <v>879</v>
      </c>
      <c r="B553" s="11">
        <v>4</v>
      </c>
      <c r="C553" s="138" t="s">
        <v>713</v>
      </c>
      <c r="D553" s="142"/>
      <c r="E553" s="142">
        <v>0.99704312080608826</v>
      </c>
      <c r="F553" s="142">
        <v>0.99705853203848904</v>
      </c>
      <c r="G553" s="142">
        <v>0.99472603914083957</v>
      </c>
      <c r="H553" s="142">
        <v>0.9891090180954597</v>
      </c>
      <c r="I553" s="142">
        <v>0.98354979851924307</v>
      </c>
      <c r="J553" s="515">
        <f t="shared" si="145"/>
        <v>-3.2900402961513866E-3</v>
      </c>
      <c r="K553" s="518">
        <f t="shared" si="144"/>
        <v>-3.3119051937137156E-3</v>
      </c>
      <c r="L553" s="513">
        <v>-3.3119051937137156E-3</v>
      </c>
      <c r="M553" s="509"/>
      <c r="N553" s="509"/>
      <c r="O553" s="510"/>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c r="A554" s="570" t="s">
        <v>879</v>
      </c>
      <c r="B554" s="11">
        <v>5</v>
      </c>
      <c r="C554" s="138" t="s">
        <v>714</v>
      </c>
      <c r="D554" s="142"/>
      <c r="E554" s="142">
        <v>0.99263087643060499</v>
      </c>
      <c r="F554" s="142">
        <v>0.99530151668079492</v>
      </c>
      <c r="G554" s="142">
        <v>0.99708461172748208</v>
      </c>
      <c r="H554" s="142">
        <v>0.99857946574262668</v>
      </c>
      <c r="I554" s="142">
        <v>1.0006058081967233</v>
      </c>
      <c r="J554" s="515">
        <f t="shared" si="145"/>
        <v>1.2116163934465796E-4</v>
      </c>
      <c r="K554" s="518">
        <f t="shared" si="144"/>
        <v>1.2113228972654433E-4</v>
      </c>
      <c r="L554" s="513">
        <v>1.2113228972654433E-4</v>
      </c>
      <c r="M554" s="509"/>
      <c r="N554" s="509"/>
      <c r="O554" s="510"/>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c r="A555" s="570" t="s">
        <v>879</v>
      </c>
      <c r="B555" s="11">
        <v>6</v>
      </c>
      <c r="C555" s="507" t="s">
        <v>715</v>
      </c>
      <c r="D555" s="508"/>
      <c r="E555" s="508">
        <v>1.0123419501207302</v>
      </c>
      <c r="F555" s="508">
        <v>1.0224746276334522</v>
      </c>
      <c r="G555" s="508">
        <v>1.0318096590054313</v>
      </c>
      <c r="H555" s="508">
        <v>1.040568100689119</v>
      </c>
      <c r="I555" s="508">
        <v>1.0491476885800255</v>
      </c>
      <c r="J555" s="521">
        <f t="shared" si="145"/>
        <v>9.8295377160050983E-3</v>
      </c>
      <c r="K555" s="522">
        <f t="shared" si="144"/>
        <v>9.641807463928842E-3</v>
      </c>
      <c r="L555" s="571">
        <v>9.6418074639288403E-3</v>
      </c>
      <c r="M555" s="509"/>
      <c r="N555" s="509"/>
      <c r="O555" s="510"/>
      <c r="P555" s="13"/>
      <c r="Q555" s="511"/>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c r="A556" s="570" t="s">
        <v>879</v>
      </c>
      <c r="B556" s="11">
        <v>7</v>
      </c>
      <c r="C556" s="138" t="s">
        <v>716</v>
      </c>
      <c r="D556" s="142"/>
      <c r="E556" s="142">
        <v>1.0234861902526262</v>
      </c>
      <c r="F556" s="142">
        <v>1.0362595252458171</v>
      </c>
      <c r="G556" s="142">
        <v>1.0484007089616401</v>
      </c>
      <c r="H556" s="142">
        <v>1.0594741481215733</v>
      </c>
      <c r="I556" s="142">
        <v>1.0705464348984648</v>
      </c>
      <c r="J556" s="515">
        <f t="shared" si="145"/>
        <v>1.4109286979692959E-2</v>
      </c>
      <c r="K556" s="518">
        <f t="shared" si="144"/>
        <v>1.372720562144969E-2</v>
      </c>
      <c r="L556" s="513">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c r="A557" s="570" t="s">
        <v>879</v>
      </c>
      <c r="B557" s="11">
        <v>8</v>
      </c>
      <c r="C557" s="138" t="s">
        <v>717</v>
      </c>
      <c r="D557" s="142"/>
      <c r="E557" s="142">
        <v>1.0327181385810218</v>
      </c>
      <c r="F557" s="142">
        <v>1.0462000918268668</v>
      </c>
      <c r="G557" s="142">
        <v>1.0579618766687933</v>
      </c>
      <c r="H557" s="142">
        <v>1.0679645783102321</v>
      </c>
      <c r="I557" s="142">
        <v>1.0772361012999514</v>
      </c>
      <c r="J557" s="515">
        <f t="shared" si="145"/>
        <v>1.544722025999028E-2</v>
      </c>
      <c r="K557" s="518">
        <f t="shared" si="144"/>
        <v>1.4990973227517745E-2</v>
      </c>
      <c r="L557" s="513">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c r="A558" s="570" t="s">
        <v>879</v>
      </c>
      <c r="B558" s="11">
        <v>9</v>
      </c>
      <c r="C558" s="138" t="s">
        <v>718</v>
      </c>
      <c r="D558" s="142"/>
      <c r="E558" s="142">
        <v>1.0231841082591016</v>
      </c>
      <c r="F558" s="142">
        <v>1.0358890289056439</v>
      </c>
      <c r="G558" s="142">
        <v>1.0481652070229122</v>
      </c>
      <c r="H558" s="142">
        <v>1.0592891805745575</v>
      </c>
      <c r="I558" s="142">
        <v>1.069681907109314</v>
      </c>
      <c r="J558" s="515">
        <f t="shared" si="145"/>
        <v>1.3936381421862798E-2</v>
      </c>
      <c r="K558" s="518">
        <f t="shared" si="144"/>
        <v>1.3563424108683053E-2</v>
      </c>
      <c r="L558" s="513">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c r="A559" s="570" t="s">
        <v>879</v>
      </c>
      <c r="B559" s="11">
        <v>10</v>
      </c>
      <c r="C559" s="138" t="s">
        <v>719</v>
      </c>
      <c r="D559" s="142"/>
      <c r="E559" s="142">
        <v>1.0341666734322146</v>
      </c>
      <c r="F559" s="142">
        <v>1.0480179725760268</v>
      </c>
      <c r="G559" s="142">
        <v>1.0601012155156095</v>
      </c>
      <c r="H559" s="142">
        <v>1.0702848288878077</v>
      </c>
      <c r="I559" s="142">
        <v>1.0797421461131422</v>
      </c>
      <c r="J559" s="515">
        <f t="shared" si="145"/>
        <v>1.5948429222628447E-2</v>
      </c>
      <c r="K559" s="518">
        <f t="shared" si="144"/>
        <v>1.5462782371323147E-2</v>
      </c>
      <c r="L559" s="513">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c r="A560" s="570" t="s">
        <v>879</v>
      </c>
      <c r="B560" s="11">
        <v>11</v>
      </c>
      <c r="C560" s="138" t="s">
        <v>720</v>
      </c>
      <c r="D560" s="142"/>
      <c r="E560" s="142">
        <v>1.0233409873632719</v>
      </c>
      <c r="F560" s="142">
        <v>1.0360814373748364</v>
      </c>
      <c r="G560" s="142">
        <v>1.0482875093579402</v>
      </c>
      <c r="H560" s="142">
        <v>1.0593852390742311</v>
      </c>
      <c r="I560" s="142">
        <v>1.0701308790705675</v>
      </c>
      <c r="J560" s="515">
        <f t="shared" si="145"/>
        <v>1.4026175814113495E-2</v>
      </c>
      <c r="K560" s="518">
        <f t="shared" si="144"/>
        <v>1.364849335671825E-2</v>
      </c>
      <c r="L560" s="513">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c r="A561" s="570" t="s">
        <v>879</v>
      </c>
      <c r="B561" s="11">
        <v>12</v>
      </c>
      <c r="C561" s="138" t="s">
        <v>721</v>
      </c>
      <c r="D561" s="142"/>
      <c r="E561" s="142">
        <v>1.0334066911438702</v>
      </c>
      <c r="F561" s="142">
        <v>1.0470642108004322</v>
      </c>
      <c r="G561" s="142">
        <v>1.0589787988674986</v>
      </c>
      <c r="H561" s="142">
        <v>1.0690674958412283</v>
      </c>
      <c r="I561" s="142">
        <v>1.0784273350333435</v>
      </c>
      <c r="J561" s="515">
        <f t="shared" si="145"/>
        <v>1.5685467006668709E-2</v>
      </c>
      <c r="K561" s="518">
        <f t="shared" si="144"/>
        <v>1.5215354312122953E-2</v>
      </c>
      <c r="L561" s="513">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c r="A562" s="570" t="s">
        <v>879</v>
      </c>
      <c r="B562" s="11">
        <v>13</v>
      </c>
      <c r="C562" s="138" t="s">
        <v>722</v>
      </c>
      <c r="D562" s="142"/>
      <c r="E562" s="142">
        <v>1.0535754755454367</v>
      </c>
      <c r="F562" s="142">
        <v>1.079128927735721</v>
      </c>
      <c r="G562" s="142">
        <v>1.10377830980113</v>
      </c>
      <c r="H562" s="142">
        <v>1.1267313398994689</v>
      </c>
      <c r="I562" s="142">
        <v>1.1493400902365778</v>
      </c>
      <c r="J562" s="515">
        <f t="shared" si="145"/>
        <v>2.9868018047315557E-2</v>
      </c>
      <c r="K562" s="518">
        <f t="shared" si="144"/>
        <v>2.8228674820024224E-2</v>
      </c>
      <c r="L562" s="513">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c r="A563" s="58"/>
      <c r="B563" s="401">
        <v>14</v>
      </c>
      <c r="C563" s="138" t="s">
        <v>723</v>
      </c>
      <c r="D563" s="142"/>
      <c r="E563" s="142">
        <v>1.0081055095898279</v>
      </c>
      <c r="F563" s="142">
        <v>1.0157451629461605</v>
      </c>
      <c r="G563" s="142">
        <v>1.0222827798035592</v>
      </c>
      <c r="H563" s="142">
        <v>1.0276922014787842</v>
      </c>
      <c r="I563" s="142">
        <v>1.032997413899986</v>
      </c>
      <c r="J563" s="515">
        <f t="shared" si="145"/>
        <v>6.5994827799972008E-3</v>
      </c>
      <c r="K563" s="518">
        <f t="shared" si="144"/>
        <v>6.5140621434043311E-3</v>
      </c>
      <c r="L563" s="513">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c r="B564" s="11">
        <v>15</v>
      </c>
      <c r="C564" s="138"/>
      <c r="D564" s="142"/>
      <c r="E564" s="142"/>
      <c r="F564" s="142"/>
      <c r="G564" s="142"/>
      <c r="H564" s="142"/>
      <c r="I564" s="142"/>
      <c r="J564" s="516" t="s">
        <v>724</v>
      </c>
      <c r="K564" s="6"/>
      <c r="L564" s="340" t="s">
        <v>725</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c r="E565" s="15"/>
      <c r="L565" s="340" t="s">
        <v>726</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c r="E566" s="15"/>
      <c r="L566" s="340" t="s">
        <v>727</v>
      </c>
      <c r="M566" s="13"/>
      <c r="N566" s="13"/>
      <c r="O566" s="13"/>
      <c r="P566" s="13"/>
      <c r="Q566" s="13"/>
      <c r="R566" s="512"/>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c r="C567" s="523" t="s">
        <v>728</v>
      </c>
      <c r="E567" s="15"/>
      <c r="L567" s="340" t="s">
        <v>729</v>
      </c>
      <c r="M567" s="13"/>
      <c r="N567" s="13"/>
      <c r="O567" s="13"/>
      <c r="P567" s="13"/>
      <c r="Q567" s="13"/>
      <c r="R567" s="512"/>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c r="E568" s="15"/>
      <c r="L568" s="340" t="s">
        <v>730</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c r="E569" s="15"/>
      <c r="L569" s="340"/>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c r="C570" s="11"/>
      <c r="L570" s="340" t="s">
        <v>731</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c r="C571" s="11"/>
      <c r="L571" s="340" t="s">
        <v>732</v>
      </c>
      <c r="M571" s="13"/>
      <c r="N571" s="13"/>
      <c r="O571" s="592"/>
      <c r="P571" s="593" t="s">
        <v>896</v>
      </c>
      <c r="Q571" s="594"/>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65" customHeight="1">
      <c r="C572" s="11"/>
      <c r="M572" s="13"/>
      <c r="N572" s="13"/>
      <c r="O572" s="597" t="s">
        <v>704</v>
      </c>
      <c r="P572" s="597" t="s">
        <v>705</v>
      </c>
      <c r="Q572" s="598" t="s">
        <v>897</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c r="A573" s="568"/>
      <c r="B573" s="569"/>
      <c r="C573" s="138" t="s">
        <v>710</v>
      </c>
      <c r="D573" s="591"/>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515">
        <f>(N573-100%)/10</f>
        <v>6.0996339197137541E-3</v>
      </c>
      <c r="P573" s="518">
        <f>(N573/100%)^(1/10)-1</f>
        <v>5.9384037531065026E-3</v>
      </c>
      <c r="Q573" s="595">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c r="A574" s="570" t="s">
        <v>895</v>
      </c>
      <c r="C574" s="138" t="s">
        <v>711</v>
      </c>
      <c r="D574" s="591"/>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515">
        <f t="shared" ref="O574:O586" si="146">(N574-100%)/10</f>
        <v>-6.0280923298853817E-3</v>
      </c>
      <c r="P574" s="518">
        <f t="shared" ref="P574:P586" si="147">(N574/100%)^(1/10)-1</f>
        <v>-6.1981420710855994E-3</v>
      </c>
      <c r="Q574" s="595">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c r="A575" s="570" t="s">
        <v>895</v>
      </c>
      <c r="C575" s="138" t="s">
        <v>712</v>
      </c>
      <c r="D575" s="591"/>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515">
        <f t="shared" si="146"/>
        <v>1.5087615236704566E-2</v>
      </c>
      <c r="P575" s="518">
        <f t="shared" si="147"/>
        <v>1.4151550808456648E-2</v>
      </c>
      <c r="Q575" s="595">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c r="A576" s="570" t="s">
        <v>895</v>
      </c>
      <c r="C576" s="138" t="s">
        <v>713</v>
      </c>
      <c r="D576" s="591"/>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515">
        <f t="shared" si="146"/>
        <v>8.1374209845206378E-4</v>
      </c>
      <c r="P576" s="518">
        <f t="shared" si="147"/>
        <v>8.1077757246905691E-4</v>
      </c>
      <c r="Q576" s="595">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c r="A577" s="570" t="s">
        <v>895</v>
      </c>
      <c r="C577" s="138" t="s">
        <v>714</v>
      </c>
      <c r="D577" s="591"/>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515">
        <f t="shared" si="146"/>
        <v>2.5619811438394092E-3</v>
      </c>
      <c r="P577" s="518">
        <f t="shared" si="147"/>
        <v>2.5329148145079028E-3</v>
      </c>
      <c r="Q577" s="595">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c r="A578" s="570" t="s">
        <v>895</v>
      </c>
      <c r="C578" s="507" t="s">
        <v>715</v>
      </c>
      <c r="D578" s="508"/>
      <c r="E578" s="508">
        <v>1.0123419501207302</v>
      </c>
      <c r="F578" s="508">
        <v>1.0224746276334522</v>
      </c>
      <c r="G578" s="508">
        <v>1.0318096590054313</v>
      </c>
      <c r="H578" s="508">
        <v>1.040568100689119</v>
      </c>
      <c r="I578" s="508">
        <v>1.0491476885800255</v>
      </c>
      <c r="J578" s="508">
        <v>1.0546473961073131</v>
      </c>
      <c r="K578" s="508">
        <v>1.0600156863772707</v>
      </c>
      <c r="L578" s="508">
        <v>1.0652587749595908</v>
      </c>
      <c r="M578" s="508">
        <v>1.0703773048442411</v>
      </c>
      <c r="N578" s="508">
        <v>1.0753751834317971</v>
      </c>
      <c r="O578" s="521">
        <f t="shared" si="146"/>
        <v>7.5375183431797051E-3</v>
      </c>
      <c r="P578" s="522">
        <f t="shared" si="147"/>
        <v>7.2934292896156272E-3</v>
      </c>
      <c r="Q578" s="522">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c r="A579" s="570" t="s">
        <v>895</v>
      </c>
      <c r="C579" s="138" t="s">
        <v>716</v>
      </c>
      <c r="D579" s="591"/>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515">
        <f t="shared" si="146"/>
        <v>9.7308873986410305E-3</v>
      </c>
      <c r="P579" s="518">
        <f t="shared" si="147"/>
        <v>9.3293197294876951E-3</v>
      </c>
      <c r="Q579" s="595">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c r="A580" s="570" t="s">
        <v>895</v>
      </c>
      <c r="C580" s="138" t="s">
        <v>717</v>
      </c>
      <c r="D580" s="591"/>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515">
        <f t="shared" si="146"/>
        <v>1.0416577441320607E-2</v>
      </c>
      <c r="P580" s="518">
        <f t="shared" si="147"/>
        <v>9.95826625164975E-3</v>
      </c>
      <c r="Q580" s="595">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c r="A581" s="570" t="s">
        <v>895</v>
      </c>
      <c r="C581" s="138" t="s">
        <v>718</v>
      </c>
      <c r="D581" s="591"/>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515">
        <f t="shared" si="146"/>
        <v>9.64227339891921E-3</v>
      </c>
      <c r="P581" s="518">
        <f t="shared" si="147"/>
        <v>9.2477809488915597E-3</v>
      </c>
      <c r="Q581" s="595">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c r="A582" s="570" t="s">
        <v>895</v>
      </c>
      <c r="C582" s="138" t="s">
        <v>719</v>
      </c>
      <c r="D582" s="591"/>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515">
        <f t="shared" si="146"/>
        <v>1.0673446748664817E-2</v>
      </c>
      <c r="P582" s="518">
        <f t="shared" si="147"/>
        <v>1.0192973847719333E-2</v>
      </c>
      <c r="Q582" s="595">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c r="A583" s="570" t="s">
        <v>895</v>
      </c>
      <c r="C583" s="138" t="s">
        <v>720</v>
      </c>
      <c r="D583" s="591"/>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515">
        <f t="shared" si="146"/>
        <v>9.6882929737077683E-3</v>
      </c>
      <c r="P583" s="518">
        <f t="shared" si="147"/>
        <v>9.2901335764377091E-3</v>
      </c>
      <c r="Q583" s="595">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c r="A584" s="570" t="s">
        <v>895</v>
      </c>
      <c r="C584" s="138" t="s">
        <v>721</v>
      </c>
      <c r="D584" s="591"/>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515">
        <f t="shared" si="146"/>
        <v>1.0538678763041154E-2</v>
      </c>
      <c r="P584" s="518">
        <f t="shared" si="147"/>
        <v>1.0069894342066732E-2</v>
      </c>
      <c r="Q584" s="595">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c r="A585" s="570" t="s">
        <v>895</v>
      </c>
      <c r="C585" s="138" t="s">
        <v>722</v>
      </c>
      <c r="D585" s="591"/>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515">
        <f t="shared" si="146"/>
        <v>1.7807228078299507E-2</v>
      </c>
      <c r="P585" s="518">
        <f t="shared" si="147"/>
        <v>1.6522963134986579E-2</v>
      </c>
      <c r="Q585" s="595">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c r="A586" s="58"/>
      <c r="B586" s="401"/>
      <c r="C586" s="138" t="s">
        <v>723</v>
      </c>
      <c r="D586" s="591"/>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515">
        <f t="shared" si="146"/>
        <v>5.8821170316610384E-3</v>
      </c>
      <c r="P586" s="518">
        <f t="shared" si="147"/>
        <v>5.7319838926312983E-3</v>
      </c>
      <c r="Q586" s="595">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c r="C587" s="11"/>
      <c r="E587" s="15"/>
      <c r="M587" s="13"/>
      <c r="N587" s="13"/>
      <c r="O587" s="516" t="s">
        <v>724</v>
      </c>
      <c r="P587" s="516" t="s">
        <v>724</v>
      </c>
      <c r="Q587" s="596"/>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c r="C588" s="11"/>
      <c r="E588" s="15"/>
      <c r="M588" s="13"/>
      <c r="N588" s="13"/>
      <c r="O588" s="516" t="s">
        <v>898</v>
      </c>
      <c r="P588" s="516" t="s">
        <v>898</v>
      </c>
      <c r="Q588" s="596"/>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c r="C589" s="11"/>
      <c r="E589" s="15"/>
      <c r="M589" s="13"/>
      <c r="N589" s="13"/>
      <c r="O589" s="13"/>
      <c r="P589" s="13"/>
      <c r="Q589" s="596" t="s">
        <v>731</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c r="E590" s="15"/>
      <c r="M590" s="13"/>
      <c r="N590" s="13"/>
      <c r="O590" s="13"/>
      <c r="P590" s="13"/>
      <c r="Q590" s="596" t="s">
        <v>732</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S122"/>
  <sheetViews>
    <sheetView showGridLines="0" zoomScale="80" zoomScaleNormal="80" workbookViewId="0"/>
  </sheetViews>
  <sheetFormatPr defaultRowHeight="14.5"/>
  <cols>
    <col min="1" max="1" width="2.453125" customWidth="1"/>
    <col min="2" max="2" width="5.7265625" customWidth="1"/>
    <col min="3" max="3" width="74.7265625" customWidth="1"/>
    <col min="4" max="4" width="19.453125" customWidth="1"/>
    <col min="5" max="5" width="14.7265625" customWidth="1"/>
    <col min="6" max="6" width="14.54296875" customWidth="1"/>
    <col min="7" max="7" width="15.453125" customWidth="1"/>
    <col min="8" max="8" width="17.1796875" customWidth="1"/>
    <col min="9" max="9" width="16" customWidth="1"/>
    <col min="10" max="10" width="14.81640625" customWidth="1"/>
    <col min="11" max="11" width="14.54296875" bestFit="1" customWidth="1"/>
    <col min="12" max="12" width="14.81640625" customWidth="1"/>
    <col min="13" max="18" width="13.453125" customWidth="1"/>
    <col min="19" max="19" width="3.453125" customWidth="1"/>
  </cols>
  <sheetData>
    <row r="1" spans="2:19" ht="30" customHeight="1">
      <c r="B1" s="545" t="s">
        <v>1151</v>
      </c>
    </row>
    <row r="2" spans="2:19" ht="30" customHeight="1">
      <c r="B2" s="154" t="s">
        <v>32</v>
      </c>
      <c r="C2" s="154"/>
      <c r="D2" s="153"/>
      <c r="E2" s="170"/>
      <c r="F2" s="153"/>
      <c r="G2" s="153"/>
      <c r="H2" s="153"/>
      <c r="I2" s="153"/>
      <c r="J2" s="153"/>
      <c r="K2" s="153"/>
      <c r="L2" s="153"/>
      <c r="M2" s="153"/>
      <c r="N2" s="153"/>
      <c r="O2" s="153"/>
      <c r="P2" s="153"/>
      <c r="Q2" s="153"/>
      <c r="R2" s="153"/>
    </row>
    <row r="4" spans="2:19">
      <c r="B4" s="155" t="s">
        <v>33</v>
      </c>
      <c r="C4" s="330"/>
      <c r="D4" s="330"/>
      <c r="E4" s="330"/>
      <c r="F4" s="330"/>
      <c r="G4" s="330"/>
      <c r="H4" s="330"/>
      <c r="I4" s="330"/>
      <c r="J4" s="330"/>
      <c r="K4" s="330"/>
      <c r="L4" s="330"/>
      <c r="M4" s="330"/>
      <c r="N4" s="330"/>
      <c r="O4" s="330"/>
      <c r="P4" s="330"/>
      <c r="Q4" s="330"/>
      <c r="R4" s="330"/>
      <c r="S4" s="159"/>
    </row>
    <row r="5" spans="2:19">
      <c r="B5" s="159"/>
      <c r="C5" t="s">
        <v>34</v>
      </c>
      <c r="S5" s="159"/>
    </row>
    <row r="6" spans="2:19">
      <c r="B6" s="159"/>
      <c r="C6" t="s">
        <v>35</v>
      </c>
      <c r="S6" s="159"/>
    </row>
    <row r="7" spans="2:19">
      <c r="B7" s="159"/>
      <c r="C7" t="s">
        <v>36</v>
      </c>
      <c r="S7" s="159"/>
    </row>
    <row r="8" spans="2:19">
      <c r="B8" s="160"/>
      <c r="C8" s="161"/>
      <c r="D8" s="161"/>
      <c r="E8" s="161"/>
      <c r="F8" s="161"/>
      <c r="G8" s="161"/>
      <c r="H8" s="161"/>
      <c r="I8" s="161"/>
      <c r="J8" s="161"/>
      <c r="K8" s="161"/>
      <c r="L8" s="161"/>
      <c r="M8" s="161"/>
      <c r="N8" s="161"/>
      <c r="O8" s="161"/>
      <c r="P8" s="161"/>
      <c r="Q8" s="161"/>
      <c r="R8" s="161"/>
      <c r="S8" s="159"/>
    </row>
    <row r="10" spans="2:19">
      <c r="B10" s="155" t="s">
        <v>37</v>
      </c>
      <c r="C10" s="330"/>
      <c r="D10" s="330"/>
      <c r="E10" s="330"/>
      <c r="F10" s="330"/>
      <c r="G10" s="330"/>
      <c r="H10" s="330"/>
      <c r="I10" s="330"/>
      <c r="J10" s="330"/>
      <c r="K10" s="330"/>
      <c r="L10" s="330"/>
      <c r="M10" s="330"/>
      <c r="N10" s="330"/>
      <c r="O10" s="330"/>
      <c r="P10" s="330"/>
      <c r="Q10" s="330"/>
      <c r="R10" s="330"/>
      <c r="S10" s="159"/>
    </row>
    <row r="11" spans="2:19">
      <c r="B11" s="157"/>
      <c r="C11" t="s">
        <v>38</v>
      </c>
      <c r="E11" s="150" t="s">
        <v>39</v>
      </c>
      <c r="S11" s="159"/>
    </row>
    <row r="12" spans="2:19">
      <c r="B12" s="157"/>
      <c r="C12" t="s">
        <v>40</v>
      </c>
      <c r="E12" s="150" t="s">
        <v>41</v>
      </c>
      <c r="G12" s="128">
        <f>'Population selection'!F14</f>
        <v>45219492</v>
      </c>
      <c r="H12" t="str">
        <f>C25&amp;" population based on selection on left using mid-2022 ONS data"</f>
        <v>Adult population population based on selection on left using mid-2022 ONS data</v>
      </c>
      <c r="S12" s="159"/>
    </row>
    <row r="13" spans="2:19">
      <c r="B13" s="157"/>
      <c r="E13" s="599"/>
      <c r="G13" s="671">
        <f>2.05533586601874%</f>
        <v>2.0553358660187402E-2</v>
      </c>
      <c r="H13" t="s">
        <v>899</v>
      </c>
      <c r="S13" s="159"/>
    </row>
    <row r="14" spans="2:19">
      <c r="B14" s="157"/>
      <c r="C14" s="148"/>
      <c r="G14" s="128">
        <f>(100%+G13)*G12</f>
        <v>46148904.437507473</v>
      </c>
      <c r="H14" t="s">
        <v>902</v>
      </c>
      <c r="S14" s="159"/>
    </row>
    <row r="15" spans="2:19">
      <c r="B15" s="159"/>
      <c r="C15" t="s">
        <v>42</v>
      </c>
      <c r="E15" s="672" t="s">
        <v>43</v>
      </c>
      <c r="F15" s="169" t="str">
        <f>IF(E15="yes","","If no, enter current locality population below")</f>
        <v/>
      </c>
      <c r="S15" s="159"/>
    </row>
    <row r="16" spans="2:19">
      <c r="B16" s="159"/>
      <c r="F16" s="169" t="str">
        <f>IF(AND(NOT(ISBLANK(E17)),E15="yes"),"error - change cell above to 'no'","")</f>
        <v/>
      </c>
      <c r="S16" s="159"/>
    </row>
    <row r="17" spans="2:19">
      <c r="B17" s="159"/>
      <c r="C17" t="str">
        <f>"Manually entered current locality population "&amp;IF(E15="no","","(n/a)")</f>
        <v>Manually entered current locality population (n/a)</v>
      </c>
      <c r="E17" s="673"/>
      <c r="F17" s="169" t="str">
        <f>IF(E15="yes","Leave blue cell on left blank if NICE estimate is used","")</f>
        <v>Leave blue cell on left blank if NICE estimate is used</v>
      </c>
      <c r="S17" s="159"/>
    </row>
    <row r="18" spans="2:19">
      <c r="B18" s="159"/>
      <c r="F18" s="169" t="str">
        <f>IF(AND(ISBLANK(E17),E15="no"),"error - enter current locality population above","")</f>
        <v/>
      </c>
      <c r="S18" s="159"/>
    </row>
    <row r="19" spans="2:19">
      <c r="B19" s="159"/>
      <c r="C19" t="s">
        <v>900</v>
      </c>
      <c r="D19" s="151"/>
      <c r="E19" s="671">
        <v>9.6418074639288403E-3</v>
      </c>
      <c r="F19" t="str">
        <f>IF(E19=0.00964180746392884,"Enter local value or delete the NICE assumption if required","Local value")</f>
        <v>Enter local value or delete the NICE assumption if required</v>
      </c>
      <c r="S19" s="159"/>
    </row>
    <row r="20" spans="2:19">
      <c r="B20" s="159"/>
      <c r="C20" t="s">
        <v>901</v>
      </c>
      <c r="D20" s="151"/>
      <c r="E20" s="671">
        <v>0</v>
      </c>
      <c r="F20" t="str">
        <f>IF(E20=0,"Enter local value or delete the NICE assumption if required","Local value")</f>
        <v>Enter local value or delete the NICE assumption if required</v>
      </c>
      <c r="S20" s="159"/>
    </row>
    <row r="21" spans="2:19">
      <c r="B21" s="160"/>
      <c r="C21" s="161"/>
      <c r="D21" s="161"/>
      <c r="E21" s="161"/>
      <c r="F21" s="161"/>
      <c r="G21" s="161"/>
      <c r="H21" s="161"/>
      <c r="I21" s="161"/>
      <c r="J21" s="161"/>
      <c r="K21" s="161"/>
      <c r="L21" s="161"/>
      <c r="M21" s="161"/>
      <c r="N21" s="161"/>
      <c r="O21" s="161"/>
      <c r="P21" s="161"/>
      <c r="Q21" s="161"/>
      <c r="R21" s="161"/>
      <c r="S21" s="159"/>
    </row>
    <row r="23" spans="2:19">
      <c r="B23" s="155" t="s">
        <v>44</v>
      </c>
      <c r="C23" s="330"/>
      <c r="D23" s="330"/>
      <c r="E23" s="330"/>
      <c r="F23" s="330"/>
      <c r="G23" s="330"/>
      <c r="H23" s="330"/>
      <c r="I23" s="330"/>
      <c r="J23" s="330"/>
      <c r="K23" s="330"/>
      <c r="L23" s="330"/>
      <c r="M23" s="330"/>
      <c r="N23" s="330"/>
      <c r="O23" s="330"/>
      <c r="P23" s="330"/>
      <c r="Q23" s="330"/>
      <c r="R23" s="330"/>
      <c r="S23" s="159"/>
    </row>
    <row r="24" spans="2:19" ht="85.15" customHeight="1">
      <c r="B24" s="157"/>
      <c r="F24" s="239" t="s">
        <v>45</v>
      </c>
      <c r="G24" s="164" t="s">
        <v>46</v>
      </c>
      <c r="H24" s="227" t="s">
        <v>47</v>
      </c>
      <c r="I24" s="404"/>
      <c r="J24" s="404"/>
      <c r="K24" s="404"/>
      <c r="L24" s="404"/>
      <c r="M24" s="404"/>
      <c r="N24" s="404"/>
      <c r="O24" s="404"/>
      <c r="P24" s="404"/>
      <c r="Q24" s="404"/>
      <c r="R24" s="404"/>
      <c r="S24" s="159"/>
    </row>
    <row r="25" spans="2:19">
      <c r="B25" s="157"/>
      <c r="C25" s="238" t="s">
        <v>48</v>
      </c>
      <c r="D25" s="241"/>
      <c r="E25" s="167"/>
      <c r="F25" s="128">
        <f>IF(ISBLANK(E17),G14,'Population selection'!F16)</f>
        <v>46148904.437507473</v>
      </c>
      <c r="G25" s="240"/>
      <c r="H25" s="237" t="s">
        <v>49</v>
      </c>
      <c r="I25" s="196"/>
      <c r="J25" s="196"/>
      <c r="K25" s="196"/>
      <c r="L25" s="196"/>
      <c r="M25" s="196"/>
      <c r="N25" s="196"/>
      <c r="O25" s="196"/>
      <c r="P25" s="196"/>
      <c r="Q25" s="196"/>
      <c r="R25" s="196"/>
      <c r="S25" s="159"/>
    </row>
    <row r="26" spans="2:19">
      <c r="B26" s="157"/>
      <c r="C26" s="600" t="s">
        <v>830</v>
      </c>
      <c r="D26" s="242"/>
      <c r="E26" s="167"/>
      <c r="F26" s="207"/>
      <c r="G26" s="128">
        <f>K41</f>
        <v>48417016.421111427</v>
      </c>
      <c r="H26" s="237" t="s">
        <v>49</v>
      </c>
      <c r="I26" s="161"/>
      <c r="J26" s="161"/>
      <c r="K26" s="161"/>
      <c r="L26" s="161"/>
      <c r="M26" s="161"/>
      <c r="N26" s="161"/>
      <c r="O26" s="161"/>
      <c r="P26" s="161"/>
      <c r="Q26" s="161"/>
      <c r="R26" s="161"/>
      <c r="S26" s="159"/>
    </row>
    <row r="27" spans="2:19" ht="45.75" customHeight="1">
      <c r="B27" s="159"/>
      <c r="C27" s="166" t="s">
        <v>951</v>
      </c>
      <c r="D27" s="167"/>
      <c r="E27" s="671">
        <v>1.1335046982715608E-4</v>
      </c>
      <c r="F27" s="674">
        <f>E27*F25</f>
        <v>5231</v>
      </c>
      <c r="G27" s="674">
        <f>E27*K40*K41</f>
        <v>5488.0915589621109</v>
      </c>
      <c r="H27" s="908" t="s">
        <v>1154</v>
      </c>
      <c r="I27" s="909"/>
      <c r="J27" s="909"/>
      <c r="K27" s="909"/>
      <c r="L27" s="909"/>
      <c r="M27" s="909"/>
      <c r="N27" s="909"/>
      <c r="O27" s="909"/>
      <c r="P27" s="909"/>
      <c r="Q27" s="909"/>
      <c r="R27" s="909"/>
      <c r="S27" s="159"/>
    </row>
    <row r="28" spans="2:19">
      <c r="B28" s="159"/>
      <c r="C28" s="166" t="s">
        <v>1071</v>
      </c>
      <c r="D28" s="167"/>
      <c r="E28" s="671">
        <v>0.15</v>
      </c>
      <c r="F28" s="674">
        <f>F27*E28</f>
        <v>784.65</v>
      </c>
      <c r="G28" s="674">
        <f>G27*E28</f>
        <v>823.21373384431661</v>
      </c>
      <c r="H28" s="640" t="s">
        <v>952</v>
      </c>
      <c r="I28" s="640"/>
      <c r="J28" s="640"/>
      <c r="K28" s="640"/>
      <c r="L28" s="640"/>
      <c r="M28" s="640"/>
      <c r="N28" s="640"/>
      <c r="O28" s="640"/>
      <c r="P28" s="640"/>
      <c r="Q28" s="640"/>
      <c r="R28" s="640"/>
      <c r="S28" s="159"/>
    </row>
    <row r="29" spans="2:19">
      <c r="B29" s="159"/>
      <c r="C29" s="166"/>
      <c r="D29" s="167"/>
      <c r="E29" s="352"/>
      <c r="F29" s="622"/>
      <c r="G29" s="128"/>
      <c r="H29" s="698"/>
      <c r="I29" s="196"/>
      <c r="J29" s="196"/>
      <c r="K29" s="196"/>
      <c r="L29" s="196"/>
      <c r="M29" s="196"/>
      <c r="N29" s="196"/>
      <c r="O29" s="196"/>
      <c r="P29" s="196"/>
      <c r="Q29" s="196"/>
      <c r="R29" s="196"/>
      <c r="S29" s="159"/>
    </row>
    <row r="30" spans="2:19">
      <c r="B30" s="159"/>
      <c r="C30" s="226" t="s">
        <v>1135</v>
      </c>
      <c r="D30" s="167"/>
      <c r="E30" s="352"/>
      <c r="F30" s="675">
        <f>F28</f>
        <v>784.65</v>
      </c>
      <c r="G30" s="675">
        <f>G28</f>
        <v>823.21373384431661</v>
      </c>
      <c r="H30" s="199"/>
      <c r="I30" s="196"/>
      <c r="J30" s="196"/>
      <c r="K30" s="196"/>
      <c r="L30" s="196"/>
      <c r="M30" s="196"/>
      <c r="N30" s="196"/>
      <c r="O30" s="196"/>
      <c r="P30" s="196"/>
      <c r="Q30" s="196"/>
      <c r="R30" s="196"/>
      <c r="S30" s="159"/>
    </row>
    <row r="31" spans="2:19">
      <c r="B31" s="159"/>
      <c r="C31" s="358"/>
      <c r="E31" s="359"/>
      <c r="F31" s="360"/>
      <c r="G31" s="360"/>
      <c r="H31" s="189"/>
      <c r="S31" s="159"/>
    </row>
    <row r="32" spans="2:19">
      <c r="B32" s="159"/>
      <c r="C32" s="358"/>
      <c r="E32" s="359"/>
      <c r="F32" s="360"/>
      <c r="G32" s="360"/>
      <c r="H32" s="189"/>
      <c r="S32" s="159"/>
    </row>
    <row r="33" spans="2:19">
      <c r="B33" s="159"/>
      <c r="C33" s="358"/>
      <c r="E33" s="359"/>
      <c r="F33" s="360"/>
      <c r="G33" s="360"/>
      <c r="H33" s="761"/>
      <c r="S33" s="159"/>
    </row>
    <row r="34" spans="2:19">
      <c r="B34" s="159"/>
      <c r="C34" t="s">
        <v>50</v>
      </c>
      <c r="F34" s="672" t="s">
        <v>43</v>
      </c>
      <c r="G34" s="360"/>
      <c r="H34" s="189"/>
      <c r="S34" s="159"/>
    </row>
    <row r="35" spans="2:19">
      <c r="B35" s="159"/>
      <c r="C35" s="358"/>
      <c r="E35" s="359"/>
      <c r="F35" s="360"/>
      <c r="G35" s="360"/>
      <c r="H35" s="189"/>
      <c r="S35" s="159"/>
    </row>
    <row r="36" spans="2:19">
      <c r="B36" s="159"/>
      <c r="C36" t="str">
        <f>"Manually entered current eligible population (4th line) "&amp;IF(F35="no","","(n/a)")</f>
        <v>Manually entered current eligible population (4th line) (n/a)</v>
      </c>
      <c r="F36" s="676"/>
      <c r="G36" s="549" t="str">
        <f>IF(F34="yes","Leave blue cell on left blank if NICE estimate is used","enter local value on left")</f>
        <v>Leave blue cell on left blank if NICE estimate is used</v>
      </c>
      <c r="S36" s="159"/>
    </row>
    <row r="37" spans="2:19">
      <c r="B37" s="159"/>
      <c r="G37" s="550"/>
      <c r="S37" s="159"/>
    </row>
    <row r="38" spans="2:19" ht="43.5">
      <c r="B38" s="159"/>
      <c r="C38" s="161"/>
      <c r="F38" s="235" t="s">
        <v>45</v>
      </c>
      <c r="G38" s="164" t="s">
        <v>51</v>
      </c>
      <c r="H38" s="164" t="s">
        <v>52</v>
      </c>
      <c r="I38" s="236" t="s">
        <v>53</v>
      </c>
      <c r="J38" s="164" t="s">
        <v>54</v>
      </c>
      <c r="K38" s="164" t="s">
        <v>55</v>
      </c>
      <c r="L38" s="551"/>
      <c r="M38" s="551"/>
      <c r="N38" s="551"/>
      <c r="O38" s="551"/>
      <c r="P38" s="551"/>
      <c r="Q38" s="551"/>
      <c r="S38" s="159"/>
    </row>
    <row r="39" spans="2:19">
      <c r="B39" s="159"/>
      <c r="C39" s="237" t="s">
        <v>56</v>
      </c>
      <c r="D39" s="196"/>
      <c r="E39" s="167"/>
      <c r="F39" s="207"/>
      <c r="G39" s="352">
        <f>IF(E19&lt;&gt;"",E19+100%,100%)</f>
        <v>1.0096418074639288</v>
      </c>
      <c r="H39" s="352">
        <f>IF($E$19&lt;&gt;"",G39*(100%+$E$19),100%)</f>
        <v>1.0193765793790293</v>
      </c>
      <c r="I39" s="352">
        <f>IF($E$19&lt;&gt;"",H39*(100%+$E$19),100%)</f>
        <v>1.0292052120906403</v>
      </c>
      <c r="J39" s="352">
        <f>IF($E$19&lt;&gt;"",I39*(100%+$E$19),100%)</f>
        <v>1.0391286105864903</v>
      </c>
      <c r="K39" s="352">
        <f>IF($E$19&lt;&gt;"",J39*(100%+$E$19),100%)</f>
        <v>1.0491476885800251</v>
      </c>
      <c r="L39" t="s">
        <v>57</v>
      </c>
      <c r="M39" s="547"/>
      <c r="N39" s="547"/>
      <c r="O39" s="547"/>
      <c r="P39" s="547"/>
      <c r="Q39" s="547"/>
      <c r="S39" s="159"/>
    </row>
    <row r="40" spans="2:19">
      <c r="B40" s="159"/>
      <c r="C40" s="237" t="s">
        <v>58</v>
      </c>
      <c r="D40" s="196"/>
      <c r="E40" s="167"/>
      <c r="F40" s="207"/>
      <c r="G40" s="352">
        <f>IF(E20&lt;&gt;"",E20+100%,100%)</f>
        <v>1</v>
      </c>
      <c r="H40" s="352">
        <f>IF($E$20&lt;&gt;"",G40*(100%+$E$20),100%)</f>
        <v>1</v>
      </c>
      <c r="I40" s="352">
        <f>IF($E$20&lt;&gt;"",H40*(100%+$E$20),100%)</f>
        <v>1</v>
      </c>
      <c r="J40" s="352">
        <f>IF($E$20&lt;&gt;"",I40*(100%+$E$20),100%)</f>
        <v>1</v>
      </c>
      <c r="K40" s="352">
        <f>IF($E$20&lt;&gt;"",J40*(100%+$E$20),100%)</f>
        <v>1</v>
      </c>
      <c r="L40" t="s">
        <v>57</v>
      </c>
      <c r="M40" s="547"/>
      <c r="N40" s="547"/>
      <c r="O40" s="547"/>
      <c r="P40" s="547"/>
      <c r="Q40" s="547"/>
      <c r="S40" s="159"/>
    </row>
    <row r="41" spans="2:19">
      <c r="B41" s="159"/>
      <c r="C41" s="402" t="str">
        <f>IF('Inputs and eligible population'!E17=0,"Baseline population (inflated by growth(s))","Manually entered locality population (inflated by growth(s))")</f>
        <v>Baseline population (inflated by growth(s))</v>
      </c>
      <c r="D41" s="196"/>
      <c r="E41" s="167"/>
      <c r="F41" s="128">
        <f>IF(ISBLANK(E17),G14,'Population selection'!F16)</f>
        <v>46148904.437507473</v>
      </c>
      <c r="G41" s="128">
        <f>F41*G39</f>
        <v>46593863.28876517</v>
      </c>
      <c r="H41" s="128">
        <f>F41*H39</f>
        <v>47043112.347596072</v>
      </c>
      <c r="I41" s="128">
        <f>F41*I39</f>
        <v>47496692.979355574</v>
      </c>
      <c r="J41" s="128">
        <f>F41*J39</f>
        <v>47954646.948235855</v>
      </c>
      <c r="K41" s="128">
        <f>F41*K39</f>
        <v>48417016.421111427</v>
      </c>
      <c r="M41" s="285"/>
      <c r="N41" s="285"/>
      <c r="O41" s="285"/>
      <c r="P41" s="285"/>
      <c r="Q41" s="285"/>
      <c r="S41" s="159"/>
    </row>
    <row r="42" spans="2:19">
      <c r="B42" s="159"/>
      <c r="C42" s="226" t="str">
        <f>IF(ISBLANK(#REF!),"NICE estimate (4th Line)","Eligible population, local estimate")</f>
        <v>Eligible population, local estimate</v>
      </c>
      <c r="D42" s="196"/>
      <c r="E42" s="167"/>
      <c r="F42" s="181">
        <f>IF(ISBLANK(F36),F30,F36)</f>
        <v>784.65</v>
      </c>
      <c r="G42" s="181">
        <f>$F$42*G39*G40</f>
        <v>792.21544422657178</v>
      </c>
      <c r="H42" s="181">
        <f>$F$42*H39*H40</f>
        <v>799.85383300975525</v>
      </c>
      <c r="I42" s="181">
        <f>$F$42*I39*I40</f>
        <v>807.56586966692089</v>
      </c>
      <c r="J42" s="181">
        <f>$F$42*J39*J40</f>
        <v>815.35226429668955</v>
      </c>
      <c r="K42" s="181">
        <f>$F$42*K39*K40</f>
        <v>823.21373384431661</v>
      </c>
      <c r="L42" s="169" t="str">
        <f>IF(F34="no","local estimate used","")</f>
        <v/>
      </c>
      <c r="M42" s="360"/>
      <c r="N42" s="360"/>
      <c r="O42" s="360"/>
      <c r="P42" s="360"/>
      <c r="Q42" s="360"/>
      <c r="S42" s="159"/>
    </row>
    <row r="43" spans="2:19">
      <c r="B43" s="160"/>
      <c r="C43" s="161"/>
      <c r="D43" s="161"/>
      <c r="E43" s="161"/>
      <c r="F43" s="161"/>
      <c r="G43" s="161"/>
      <c r="H43" s="161"/>
      <c r="I43" s="161"/>
      <c r="J43" s="161"/>
      <c r="K43" s="161"/>
      <c r="L43" s="161"/>
      <c r="M43" s="161"/>
      <c r="N43" s="161"/>
      <c r="O43" s="161"/>
      <c r="P43" s="161"/>
      <c r="Q43" s="161"/>
      <c r="R43" s="161"/>
      <c r="S43" s="159"/>
    </row>
    <row r="46" spans="2:19">
      <c r="B46" s="641" t="s">
        <v>59</v>
      </c>
      <c r="C46" s="330"/>
      <c r="D46" s="330"/>
      <c r="E46" s="330"/>
      <c r="F46" s="330"/>
      <c r="G46" s="330"/>
      <c r="H46" s="330"/>
      <c r="I46" s="330"/>
      <c r="J46" s="330"/>
      <c r="K46" s="330"/>
      <c r="L46" s="330"/>
      <c r="M46" s="330"/>
      <c r="N46" s="330"/>
      <c r="O46" s="330"/>
      <c r="P46" s="330"/>
      <c r="Q46" s="330"/>
      <c r="R46" s="156"/>
    </row>
    <row r="47" spans="2:19" ht="29">
      <c r="B47" s="642"/>
      <c r="C47" s="207" t="s">
        <v>61</v>
      </c>
      <c r="D47" s="212" t="s">
        <v>62</v>
      </c>
      <c r="E47" s="208"/>
      <c r="F47" s="208"/>
      <c r="G47" s="208"/>
      <c r="H47" s="209"/>
      <c r="I47" s="210" t="s">
        <v>63</v>
      </c>
      <c r="J47" s="164" t="s">
        <v>64</v>
      </c>
      <c r="K47" s="210" t="s">
        <v>65</v>
      </c>
      <c r="R47" s="158"/>
    </row>
    <row r="48" spans="2:19">
      <c r="B48" s="642"/>
      <c r="C48" s="149" t="s">
        <v>1198</v>
      </c>
      <c r="D48" s="199" t="s">
        <v>1110</v>
      </c>
      <c r="E48" s="200"/>
      <c r="F48" s="200"/>
      <c r="G48" s="200"/>
      <c r="H48" s="196"/>
      <c r="I48" s="677"/>
      <c r="J48" s="678">
        <v>0.2</v>
      </c>
      <c r="K48" s="354" t="s">
        <v>1103</v>
      </c>
      <c r="R48" s="158"/>
    </row>
    <row r="49" spans="2:18">
      <c r="B49" s="642"/>
      <c r="C49" s="149" t="s">
        <v>1198</v>
      </c>
      <c r="D49" s="199" t="s">
        <v>1111</v>
      </c>
      <c r="E49" s="200"/>
      <c r="F49" s="200"/>
      <c r="G49" s="200"/>
      <c r="H49" s="196"/>
      <c r="I49" s="677"/>
      <c r="J49" s="678">
        <v>0.2</v>
      </c>
      <c r="K49" s="354" t="s">
        <v>1103</v>
      </c>
      <c r="R49" s="158"/>
    </row>
    <row r="50" spans="2:18">
      <c r="B50" s="642"/>
      <c r="C50" s="348" t="s">
        <v>1141</v>
      </c>
      <c r="D50" s="199" t="s">
        <v>989</v>
      </c>
      <c r="E50" s="200"/>
      <c r="F50" s="200"/>
      <c r="G50" s="200"/>
      <c r="H50" s="196"/>
      <c r="I50" s="677"/>
      <c r="J50" s="678">
        <v>0.2</v>
      </c>
      <c r="K50" s="354" t="s">
        <v>1103</v>
      </c>
      <c r="L50" s="548" t="s">
        <v>1152</v>
      </c>
      <c r="M50" s="548"/>
      <c r="N50" s="548"/>
      <c r="O50" s="548"/>
      <c r="R50" s="158"/>
    </row>
    <row r="51" spans="2:18">
      <c r="B51" s="159"/>
      <c r="C51" s="348" t="s">
        <v>1141</v>
      </c>
      <c r="D51" s="199" t="s">
        <v>990</v>
      </c>
      <c r="E51" s="200"/>
      <c r="F51" s="200"/>
      <c r="G51" s="200"/>
      <c r="H51" s="196"/>
      <c r="I51" s="677"/>
      <c r="J51" s="678">
        <v>0.2</v>
      </c>
      <c r="K51" s="354" t="s">
        <v>1103</v>
      </c>
      <c r="L51" s="548" t="s">
        <v>1152</v>
      </c>
      <c r="M51" s="548"/>
      <c r="N51" s="548"/>
      <c r="O51" s="548"/>
      <c r="R51" s="158"/>
    </row>
    <row r="52" spans="2:18">
      <c r="B52" s="642"/>
      <c r="C52" s="348" t="s">
        <v>956</v>
      </c>
      <c r="D52" s="199" t="s">
        <v>957</v>
      </c>
      <c r="E52" s="200"/>
      <c r="F52" s="200"/>
      <c r="G52" s="200"/>
      <c r="H52" s="196"/>
      <c r="I52" s="677"/>
      <c r="J52" s="678">
        <v>0.2</v>
      </c>
      <c r="K52" s="354" t="s">
        <v>1103</v>
      </c>
      <c r="L52" s="548"/>
      <c r="M52" s="548"/>
      <c r="N52" s="548"/>
      <c r="O52" s="548"/>
      <c r="R52" s="158"/>
    </row>
    <row r="53" spans="2:18">
      <c r="B53" s="159"/>
      <c r="C53" s="348" t="s">
        <v>911</v>
      </c>
      <c r="D53" s="199" t="s">
        <v>953</v>
      </c>
      <c r="E53" s="200"/>
      <c r="F53" s="200"/>
      <c r="G53" s="200"/>
      <c r="H53" s="196"/>
      <c r="I53" s="677"/>
      <c r="J53" s="678">
        <v>0.2</v>
      </c>
      <c r="K53" s="354" t="s">
        <v>1103</v>
      </c>
      <c r="L53" s="548"/>
      <c r="M53" s="548"/>
      <c r="N53" s="548"/>
      <c r="O53" s="548"/>
      <c r="R53" s="158"/>
    </row>
    <row r="54" spans="2:18">
      <c r="B54" s="159"/>
      <c r="C54" s="348" t="s">
        <v>914</v>
      </c>
      <c r="D54" s="199" t="s">
        <v>955</v>
      </c>
      <c r="E54" s="200"/>
      <c r="F54" s="200"/>
      <c r="G54" s="200"/>
      <c r="H54" s="196"/>
      <c r="I54" s="739">
        <v>71.819999999999993</v>
      </c>
      <c r="J54" s="678">
        <v>0.2</v>
      </c>
      <c r="K54" s="354" t="s">
        <v>954</v>
      </c>
      <c r="L54" s="762" t="s">
        <v>1185</v>
      </c>
      <c r="M54" s="548"/>
      <c r="N54" s="548"/>
      <c r="O54" s="548"/>
      <c r="R54" s="158"/>
    </row>
    <row r="55" spans="2:18">
      <c r="B55" s="159"/>
      <c r="C55" s="348" t="s">
        <v>993</v>
      </c>
      <c r="D55" s="199" t="s">
        <v>996</v>
      </c>
      <c r="E55" s="200"/>
      <c r="F55" s="200"/>
      <c r="G55" s="200"/>
      <c r="H55" s="196"/>
      <c r="I55" s="677"/>
      <c r="J55" s="678">
        <v>0.2</v>
      </c>
      <c r="K55" s="354" t="s">
        <v>1103</v>
      </c>
      <c r="L55" s="548"/>
      <c r="M55" s="548"/>
      <c r="N55" s="548"/>
      <c r="O55" s="548"/>
      <c r="R55" s="158"/>
    </row>
    <row r="56" spans="2:18">
      <c r="B56" s="159"/>
      <c r="C56" s="348" t="s">
        <v>1097</v>
      </c>
      <c r="D56" s="199" t="s">
        <v>1102</v>
      </c>
      <c r="E56" s="200"/>
      <c r="F56" s="200"/>
      <c r="G56" s="200"/>
      <c r="H56" s="196"/>
      <c r="I56" s="677"/>
      <c r="J56" s="678">
        <v>0.2</v>
      </c>
      <c r="K56" s="354" t="s">
        <v>1103</v>
      </c>
      <c r="L56" s="548"/>
      <c r="M56" s="548"/>
      <c r="N56" s="548"/>
      <c r="O56" s="548"/>
      <c r="R56" s="158"/>
    </row>
    <row r="57" spans="2:18">
      <c r="B57" s="159"/>
      <c r="C57" s="193" t="s">
        <v>1155</v>
      </c>
      <c r="D57" s="151"/>
      <c r="E57" s="151"/>
      <c r="F57" s="151"/>
      <c r="G57" s="151"/>
      <c r="R57" s="158"/>
    </row>
    <row r="58" spans="2:18">
      <c r="B58" s="159"/>
      <c r="D58" s="151"/>
      <c r="E58" s="151"/>
      <c r="F58" s="151"/>
      <c r="G58" s="151"/>
      <c r="R58" s="158"/>
    </row>
    <row r="59" spans="2:18">
      <c r="B59" s="159"/>
      <c r="C59" s="198" t="s">
        <v>66</v>
      </c>
      <c r="D59" s="643">
        <v>78.400000000000006</v>
      </c>
      <c r="E59" s="763" t="s">
        <v>1156</v>
      </c>
      <c r="F59" s="200"/>
      <c r="G59" s="200"/>
      <c r="H59" s="167"/>
      <c r="I59" s="196"/>
      <c r="J59" s="196"/>
      <c r="K59" s="196"/>
      <c r="L59" s="196"/>
      <c r="M59" s="196"/>
      <c r="N59" s="167"/>
      <c r="R59" s="158"/>
    </row>
    <row r="60" spans="2:18" ht="16.5">
      <c r="B60" s="159"/>
      <c r="C60" s="198" t="s">
        <v>67</v>
      </c>
      <c r="D60" s="644">
        <v>1.79</v>
      </c>
      <c r="E60" s="763" t="s">
        <v>1157</v>
      </c>
      <c r="F60" s="200"/>
      <c r="G60" s="200"/>
      <c r="H60" s="196"/>
      <c r="I60" s="196"/>
      <c r="J60" s="196"/>
      <c r="K60" s="196"/>
      <c r="L60" s="196"/>
      <c r="M60" s="196"/>
      <c r="N60" s="167"/>
      <c r="R60" s="158"/>
    </row>
    <row r="61" spans="2:18">
      <c r="B61" s="159"/>
      <c r="R61" s="158"/>
    </row>
    <row r="62" spans="2:18">
      <c r="B62" s="159"/>
      <c r="C62" s="148" t="s">
        <v>1136</v>
      </c>
      <c r="R62" s="158"/>
    </row>
    <row r="63" spans="2:18">
      <c r="B63" s="159"/>
      <c r="D63" s="363" t="s">
        <v>68</v>
      </c>
      <c r="E63" s="211" t="s">
        <v>69</v>
      </c>
      <c r="F63" s="211" t="s">
        <v>70</v>
      </c>
      <c r="G63" s="211" t="s">
        <v>71</v>
      </c>
      <c r="H63" s="211" t="s">
        <v>72</v>
      </c>
      <c r="I63" s="210" t="s">
        <v>73</v>
      </c>
      <c r="J63" s="210" t="s">
        <v>74</v>
      </c>
      <c r="L63" s="211" t="s">
        <v>69</v>
      </c>
      <c r="M63" s="211" t="s">
        <v>70</v>
      </c>
      <c r="N63" s="211" t="s">
        <v>71</v>
      </c>
      <c r="O63" s="211" t="s">
        <v>72</v>
      </c>
      <c r="P63" s="210" t="s">
        <v>73</v>
      </c>
      <c r="Q63" s="210" t="s">
        <v>74</v>
      </c>
      <c r="R63" s="158"/>
    </row>
    <row r="64" spans="2:18" s="141" customFormat="1">
      <c r="B64" s="884"/>
      <c r="D64" s="355" t="s">
        <v>1199</v>
      </c>
      <c r="E64" s="885">
        <v>0</v>
      </c>
      <c r="F64" s="886">
        <v>0.2</v>
      </c>
      <c r="G64" s="887">
        <v>0.32500000000000001</v>
      </c>
      <c r="H64" s="887">
        <v>0.32500000000000001</v>
      </c>
      <c r="I64" s="887">
        <v>0.32500000000000001</v>
      </c>
      <c r="J64" s="887">
        <v>0.32500000000000001</v>
      </c>
      <c r="L64" s="888">
        <f t="shared" ref="L64:Q65" si="0">F$42*E64</f>
        <v>0</v>
      </c>
      <c r="M64" s="888">
        <f t="shared" si="0"/>
        <v>158.44308884531438</v>
      </c>
      <c r="N64" s="888">
        <f t="shared" si="0"/>
        <v>259.95249572817045</v>
      </c>
      <c r="O64" s="888">
        <f t="shared" si="0"/>
        <v>262.45890764174931</v>
      </c>
      <c r="P64" s="888">
        <f t="shared" si="0"/>
        <v>264.98948589642413</v>
      </c>
      <c r="Q64" s="888">
        <f t="shared" si="0"/>
        <v>267.54446349940292</v>
      </c>
      <c r="R64" s="889"/>
    </row>
    <row r="65" spans="2:18" s="141" customFormat="1" ht="14.5" customHeight="1">
      <c r="B65" s="884"/>
      <c r="C65" s="890"/>
      <c r="D65" s="891" t="s">
        <v>1140</v>
      </c>
      <c r="E65" s="885">
        <v>0</v>
      </c>
      <c r="F65" s="886">
        <v>0.2</v>
      </c>
      <c r="G65" s="887">
        <v>0.32500000000000001</v>
      </c>
      <c r="H65" s="887">
        <v>0.32500000000000001</v>
      </c>
      <c r="I65" s="887">
        <v>0.32500000000000001</v>
      </c>
      <c r="J65" s="887">
        <v>0.32500000000000001</v>
      </c>
      <c r="L65" s="888">
        <f t="shared" si="0"/>
        <v>0</v>
      </c>
      <c r="M65" s="888">
        <f t="shared" si="0"/>
        <v>158.44308884531438</v>
      </c>
      <c r="N65" s="888">
        <f t="shared" si="0"/>
        <v>259.95249572817045</v>
      </c>
      <c r="O65" s="888">
        <f t="shared" si="0"/>
        <v>262.45890764174931</v>
      </c>
      <c r="P65" s="888">
        <f t="shared" si="0"/>
        <v>264.98948589642413</v>
      </c>
      <c r="Q65" s="888">
        <f t="shared" si="0"/>
        <v>267.54446349940292</v>
      </c>
      <c r="R65" s="889"/>
    </row>
    <row r="66" spans="2:18" s="141" customFormat="1" ht="14.5" customHeight="1">
      <c r="B66" s="884"/>
      <c r="C66" s="906" t="s">
        <v>997</v>
      </c>
      <c r="D66" s="907"/>
      <c r="E66" s="885">
        <v>0.1</v>
      </c>
      <c r="F66" s="886">
        <v>0.1</v>
      </c>
      <c r="G66" s="886">
        <v>0.1</v>
      </c>
      <c r="H66" s="886">
        <v>0.1</v>
      </c>
      <c r="I66" s="886">
        <v>0.1</v>
      </c>
      <c r="J66" s="886">
        <v>0.1</v>
      </c>
      <c r="L66" s="888">
        <f t="shared" ref="L66:L68" si="1">F$42*E66</f>
        <v>78.465000000000003</v>
      </c>
      <c r="M66" s="888">
        <f t="shared" ref="M66:Q68" si="2">G$42*F66</f>
        <v>79.221544422657189</v>
      </c>
      <c r="N66" s="888">
        <f t="shared" si="2"/>
        <v>79.985383300975528</v>
      </c>
      <c r="O66" s="888">
        <f t="shared" si="2"/>
        <v>80.756586966692097</v>
      </c>
      <c r="P66" s="888">
        <f t="shared" si="2"/>
        <v>81.535226429668967</v>
      </c>
      <c r="Q66" s="888">
        <f t="shared" si="2"/>
        <v>82.321373384431666</v>
      </c>
      <c r="R66" s="889"/>
    </row>
    <row r="67" spans="2:18" s="141" customFormat="1">
      <c r="B67" s="884"/>
      <c r="D67" s="355" t="s">
        <v>998</v>
      </c>
      <c r="E67" s="885">
        <v>0.9</v>
      </c>
      <c r="F67" s="886">
        <v>0.5</v>
      </c>
      <c r="G67" s="886">
        <v>0.25</v>
      </c>
      <c r="H67" s="886">
        <v>0.25</v>
      </c>
      <c r="I67" s="886">
        <v>0.25</v>
      </c>
      <c r="J67" s="886">
        <v>0.25</v>
      </c>
      <c r="K67" s="892"/>
      <c r="L67" s="888">
        <f t="shared" si="1"/>
        <v>706.18499999999995</v>
      </c>
      <c r="M67" s="888">
        <f t="shared" si="2"/>
        <v>396.10772211328589</v>
      </c>
      <c r="N67" s="888">
        <f t="shared" si="2"/>
        <v>199.96345825243881</v>
      </c>
      <c r="O67" s="888">
        <f t="shared" si="2"/>
        <v>201.89146741673022</v>
      </c>
      <c r="P67" s="888">
        <f t="shared" si="2"/>
        <v>203.83806607417239</v>
      </c>
      <c r="Q67" s="888">
        <f t="shared" si="2"/>
        <v>205.80343346107915</v>
      </c>
      <c r="R67" s="889"/>
    </row>
    <row r="68" spans="2:18" s="141" customFormat="1">
      <c r="B68" s="884"/>
      <c r="D68" s="355" t="s">
        <v>1095</v>
      </c>
      <c r="E68" s="885">
        <v>0</v>
      </c>
      <c r="F68" s="885">
        <v>0</v>
      </c>
      <c r="G68" s="885">
        <v>0</v>
      </c>
      <c r="H68" s="885">
        <v>0</v>
      </c>
      <c r="I68" s="885">
        <v>0</v>
      </c>
      <c r="J68" s="885">
        <v>0</v>
      </c>
      <c r="K68" s="892"/>
      <c r="L68" s="888">
        <f t="shared" si="1"/>
        <v>0</v>
      </c>
      <c r="M68" s="888">
        <f t="shared" si="2"/>
        <v>0</v>
      </c>
      <c r="N68" s="888">
        <f t="shared" si="2"/>
        <v>0</v>
      </c>
      <c r="O68" s="888">
        <f t="shared" si="2"/>
        <v>0</v>
      </c>
      <c r="P68" s="888">
        <f t="shared" si="2"/>
        <v>0</v>
      </c>
      <c r="Q68" s="888">
        <f t="shared" si="2"/>
        <v>0</v>
      </c>
      <c r="R68" s="889"/>
    </row>
    <row r="69" spans="2:18" s="141" customFormat="1">
      <c r="B69" s="884"/>
      <c r="E69" s="893">
        <f t="shared" ref="E69:J69" si="3">SUM(E64:E68)</f>
        <v>1</v>
      </c>
      <c r="F69" s="893">
        <f t="shared" si="3"/>
        <v>1</v>
      </c>
      <c r="G69" s="893">
        <f t="shared" si="3"/>
        <v>1</v>
      </c>
      <c r="H69" s="893">
        <f t="shared" si="3"/>
        <v>1</v>
      </c>
      <c r="I69" s="893">
        <f t="shared" si="3"/>
        <v>1</v>
      </c>
      <c r="J69" s="893">
        <f t="shared" si="3"/>
        <v>1</v>
      </c>
      <c r="L69" s="894">
        <f>SUM(L64:L68)</f>
        <v>784.65</v>
      </c>
      <c r="M69" s="894">
        <f t="shared" ref="M69:Q69" si="4">SUM(M64:M68)</f>
        <v>792.21544422657189</v>
      </c>
      <c r="N69" s="894">
        <f t="shared" si="4"/>
        <v>799.85383300975525</v>
      </c>
      <c r="O69" s="894">
        <f t="shared" si="4"/>
        <v>807.56586966692089</v>
      </c>
      <c r="P69" s="894">
        <f t="shared" si="4"/>
        <v>815.35226429668967</v>
      </c>
      <c r="Q69" s="894">
        <f t="shared" si="4"/>
        <v>823.21373384431672</v>
      </c>
      <c r="R69" s="889"/>
    </row>
    <row r="70" spans="2:18" ht="16.149999999999999" customHeight="1">
      <c r="B70" s="160"/>
      <c r="C70" s="161" t="s">
        <v>1184</v>
      </c>
      <c r="D70" s="161"/>
      <c r="E70" s="161"/>
      <c r="F70" s="161"/>
      <c r="G70" s="161"/>
      <c r="H70" s="161"/>
      <c r="I70" s="161"/>
      <c r="J70" s="161"/>
      <c r="K70" s="161"/>
      <c r="L70" s="161"/>
      <c r="M70" s="161"/>
      <c r="N70" s="161"/>
      <c r="O70" s="161"/>
      <c r="P70" s="161"/>
      <c r="Q70" s="161"/>
      <c r="R70" s="162"/>
    </row>
    <row r="71" spans="2:18">
      <c r="B71" s="330"/>
    </row>
    <row r="72" spans="2:18">
      <c r="B72" s="161"/>
      <c r="D72" s="161"/>
      <c r="E72" s="161"/>
      <c r="F72" s="161"/>
      <c r="G72" s="161"/>
      <c r="H72" s="161"/>
      <c r="I72" s="161"/>
      <c r="J72" s="161"/>
      <c r="K72" s="161"/>
      <c r="L72" s="161"/>
      <c r="M72" s="161"/>
      <c r="N72" s="161"/>
      <c r="O72" s="161"/>
    </row>
    <row r="73" spans="2:18">
      <c r="B73" s="155" t="s">
        <v>75</v>
      </c>
      <c r="C73" s="330"/>
      <c r="P73" s="330"/>
      <c r="Q73" s="330"/>
      <c r="R73" s="156"/>
    </row>
    <row r="74" spans="2:18">
      <c r="B74" s="159" t="s">
        <v>76</v>
      </c>
      <c r="R74" s="158"/>
    </row>
    <row r="75" spans="2:18">
      <c r="B75" s="159" t="s">
        <v>77</v>
      </c>
      <c r="R75" s="158"/>
    </row>
    <row r="76" spans="2:18">
      <c r="B76" s="159"/>
      <c r="C76" s="355"/>
      <c r="D76" s="213"/>
      <c r="E76" s="213"/>
      <c r="F76" s="692"/>
      <c r="G76" s="693"/>
      <c r="H76" s="693"/>
      <c r="I76" s="551"/>
      <c r="R76" s="158"/>
    </row>
    <row r="77" spans="2:18" ht="116.65" customHeight="1">
      <c r="B77" s="159"/>
      <c r="C77" s="411" t="s">
        <v>78</v>
      </c>
      <c r="D77" s="411" t="s">
        <v>79</v>
      </c>
      <c r="E77" s="411" t="s">
        <v>80</v>
      </c>
      <c r="F77" s="411" t="s">
        <v>1120</v>
      </c>
      <c r="G77" s="411" t="s">
        <v>1121</v>
      </c>
      <c r="H77" s="411" t="s">
        <v>1122</v>
      </c>
      <c r="I77" s="411" t="s">
        <v>1123</v>
      </c>
      <c r="J77" s="411" t="s">
        <v>1124</v>
      </c>
      <c r="L77" s="411" t="s">
        <v>81</v>
      </c>
      <c r="M77" s="411" t="s">
        <v>82</v>
      </c>
      <c r="R77" s="158"/>
    </row>
    <row r="78" spans="2:18" ht="29" hidden="1">
      <c r="B78" s="159"/>
      <c r="C78" s="413" t="s">
        <v>958</v>
      </c>
      <c r="D78" s="164" t="s">
        <v>83</v>
      </c>
      <c r="E78" s="164" t="s">
        <v>959</v>
      </c>
      <c r="F78" s="164"/>
      <c r="G78" s="645"/>
      <c r="H78" s="645"/>
      <c r="I78" s="645"/>
      <c r="J78" s="645"/>
      <c r="L78" s="207"/>
      <c r="M78" s="207"/>
      <c r="R78" s="158"/>
    </row>
    <row r="79" spans="2:18" ht="43.5" hidden="1">
      <c r="B79" s="159"/>
      <c r="C79" s="413" t="s">
        <v>958</v>
      </c>
      <c r="D79" s="164" t="s">
        <v>83</v>
      </c>
      <c r="E79" s="164" t="s">
        <v>828</v>
      </c>
      <c r="F79" s="164"/>
      <c r="G79" s="645"/>
      <c r="H79" s="645"/>
      <c r="I79" s="645"/>
      <c r="J79" s="645"/>
      <c r="L79" s="711" t="s">
        <v>98</v>
      </c>
      <c r="M79" s="712" t="e">
        <f>VLOOKUP(L79,#REF!,4,0)</f>
        <v>#REF!</v>
      </c>
      <c r="R79" s="158"/>
    </row>
    <row r="80" spans="2:18" ht="29">
      <c r="B80" s="159"/>
      <c r="C80" s="413" t="s">
        <v>958</v>
      </c>
      <c r="D80" s="164" t="s">
        <v>85</v>
      </c>
      <c r="E80" s="164" t="s">
        <v>959</v>
      </c>
      <c r="F80" s="645">
        <f>0.23*52</f>
        <v>11.96</v>
      </c>
      <c r="G80" s="645">
        <f>0.23*52</f>
        <v>11.96</v>
      </c>
      <c r="H80" s="645">
        <f t="shared" ref="H80:J80" si="5">0.23*52</f>
        <v>11.96</v>
      </c>
      <c r="I80" s="645">
        <f t="shared" si="5"/>
        <v>11.96</v>
      </c>
      <c r="J80" s="645">
        <f t="shared" si="5"/>
        <v>11.96</v>
      </c>
      <c r="L80" s="207"/>
      <c r="M80" s="207"/>
      <c r="R80" s="158"/>
    </row>
    <row r="81" spans="2:18" ht="43.5">
      <c r="B81" s="159"/>
      <c r="C81" s="413" t="s">
        <v>958</v>
      </c>
      <c r="D81" s="164" t="s">
        <v>85</v>
      </c>
      <c r="E81" s="164" t="s">
        <v>828</v>
      </c>
      <c r="F81" s="645">
        <v>20</v>
      </c>
      <c r="G81" s="645">
        <v>20</v>
      </c>
      <c r="H81" s="645">
        <v>20</v>
      </c>
      <c r="I81" s="645">
        <v>20</v>
      </c>
      <c r="J81" s="645">
        <v>20</v>
      </c>
      <c r="L81" s="713" t="s">
        <v>98</v>
      </c>
      <c r="M81" s="679">
        <f>VLOOKUP(L81,payscales!$B$12:$M$47,10,0)</f>
        <v>121.08</v>
      </c>
      <c r="R81" s="158"/>
    </row>
    <row r="82" spans="2:18" ht="30.65" customHeight="1">
      <c r="B82" s="159"/>
      <c r="C82" s="413" t="s">
        <v>1021</v>
      </c>
      <c r="D82" s="164" t="s">
        <v>1016</v>
      </c>
      <c r="E82" s="164" t="s">
        <v>84</v>
      </c>
      <c r="F82" s="645">
        <v>5</v>
      </c>
      <c r="G82" s="645">
        <v>5</v>
      </c>
      <c r="H82" s="645">
        <v>0</v>
      </c>
      <c r="I82" s="645">
        <v>0</v>
      </c>
      <c r="J82" s="645">
        <v>0</v>
      </c>
      <c r="L82" s="207"/>
      <c r="M82" s="207"/>
      <c r="R82" s="158"/>
    </row>
    <row r="83" spans="2:18" ht="30.65" customHeight="1">
      <c r="B83" s="159"/>
      <c r="C83" s="409" t="s">
        <v>86</v>
      </c>
      <c r="D83" s="715" t="s">
        <v>87</v>
      </c>
      <c r="E83" s="715" t="s">
        <v>84</v>
      </c>
      <c r="F83" s="644">
        <v>10</v>
      </c>
      <c r="G83" s="644">
        <v>10</v>
      </c>
      <c r="H83" s="644">
        <v>10</v>
      </c>
      <c r="I83" s="644">
        <v>0</v>
      </c>
      <c r="J83" s="644">
        <v>10</v>
      </c>
      <c r="L83" s="713" t="s">
        <v>88</v>
      </c>
      <c r="M83" s="679">
        <f>VLOOKUP(L83,payscales!$B$12:$M$47,10,0)</f>
        <v>42.15</v>
      </c>
      <c r="R83" s="158"/>
    </row>
    <row r="84" spans="2:18" ht="43.5">
      <c r="B84" s="159"/>
      <c r="C84" s="409" t="s">
        <v>86</v>
      </c>
      <c r="D84" s="164" t="s">
        <v>89</v>
      </c>
      <c r="E84" s="164" t="s">
        <v>84</v>
      </c>
      <c r="F84" s="644">
        <v>15</v>
      </c>
      <c r="G84" s="644">
        <v>15</v>
      </c>
      <c r="H84" s="644">
        <v>15</v>
      </c>
      <c r="I84" s="644">
        <v>0</v>
      </c>
      <c r="J84" s="644">
        <v>15</v>
      </c>
      <c r="L84" s="713" t="s">
        <v>88</v>
      </c>
      <c r="M84" s="679">
        <f>VLOOKUP(L84,payscales!$B$12:$M$47,10,0)</f>
        <v>42.15</v>
      </c>
      <c r="R84" s="158"/>
    </row>
    <row r="85" spans="2:18" ht="29">
      <c r="B85" s="159"/>
      <c r="C85" s="409" t="s">
        <v>86</v>
      </c>
      <c r="D85" s="164" t="s">
        <v>90</v>
      </c>
      <c r="E85" s="164" t="s">
        <v>84</v>
      </c>
      <c r="F85" s="644">
        <v>15</v>
      </c>
      <c r="G85" s="644">
        <v>15</v>
      </c>
      <c r="H85" s="644">
        <v>15</v>
      </c>
      <c r="I85" s="644">
        <v>0</v>
      </c>
      <c r="J85" s="644">
        <v>15</v>
      </c>
      <c r="L85" s="713" t="s">
        <v>88</v>
      </c>
      <c r="M85" s="679">
        <f>VLOOKUP(L85,payscales!$B$12:$M$47,10,0)</f>
        <v>42.15</v>
      </c>
      <c r="R85" s="158"/>
    </row>
    <row r="86" spans="2:18" ht="43.5" hidden="1">
      <c r="B86" s="159"/>
      <c r="C86" s="410" t="s">
        <v>92</v>
      </c>
      <c r="D86" s="164" t="s">
        <v>93</v>
      </c>
      <c r="E86" s="164" t="s">
        <v>84</v>
      </c>
      <c r="F86" s="713"/>
      <c r="G86" s="644">
        <v>0</v>
      </c>
      <c r="H86" s="644">
        <v>0</v>
      </c>
      <c r="I86" s="644">
        <v>0</v>
      </c>
      <c r="J86" s="644"/>
      <c r="L86" s="210"/>
      <c r="M86" s="210"/>
      <c r="R86" s="158"/>
    </row>
    <row r="87" spans="2:18" ht="43.5" hidden="1">
      <c r="B87" s="159"/>
      <c r="C87" s="410" t="s">
        <v>92</v>
      </c>
      <c r="D87" s="236" t="s">
        <v>94</v>
      </c>
      <c r="E87" s="164" t="s">
        <v>84</v>
      </c>
      <c r="F87" s="713"/>
      <c r="G87" s="644">
        <v>0</v>
      </c>
      <c r="H87" s="644">
        <v>0</v>
      </c>
      <c r="I87" s="644">
        <v>0</v>
      </c>
      <c r="J87" s="644"/>
      <c r="L87" s="210"/>
      <c r="M87" s="210"/>
      <c r="R87" s="158"/>
    </row>
    <row r="88" spans="2:18" ht="43.5" hidden="1">
      <c r="B88" s="159"/>
      <c r="C88" s="410" t="s">
        <v>92</v>
      </c>
      <c r="D88" s="164" t="s">
        <v>93</v>
      </c>
      <c r="E88" s="164" t="s">
        <v>95</v>
      </c>
      <c r="F88" s="713"/>
      <c r="G88" s="644">
        <v>0</v>
      </c>
      <c r="H88" s="644">
        <v>0</v>
      </c>
      <c r="I88" s="644">
        <v>0</v>
      </c>
      <c r="J88" s="644"/>
      <c r="L88" s="714" t="s">
        <v>88</v>
      </c>
      <c r="M88" s="291" t="e">
        <f>VLOOKUP(L88,#REF!,4,0)</f>
        <v>#REF!</v>
      </c>
      <c r="R88" s="158"/>
    </row>
    <row r="89" spans="2:18" ht="43.5" hidden="1">
      <c r="B89" s="159"/>
      <c r="C89" s="410" t="s">
        <v>92</v>
      </c>
      <c r="D89" s="236" t="s">
        <v>94</v>
      </c>
      <c r="E89" s="164" t="s">
        <v>95</v>
      </c>
      <c r="F89" s="713"/>
      <c r="G89" s="644">
        <v>0</v>
      </c>
      <c r="H89" s="644">
        <v>0</v>
      </c>
      <c r="I89" s="644">
        <v>0</v>
      </c>
      <c r="J89" s="644"/>
      <c r="L89" s="714" t="s">
        <v>88</v>
      </c>
      <c r="M89" s="291" t="e">
        <f>VLOOKUP(L89,#REF!,4,0)</f>
        <v>#REF!</v>
      </c>
      <c r="R89" s="158"/>
    </row>
    <row r="90" spans="2:18" ht="29" hidden="1">
      <c r="B90" s="159"/>
      <c r="C90" s="410" t="s">
        <v>92</v>
      </c>
      <c r="D90" s="164" t="s">
        <v>96</v>
      </c>
      <c r="E90" s="164" t="s">
        <v>84</v>
      </c>
      <c r="F90" s="713"/>
      <c r="G90" s="644">
        <v>0</v>
      </c>
      <c r="H90" s="644">
        <v>0</v>
      </c>
      <c r="I90" s="644">
        <v>0</v>
      </c>
      <c r="J90" s="644"/>
      <c r="L90" s="714" t="s">
        <v>97</v>
      </c>
      <c r="M90" s="291" t="e">
        <f>VLOOKUP(L90,#REF!,4,0)</f>
        <v>#REF!</v>
      </c>
      <c r="R90" s="158"/>
    </row>
    <row r="91" spans="2:18" ht="29">
      <c r="B91" s="159"/>
      <c r="C91" s="412" t="s">
        <v>99</v>
      </c>
      <c r="D91" s="164" t="s">
        <v>100</v>
      </c>
      <c r="E91" s="164" t="s">
        <v>979</v>
      </c>
      <c r="F91" s="713"/>
      <c r="G91" s="644"/>
      <c r="H91" s="644"/>
      <c r="I91" s="644"/>
      <c r="J91" s="644"/>
      <c r="L91" s="207"/>
      <c r="M91" s="207"/>
      <c r="R91" s="158"/>
    </row>
    <row r="92" spans="2:18" ht="43.5">
      <c r="B92" s="159"/>
      <c r="C92" s="412" t="s">
        <v>99</v>
      </c>
      <c r="D92" s="164" t="s">
        <v>100</v>
      </c>
      <c r="E92" s="164" t="s">
        <v>828</v>
      </c>
      <c r="F92" s="713"/>
      <c r="G92" s="644"/>
      <c r="H92" s="644"/>
      <c r="I92" s="644"/>
      <c r="J92" s="644"/>
      <c r="L92" s="713" t="s">
        <v>98</v>
      </c>
      <c r="M92" s="679">
        <f>VLOOKUP(L92,payscales!$B$12:$M$47,10,0)</f>
        <v>121.08</v>
      </c>
      <c r="R92" s="158"/>
    </row>
    <row r="93" spans="2:18" ht="29">
      <c r="B93" s="159"/>
      <c r="C93" s="414" t="s">
        <v>101</v>
      </c>
      <c r="D93" s="164" t="s">
        <v>960</v>
      </c>
      <c r="E93" s="164" t="s">
        <v>979</v>
      </c>
      <c r="F93" s="882">
        <f>0.21*('Unit costs'!K11*'Unit costs'!J11)</f>
        <v>7.14</v>
      </c>
      <c r="G93" s="645">
        <f>0.23*(('Unit costs'!K16)+('Unit costs'!K18*4))</f>
        <v>5.29</v>
      </c>
      <c r="H93" s="645">
        <f>0.23*('Unit costs'!K24*4)</f>
        <v>6.44</v>
      </c>
      <c r="I93" s="645">
        <f>0.23*('Unit costs'!K29*4)</f>
        <v>3.68</v>
      </c>
      <c r="J93" s="645">
        <v>0</v>
      </c>
      <c r="L93" s="207"/>
      <c r="M93" s="207"/>
      <c r="R93" s="158"/>
    </row>
    <row r="94" spans="2:18" ht="29">
      <c r="B94" s="159"/>
      <c r="C94" s="414" t="s">
        <v>101</v>
      </c>
      <c r="D94" s="164" t="s">
        <v>960</v>
      </c>
      <c r="E94" s="164" t="s">
        <v>827</v>
      </c>
      <c r="F94" s="883"/>
      <c r="G94" s="644"/>
      <c r="H94" s="644"/>
      <c r="I94" s="644"/>
      <c r="J94" s="644"/>
      <c r="L94" s="713" t="s">
        <v>88</v>
      </c>
      <c r="M94" s="679">
        <f>VLOOKUP(L94,payscales!$B$12:$M$47,10,0)</f>
        <v>42.15</v>
      </c>
      <c r="R94" s="158"/>
    </row>
    <row r="95" spans="2:18" ht="29">
      <c r="B95" s="159"/>
      <c r="C95" s="414" t="s">
        <v>101</v>
      </c>
      <c r="D95" s="164" t="s">
        <v>948</v>
      </c>
      <c r="E95" s="164" t="s">
        <v>979</v>
      </c>
      <c r="F95" s="882">
        <f>0.19*('Unit costs'!K11*'Unit costs'!J11)</f>
        <v>6.46</v>
      </c>
      <c r="G95" s="645">
        <f>0.23*(('Unit costs'!K16)+('Unit costs'!K18*4))</f>
        <v>5.29</v>
      </c>
      <c r="H95" s="645">
        <f>0.23*('Unit costs'!K24*4)</f>
        <v>6.44</v>
      </c>
      <c r="I95" s="645">
        <f>0.23*('Unit costs'!K29*4)</f>
        <v>3.68</v>
      </c>
      <c r="J95" s="645">
        <v>0</v>
      </c>
      <c r="L95" s="207"/>
      <c r="M95" s="207"/>
      <c r="R95" s="158"/>
    </row>
    <row r="96" spans="2:18" ht="29">
      <c r="B96" s="159"/>
      <c r="C96" s="414" t="s">
        <v>101</v>
      </c>
      <c r="D96" s="164" t="s">
        <v>948</v>
      </c>
      <c r="E96" s="164" t="s">
        <v>827</v>
      </c>
      <c r="F96" s="713"/>
      <c r="G96" s="644"/>
      <c r="H96" s="644"/>
      <c r="I96" s="644"/>
      <c r="J96" s="644"/>
      <c r="L96" s="713" t="s">
        <v>102</v>
      </c>
      <c r="M96" s="679">
        <f>VLOOKUP(L96,payscales!$B$12:$M$47,10,0)</f>
        <v>34.07</v>
      </c>
      <c r="R96" s="158"/>
    </row>
    <row r="97" spans="2:18" ht="29">
      <c r="B97" s="159"/>
      <c r="C97" s="362" t="s">
        <v>103</v>
      </c>
      <c r="D97" s="362" t="s">
        <v>104</v>
      </c>
      <c r="E97" s="164" t="s">
        <v>979</v>
      </c>
      <c r="F97" s="690" t="s">
        <v>961</v>
      </c>
      <c r="G97" s="690" t="s">
        <v>961</v>
      </c>
      <c r="H97" s="690" t="s">
        <v>961</v>
      </c>
      <c r="I97" s="690" t="s">
        <v>961</v>
      </c>
      <c r="J97" s="690" t="s">
        <v>961</v>
      </c>
      <c r="L97" s="210"/>
      <c r="M97" s="207"/>
      <c r="R97" s="158"/>
    </row>
    <row r="98" spans="2:18">
      <c r="B98" s="159"/>
      <c r="C98" s="355"/>
      <c r="D98" s="213"/>
      <c r="E98" s="213"/>
      <c r="F98" s="213"/>
      <c r="R98" s="158"/>
    </row>
    <row r="99" spans="2:18">
      <c r="B99" s="159"/>
      <c r="C99" s="197" t="s">
        <v>105</v>
      </c>
      <c r="D99" s="151"/>
      <c r="R99" s="158"/>
    </row>
    <row r="100" spans="2:18">
      <c r="B100" s="159"/>
      <c r="C100" t="s">
        <v>962</v>
      </c>
      <c r="D100" s="151"/>
      <c r="R100" s="158"/>
    </row>
    <row r="101" spans="2:18">
      <c r="B101" s="159"/>
      <c r="C101" t="s">
        <v>999</v>
      </c>
      <c r="D101" s="151"/>
      <c r="R101" s="158"/>
    </row>
    <row r="102" spans="2:18">
      <c r="B102" s="159"/>
      <c r="C102" s="484" t="s">
        <v>1150</v>
      </c>
      <c r="D102" s="151"/>
      <c r="R102" s="158"/>
    </row>
    <row r="103" spans="2:18">
      <c r="B103" s="159"/>
      <c r="C103" t="s">
        <v>973</v>
      </c>
      <c r="D103" s="151"/>
      <c r="R103" s="158"/>
    </row>
    <row r="104" spans="2:18">
      <c r="B104" s="159"/>
      <c r="C104" s="213" t="s">
        <v>106</v>
      </c>
      <c r="D104" s="151"/>
      <c r="R104" s="158"/>
    </row>
    <row r="105" spans="2:18">
      <c r="B105" s="160"/>
      <c r="C105" s="161"/>
      <c r="D105" s="163"/>
      <c r="E105" s="163"/>
      <c r="F105" s="163"/>
      <c r="G105" s="163"/>
      <c r="H105" s="161"/>
      <c r="I105" s="161"/>
      <c r="J105" s="161"/>
      <c r="K105" s="161"/>
      <c r="L105" s="161"/>
      <c r="M105" s="161"/>
      <c r="N105" s="161"/>
      <c r="O105" s="161"/>
      <c r="P105" s="161"/>
      <c r="Q105" s="161"/>
      <c r="R105" s="162"/>
    </row>
    <row r="106" spans="2:18">
      <c r="D106" s="151"/>
      <c r="E106" s="151"/>
      <c r="F106" s="151"/>
      <c r="G106" s="151"/>
    </row>
    <row r="107" spans="2:18">
      <c r="B107" s="405" t="s">
        <v>107</v>
      </c>
      <c r="C107" s="404"/>
      <c r="D107" s="404"/>
      <c r="E107" s="404"/>
      <c r="F107" s="404"/>
      <c r="G107" s="404"/>
      <c r="H107" s="404"/>
      <c r="I107" s="404"/>
      <c r="J107" s="404"/>
      <c r="K107" s="404"/>
      <c r="L107" s="404"/>
      <c r="M107" s="404"/>
      <c r="N107" s="404"/>
      <c r="O107" s="404"/>
      <c r="P107" s="404"/>
      <c r="Q107" s="228"/>
    </row>
    <row r="108" spans="2:18">
      <c r="B108" s="232"/>
      <c r="C108" s="225"/>
      <c r="D108" s="225"/>
      <c r="E108" s="225"/>
      <c r="F108" s="225"/>
      <c r="G108" s="225"/>
      <c r="H108" s="225"/>
      <c r="I108" s="225"/>
      <c r="J108" s="225"/>
      <c r="K108" s="225"/>
      <c r="L108" s="225"/>
      <c r="M108" s="225"/>
      <c r="N108" s="225"/>
      <c r="O108" s="225"/>
      <c r="P108" s="225"/>
      <c r="Q108" s="233"/>
    </row>
    <row r="109" spans="2:18">
      <c r="B109" s="232"/>
      <c r="C109" s="646" t="s">
        <v>963</v>
      </c>
      <c r="D109" s="225"/>
      <c r="E109" s="225"/>
      <c r="F109" s="225"/>
      <c r="G109" s="225"/>
      <c r="H109" s="225"/>
      <c r="I109" s="225"/>
      <c r="J109" s="225"/>
      <c r="K109" s="225"/>
      <c r="L109" s="225"/>
      <c r="M109" s="225"/>
      <c r="N109" s="225"/>
      <c r="O109" s="225"/>
      <c r="P109" s="225"/>
      <c r="Q109" s="233"/>
    </row>
    <row r="110" spans="2:18">
      <c r="B110" s="232"/>
      <c r="C110" s="647" t="s">
        <v>964</v>
      </c>
      <c r="D110" s="225"/>
      <c r="E110" s="225"/>
      <c r="F110" s="225"/>
      <c r="G110" s="225"/>
      <c r="H110" s="225"/>
      <c r="I110" s="225"/>
      <c r="J110" s="225"/>
      <c r="K110" s="225"/>
      <c r="L110" s="225"/>
      <c r="M110" s="225"/>
      <c r="N110" s="225"/>
      <c r="O110" s="225"/>
      <c r="P110" s="225"/>
      <c r="Q110" s="233"/>
    </row>
    <row r="111" spans="2:18">
      <c r="B111" s="232"/>
      <c r="C111" s="648" t="s">
        <v>965</v>
      </c>
      <c r="D111" s="225"/>
      <c r="E111" s="225"/>
      <c r="F111" s="225"/>
      <c r="G111" s="225"/>
      <c r="H111" s="225"/>
      <c r="I111" s="225"/>
      <c r="J111" s="225"/>
      <c r="K111" s="225"/>
      <c r="L111" s="225"/>
      <c r="M111" s="225"/>
      <c r="N111" s="225"/>
      <c r="O111" s="225"/>
      <c r="P111" s="225"/>
      <c r="Q111" s="233"/>
    </row>
    <row r="112" spans="2:18">
      <c r="B112" s="232"/>
      <c r="C112" s="646" t="s">
        <v>966</v>
      </c>
      <c r="D112" s="225"/>
      <c r="E112" s="225"/>
      <c r="F112" s="225"/>
      <c r="G112" s="225"/>
      <c r="H112" s="225"/>
      <c r="I112" s="225"/>
      <c r="J112" s="225"/>
      <c r="K112" s="225"/>
      <c r="L112" s="225"/>
      <c r="M112" s="225"/>
      <c r="N112" s="225"/>
      <c r="O112" s="225"/>
      <c r="P112" s="225"/>
      <c r="Q112" s="233"/>
    </row>
    <row r="113" spans="2:17">
      <c r="B113" s="232"/>
      <c r="C113" s="648"/>
      <c r="D113" s="225"/>
      <c r="E113" s="225"/>
      <c r="F113" s="225"/>
      <c r="G113" s="225"/>
      <c r="H113" s="225"/>
      <c r="I113" s="225"/>
      <c r="J113" s="225"/>
      <c r="K113" s="225"/>
      <c r="L113" s="225"/>
      <c r="M113" s="225"/>
      <c r="N113" s="225"/>
      <c r="O113" s="225"/>
      <c r="P113" s="225"/>
      <c r="Q113" s="233"/>
    </row>
    <row r="114" spans="2:17">
      <c r="B114" s="232"/>
      <c r="C114" s="649" t="s">
        <v>967</v>
      </c>
      <c r="D114" s="225"/>
      <c r="E114" s="225"/>
      <c r="F114" s="225"/>
      <c r="G114" s="225"/>
      <c r="H114" s="225"/>
      <c r="I114" s="225"/>
      <c r="J114" s="225"/>
      <c r="K114" s="225"/>
      <c r="L114" s="225"/>
      <c r="M114" s="225"/>
      <c r="N114" s="225"/>
      <c r="O114" s="225"/>
      <c r="P114" s="225"/>
      <c r="Q114" s="233"/>
    </row>
    <row r="115" spans="2:17">
      <c r="B115" s="232"/>
      <c r="C115" s="648" t="s">
        <v>968</v>
      </c>
      <c r="D115" s="225"/>
      <c r="E115" s="225"/>
      <c r="F115" s="225"/>
      <c r="G115" s="225"/>
      <c r="H115" s="225"/>
      <c r="I115" s="225"/>
      <c r="J115" s="225"/>
      <c r="K115" s="225"/>
      <c r="L115" s="225"/>
      <c r="M115" s="225"/>
      <c r="N115" s="225"/>
      <c r="O115" s="225"/>
      <c r="P115" s="225"/>
      <c r="Q115" s="233"/>
    </row>
    <row r="116" spans="2:17">
      <c r="B116" s="232"/>
      <c r="C116" s="650"/>
      <c r="D116" s="225"/>
      <c r="E116" s="225"/>
      <c r="F116" s="225"/>
      <c r="G116" s="225"/>
      <c r="H116" s="225"/>
      <c r="I116" s="225"/>
      <c r="J116" s="225"/>
      <c r="K116" s="225"/>
      <c r="L116" s="225"/>
      <c r="M116" s="225"/>
      <c r="N116" s="225"/>
      <c r="O116" s="225"/>
      <c r="P116" s="225"/>
      <c r="Q116" s="233"/>
    </row>
    <row r="117" spans="2:17">
      <c r="B117" s="232"/>
      <c r="C117" s="651" t="s">
        <v>969</v>
      </c>
      <c r="D117" s="225"/>
      <c r="E117" s="225"/>
      <c r="F117" s="225"/>
      <c r="G117" s="225"/>
      <c r="H117" s="225"/>
      <c r="I117" s="225"/>
      <c r="J117" s="225"/>
      <c r="K117" s="225"/>
      <c r="L117" s="225"/>
      <c r="M117" s="225"/>
      <c r="N117" s="225"/>
      <c r="O117" s="225"/>
      <c r="P117" s="225"/>
      <c r="Q117" s="233"/>
    </row>
    <row r="118" spans="2:17">
      <c r="B118" s="232"/>
      <c r="C118" s="652" t="s">
        <v>970</v>
      </c>
      <c r="D118" s="225"/>
      <c r="E118" s="225"/>
      <c r="F118" s="225"/>
      <c r="G118" s="225"/>
      <c r="H118" s="225"/>
      <c r="I118" s="225"/>
      <c r="J118" s="225"/>
      <c r="K118" s="225"/>
      <c r="L118" s="225"/>
      <c r="M118" s="225"/>
      <c r="N118" s="225"/>
      <c r="O118" s="225"/>
      <c r="P118" s="225"/>
      <c r="Q118" s="233"/>
    </row>
    <row r="119" spans="2:17">
      <c r="B119" s="232"/>
      <c r="C119" s="653"/>
      <c r="D119" s="225"/>
      <c r="E119" s="225"/>
      <c r="F119" s="225"/>
      <c r="G119" s="225"/>
      <c r="H119" s="225"/>
      <c r="I119" s="225"/>
      <c r="J119" s="225"/>
      <c r="K119" s="225"/>
      <c r="L119" s="225"/>
      <c r="M119" s="225"/>
      <c r="N119" s="225"/>
      <c r="O119" s="225"/>
      <c r="P119" s="225"/>
      <c r="Q119" s="233"/>
    </row>
    <row r="120" spans="2:17">
      <c r="B120" s="232"/>
      <c r="C120" s="654" t="s">
        <v>971</v>
      </c>
      <c r="D120" s="225"/>
      <c r="E120" s="225"/>
      <c r="F120" s="225"/>
      <c r="G120" s="225"/>
      <c r="H120" s="225"/>
      <c r="I120" s="225"/>
      <c r="J120" s="225"/>
      <c r="K120" s="225"/>
      <c r="L120" s="225"/>
      <c r="M120" s="225"/>
      <c r="N120" s="225"/>
      <c r="O120" s="225"/>
      <c r="P120" s="225"/>
      <c r="Q120" s="233"/>
    </row>
    <row r="121" spans="2:17">
      <c r="B121" s="232"/>
      <c r="C121" s="648" t="s">
        <v>972</v>
      </c>
      <c r="D121" s="225"/>
      <c r="E121" s="225"/>
      <c r="F121" s="225"/>
      <c r="G121" s="225"/>
      <c r="H121" s="225"/>
      <c r="I121" s="225"/>
      <c r="J121" s="225"/>
      <c r="K121" s="225"/>
      <c r="L121" s="225"/>
      <c r="M121" s="225"/>
      <c r="N121" s="225"/>
      <c r="O121" s="225"/>
      <c r="P121" s="225"/>
      <c r="Q121" s="233"/>
    </row>
    <row r="122" spans="2:17">
      <c r="B122" s="230"/>
      <c r="C122" s="234"/>
      <c r="D122" s="229"/>
      <c r="E122" s="229"/>
      <c r="F122" s="229"/>
      <c r="G122" s="229"/>
      <c r="H122" s="229"/>
      <c r="I122" s="229"/>
      <c r="J122" s="229"/>
      <c r="K122" s="229"/>
      <c r="L122" s="229"/>
      <c r="M122" s="229"/>
      <c r="N122" s="229"/>
      <c r="O122" s="229"/>
      <c r="P122" s="229"/>
      <c r="Q122" s="231"/>
    </row>
  </sheetData>
  <sheetProtection algorithmName="SHA-512" hashValue="tXSlGMrbj+R5ghb09xsgwqA6zsTTYSa3wx2RvtqlhkrMWhRdeUP/gTCDYRvKiAyHqhbG/CuHN3LivSaeJvud9Q==" saltValue="2ickudUwoCGXLDzJiBjyDA==" spinCount="100000" sheet="1" objects="1" scenarios="1"/>
  <protectedRanges>
    <protectedRange sqref="E11:E13 E15 E17 E19:E20 F34 G31:G35 E31:F33 E35:F35 G37" name="Range1"/>
    <protectedRange sqref="E29:G30 E27:G27" name="Range2"/>
    <protectedRange sqref="E28:G28" name="Range2_1"/>
    <protectedRange sqref="F36" name="Range2_2"/>
    <protectedRange sqref="G98:H98 G76 I76 G93:J96 F80:F85 G78:J91" name="Range1_1"/>
    <protectedRange sqref="D59:D60" name="Range1_1_1"/>
    <protectedRange sqref="I54:J54 I53 I56:J56 I48:J51" name="Range1_4_1"/>
    <protectedRange sqref="I55:J55 I52:J52 J53" name="Range1_4_1_1"/>
    <protectedRange sqref="E65:J68" name="Range1_1_1_1"/>
    <protectedRange sqref="L64:Q68" name="Range1_2"/>
  </protectedRanges>
  <mergeCells count="2">
    <mergeCell ref="C66:D66"/>
    <mergeCell ref="H27:R27"/>
  </mergeCells>
  <phoneticPr fontId="43" type="noConversion"/>
  <conditionalFormatting sqref="G12:G14">
    <cfRule type="cellIs" dxfId="0" priority="1" operator="equal">
      <formula>0</formula>
    </cfRule>
  </conditionalFormatting>
  <dataValidations count="2">
    <dataValidation type="list" allowBlank="1" showInputMessage="1" showErrorMessage="1" sqref="E11" xr:uid="{A1309421-97D1-407A-BD55-015169719BCD}">
      <formula1>ORGTYPE</formula1>
    </dataValidation>
    <dataValidation type="list" allowBlank="1" showInputMessage="1" showErrorMessage="1" sqref="L79 L94 L92 L96 L81 L83:L85" xr:uid="{CE677D1D-7939-422A-BA90-14DBD19EBA79}">
      <formula1>#REF!</formula1>
    </dataValidation>
  </dataValidations>
  <hyperlinks>
    <hyperlink ref="C111" r:id="rId1" xr:uid="{455197D5-395B-4BDD-AFA8-25C314F576FE}"/>
    <hyperlink ref="C115" r:id="rId2" xr:uid="{5DCF28A9-555A-44A1-9926-6523406C38A2}"/>
    <hyperlink ref="C121" r:id="rId3" xr:uid="{0C0CBFCC-EF4E-460D-B888-C36EA491BCCB}"/>
    <hyperlink ref="C118" r:id="rId4" xr:uid="{16BE7812-6BBC-4C39-95D5-E6FD261A4EA8}"/>
    <hyperlink ref="K54" r:id="rId5" xr:uid="{E348586F-ACDA-4156-9AA2-F9AC6F5E0C04}"/>
    <hyperlink ref="L50" r:id="rId6" xr:uid="{8E19E695-7C92-4C8F-89E7-F73C55609467}"/>
    <hyperlink ref="L51" r:id="rId7" xr:uid="{7D62D01D-471E-4175-A022-97105980DCD5}"/>
    <hyperlink ref="H27:R27" r:id="rId8" display="Cancer Registration Statistics, England 2021 - NHS Digital C90 Multiple myeloma and malignant plasma cell neoplasms age 20 and over" xr:uid="{723B6C44-F628-428C-ADED-579827D904C2}"/>
    <hyperlink ref="E59" r:id="rId9" xr:uid="{18B21432-0EF6-4690-A415-05664BDE1F91}"/>
    <hyperlink ref="E60" r:id="rId10" xr:uid="{828DCAF2-17C7-44BB-BCD5-3F2AE9CC3E33}"/>
  </hyperlinks>
  <pageMargins left="0.7" right="0.7" top="0.75" bottom="0.75" header="0.3" footer="0.3"/>
  <pageSetup paperSize="9" scale="49" orientation="landscape" verticalDpi="0" r:id="rId11"/>
  <ignoredErrors>
    <ignoredError sqref="F27:G27 L64:Q68 F80:G80 H80:J80 M81:M96 F29:G30 G28 F93:I93 F95:I95" unlockedFormula="1"/>
  </ignoredErrors>
  <legacyDrawing r:id="rId12"/>
  <extLst>
    <ext xmlns:x14="http://schemas.microsoft.com/office/spreadsheetml/2009/9/main" uri="{CCE6A557-97BC-4b89-ADB6-D9C93CAAB3DF}">
      <x14:dataValidations xmlns:xm="http://schemas.microsoft.com/office/excel/2006/main" count="2">
        <x14:dataValidation type="list" allowBlank="1" showInputMessage="1" showErrorMessage="1" prompt="Please select yes or no" xr:uid="{39366EE1-C007-48FC-9822-34A2EDD2FCE5}">
          <x14:formula1>
            <xm:f>'Population selection'!$R$6:$R$7</xm:f>
          </x14:formula1>
          <xm:sqref>E15 F34</xm:sqref>
        </x14:dataValidation>
        <x14:dataValidation type="list" allowBlank="1" showInputMessage="1" showErrorMessage="1" xr:uid="{A6BC5C51-FF9A-4F12-89AC-EF46E73BECE7}">
          <x14:formula1>
            <xm:f>INDIRECT('Population selection'!$O$7)</xm:f>
          </x14:formula1>
          <xm:sqref>E12:E13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47DA-C84E-4380-9318-A467DAF6E9E3}">
  <sheetPr>
    <tabColor theme="8" tint="0.59999389629810485"/>
    <pageSetUpPr fitToPage="1"/>
  </sheetPr>
  <dimension ref="A1:AE155"/>
  <sheetViews>
    <sheetView showGridLines="0" zoomScale="80" zoomScaleNormal="80" workbookViewId="0"/>
  </sheetViews>
  <sheetFormatPr defaultColWidth="9.26953125" defaultRowHeight="12.5"/>
  <cols>
    <col min="1" max="1" width="3.54296875" style="3" customWidth="1"/>
    <col min="2" max="2" width="64.453125" style="3" customWidth="1"/>
    <col min="3" max="3" width="18.26953125" style="3" customWidth="1"/>
    <col min="4" max="4" width="33" style="3" customWidth="1"/>
    <col min="5" max="5" width="12.54296875" style="3" customWidth="1"/>
    <col min="6" max="6" width="24.54296875" style="3" customWidth="1"/>
    <col min="7" max="7" width="13.7265625" style="3" customWidth="1"/>
    <col min="8" max="8" width="11.26953125" style="3" customWidth="1"/>
    <col min="9" max="9" width="12" style="3" customWidth="1"/>
    <col min="10" max="10" width="11.453125" style="3" customWidth="1"/>
    <col min="11" max="11" width="12" style="3" customWidth="1"/>
    <col min="12" max="12" width="12.26953125" style="3" customWidth="1"/>
    <col min="13" max="13" width="17.453125" style="3" customWidth="1"/>
    <col min="14" max="14" width="13.26953125" style="3" customWidth="1"/>
    <col min="15" max="15" width="11.54296875" style="3" customWidth="1"/>
    <col min="16" max="16" width="15.26953125" style="3" bestFit="1" customWidth="1"/>
    <col min="17" max="17" width="12.26953125" style="3" customWidth="1"/>
    <col min="18" max="18" width="14" style="3" customWidth="1"/>
    <col min="19" max="21" width="12.7265625" style="3" customWidth="1"/>
    <col min="22" max="16384" width="9.26953125" style="3"/>
  </cols>
  <sheetData>
    <row r="1" spans="1:23" ht="30" customHeight="1">
      <c r="A1" s="191"/>
      <c r="B1" s="545" t="str">
        <f>'Inputs and eligible population'!B1</f>
        <v>Treatments for treating relapsed and refractory multiple myeloma after 3 or more treatments</v>
      </c>
      <c r="C1" s="147"/>
      <c r="D1" s="131"/>
      <c r="E1" s="131"/>
      <c r="F1" s="131"/>
      <c r="G1" s="131" t="s">
        <v>108</v>
      </c>
      <c r="H1" s="131" t="s">
        <v>108</v>
      </c>
      <c r="I1" s="131" t="s">
        <v>108</v>
      </c>
      <c r="J1" s="131" t="s">
        <v>108</v>
      </c>
      <c r="K1" s="131" t="s">
        <v>108</v>
      </c>
      <c r="L1" s="131" t="s">
        <v>108</v>
      </c>
      <c r="M1" s="131" t="s">
        <v>108</v>
      </c>
      <c r="N1" s="152"/>
      <c r="O1" s="191"/>
      <c r="P1" s="191"/>
      <c r="Q1" s="191"/>
      <c r="R1" s="191"/>
      <c r="S1" s="152"/>
      <c r="T1" s="152"/>
      <c r="U1" s="152"/>
      <c r="V1" s="152"/>
      <c r="W1" s="152"/>
    </row>
    <row r="2" spans="1:23" ht="26.25" customHeight="1">
      <c r="A2" s="191"/>
      <c r="B2" s="145" t="s">
        <v>109</v>
      </c>
      <c r="C2" s="146" t="s">
        <v>108</v>
      </c>
      <c r="D2" s="131" t="s">
        <v>108</v>
      </c>
      <c r="E2" s="131" t="s">
        <v>108</v>
      </c>
      <c r="F2" s="131" t="s">
        <v>108</v>
      </c>
      <c r="G2" s="131" t="s">
        <v>108</v>
      </c>
      <c r="H2" s="131" t="s">
        <v>108</v>
      </c>
      <c r="I2" s="131" t="s">
        <v>108</v>
      </c>
      <c r="J2" s="131" t="s">
        <v>108</v>
      </c>
      <c r="K2" s="132" t="s">
        <v>108</v>
      </c>
      <c r="L2" s="132"/>
      <c r="M2" s="132"/>
      <c r="N2" s="132"/>
      <c r="O2" s="191"/>
      <c r="P2" s="191"/>
      <c r="Q2" s="191"/>
      <c r="R2" s="191"/>
      <c r="S2" s="460"/>
      <c r="T2" s="460"/>
      <c r="U2" s="460"/>
      <c r="V2" s="460"/>
      <c r="W2" s="152"/>
    </row>
    <row r="3" spans="1:23" ht="14.65" customHeight="1">
      <c r="A3" s="191"/>
      <c r="B3" s="129"/>
      <c r="C3" s="147"/>
      <c r="D3" s="131"/>
      <c r="E3" s="131"/>
      <c r="F3" s="131"/>
      <c r="G3" s="131" t="s">
        <v>108</v>
      </c>
      <c r="H3" s="131" t="s">
        <v>108</v>
      </c>
      <c r="I3" s="131" t="s">
        <v>108</v>
      </c>
      <c r="J3" s="131" t="s">
        <v>108</v>
      </c>
      <c r="K3" s="132" t="s">
        <v>108</v>
      </c>
      <c r="L3" s="132"/>
      <c r="M3" s="132"/>
      <c r="N3" s="132"/>
      <c r="O3" s="191"/>
      <c r="P3" s="191"/>
      <c r="Q3" s="191"/>
      <c r="R3" s="191"/>
      <c r="S3" s="460"/>
      <c r="T3" s="460"/>
      <c r="U3" s="460"/>
      <c r="V3" s="460"/>
      <c r="W3" s="152"/>
    </row>
    <row r="4" spans="1:23" ht="14.65" customHeight="1">
      <c r="A4" s="191"/>
      <c r="B4" t="s">
        <v>110</v>
      </c>
      <c r="C4" s="147"/>
      <c r="D4" s="131"/>
      <c r="E4" s="131"/>
      <c r="F4" s="131"/>
      <c r="G4" s="131" t="s">
        <v>108</v>
      </c>
      <c r="H4" s="131" t="s">
        <v>108</v>
      </c>
      <c r="I4" s="131" t="s">
        <v>108</v>
      </c>
      <c r="J4" s="131" t="s">
        <v>108</v>
      </c>
      <c r="K4" s="132" t="s">
        <v>108</v>
      </c>
      <c r="L4" s="131"/>
      <c r="M4" s="132"/>
      <c r="N4" s="132"/>
      <c r="O4" s="132"/>
      <c r="P4" s="132"/>
      <c r="Q4" s="132"/>
      <c r="R4" s="132"/>
      <c r="S4" s="460"/>
      <c r="T4" s="460"/>
      <c r="U4" s="460"/>
      <c r="V4" s="460"/>
      <c r="W4" s="152"/>
    </row>
    <row r="5" spans="1:23" ht="14.65" customHeight="1">
      <c r="A5" s="191"/>
      <c r="B5" t="s">
        <v>35</v>
      </c>
      <c r="C5" s="147"/>
      <c r="D5" s="131"/>
      <c r="E5" s="131"/>
      <c r="F5" s="131"/>
      <c r="G5" s="131"/>
      <c r="H5" s="131" t="s">
        <v>108</v>
      </c>
      <c r="I5" s="131" t="s">
        <v>108</v>
      </c>
      <c r="J5" s="131" t="s">
        <v>108</v>
      </c>
      <c r="K5" s="132" t="s">
        <v>108</v>
      </c>
      <c r="L5" s="131"/>
      <c r="M5" s="132"/>
      <c r="N5" s="132"/>
      <c r="O5" s="132"/>
      <c r="P5" s="132"/>
      <c r="Q5" s="132"/>
      <c r="R5" s="132"/>
      <c r="S5" s="460"/>
      <c r="T5" s="460"/>
      <c r="U5" s="460"/>
      <c r="V5" s="460"/>
      <c r="W5" s="152"/>
    </row>
    <row r="6" spans="1:23" ht="14.65" customHeight="1" thickBot="1">
      <c r="A6" s="191"/>
      <c r="B6" s="244" t="s">
        <v>111</v>
      </c>
      <c r="C6" s="147"/>
      <c r="D6" s="131"/>
      <c r="E6" s="131"/>
      <c r="F6" s="131"/>
      <c r="G6" s="131"/>
      <c r="H6" s="131"/>
      <c r="I6" s="131"/>
      <c r="J6" s="131"/>
      <c r="K6" s="132"/>
      <c r="L6" s="131"/>
      <c r="M6" s="132"/>
      <c r="N6" s="132"/>
      <c r="O6" s="132"/>
      <c r="P6" s="132"/>
      <c r="Q6" s="132"/>
      <c r="R6" s="132"/>
      <c r="S6" s="460"/>
      <c r="T6" s="460"/>
      <c r="U6" s="460"/>
      <c r="V6" s="152"/>
      <c r="W6" s="152"/>
    </row>
    <row r="7" spans="1:23" s="246" customFormat="1" ht="15" thickBot="1">
      <c r="A7" s="248"/>
      <c r="B7" s="248"/>
      <c r="C7" s="248"/>
      <c r="D7" s="810" t="s">
        <v>982</v>
      </c>
      <c r="E7" s="814"/>
      <c r="F7" s="815"/>
      <c r="G7" s="814"/>
      <c r="H7" s="816"/>
      <c r="I7" s="810" t="s">
        <v>983</v>
      </c>
      <c r="J7" s="811"/>
      <c r="K7" s="811"/>
      <c r="L7" s="811"/>
      <c r="M7" s="811"/>
      <c r="N7" s="812"/>
      <c r="O7" s="813"/>
      <c r="P7" s="132"/>
      <c r="Q7" s="132"/>
      <c r="R7" s="132"/>
      <c r="S7" s="460"/>
      <c r="T7" s="460"/>
      <c r="U7" s="460"/>
      <c r="V7" s="742"/>
      <c r="W7" s="742"/>
    </row>
    <row r="8" spans="1:23" s="246" customFormat="1" ht="57" customHeight="1">
      <c r="A8" s="248"/>
      <c r="B8" s="247" t="s">
        <v>112</v>
      </c>
      <c r="C8" s="249" t="s">
        <v>113</v>
      </c>
      <c r="D8" s="835" t="s">
        <v>120</v>
      </c>
      <c r="E8" s="807" t="s">
        <v>114</v>
      </c>
      <c r="F8" s="807" t="s">
        <v>116</v>
      </c>
      <c r="G8" s="807" t="s">
        <v>115</v>
      </c>
      <c r="H8" s="838" t="s">
        <v>117</v>
      </c>
      <c r="I8" s="835" t="s">
        <v>984</v>
      </c>
      <c r="J8" s="808" t="s">
        <v>985</v>
      </c>
      <c r="K8" s="807" t="s">
        <v>119</v>
      </c>
      <c r="L8" s="808" t="s">
        <v>986</v>
      </c>
      <c r="M8" s="809" t="s">
        <v>118</v>
      </c>
      <c r="N8" s="809" t="s">
        <v>121</v>
      </c>
      <c r="O8" s="838" t="s">
        <v>122</v>
      </c>
      <c r="P8" s="132"/>
      <c r="Q8" s="132"/>
      <c r="R8" s="132"/>
      <c r="S8" s="460"/>
      <c r="T8" s="460"/>
      <c r="U8" s="460"/>
      <c r="V8" s="460"/>
      <c r="W8" s="742"/>
    </row>
    <row r="9" spans="1:23" s="246" customFormat="1" ht="14.5" customHeight="1">
      <c r="A9" s="248"/>
      <c r="B9" s="895" t="s">
        <v>1105</v>
      </c>
      <c r="C9" s="695" t="s">
        <v>1106</v>
      </c>
      <c r="D9" s="846" t="s">
        <v>912</v>
      </c>
      <c r="E9" s="681" t="s">
        <v>1099</v>
      </c>
      <c r="F9" s="682">
        <v>30</v>
      </c>
      <c r="G9" s="682">
        <v>1</v>
      </c>
      <c r="H9" s="847">
        <f>G9*F9</f>
        <v>30</v>
      </c>
      <c r="I9" s="836">
        <f>0.06*78.4</f>
        <v>4.7039999999999997</v>
      </c>
      <c r="J9" s="680">
        <v>1</v>
      </c>
      <c r="K9" s="680">
        <v>1</v>
      </c>
      <c r="L9" s="748">
        <f>K9*J9*I9</f>
        <v>4.7039999999999997</v>
      </c>
      <c r="M9" s="739">
        <f>'Inputs and eligible population'!I49</f>
        <v>0</v>
      </c>
      <c r="N9" s="727">
        <v>0.2</v>
      </c>
      <c r="O9" s="839">
        <f>L9/H9*M9*(1+N9)</f>
        <v>0</v>
      </c>
      <c r="P9" s="132"/>
      <c r="Q9" s="132"/>
      <c r="R9" s="132"/>
      <c r="S9" s="460"/>
      <c r="T9" s="460"/>
      <c r="U9" s="460"/>
      <c r="V9" s="460"/>
      <c r="W9" s="742"/>
    </row>
    <row r="10" spans="1:23" s="246" customFormat="1" ht="14.5" customHeight="1">
      <c r="A10" s="248"/>
      <c r="B10" s="895" t="s">
        <v>1107</v>
      </c>
      <c r="C10" s="695" t="s">
        <v>1106</v>
      </c>
      <c r="D10" s="846" t="s">
        <v>912</v>
      </c>
      <c r="E10" s="681" t="s">
        <v>1099</v>
      </c>
      <c r="F10" s="682">
        <v>30</v>
      </c>
      <c r="G10" s="682">
        <v>1</v>
      </c>
      <c r="H10" s="847">
        <f>G10*F10</f>
        <v>30</v>
      </c>
      <c r="I10" s="836">
        <f>0.3*78.4</f>
        <v>23.52</v>
      </c>
      <c r="J10" s="680">
        <v>1</v>
      </c>
      <c r="K10" s="680">
        <v>1</v>
      </c>
      <c r="L10" s="748">
        <f>K10*J10*I10</f>
        <v>23.52</v>
      </c>
      <c r="M10" s="739">
        <f>'Inputs and eligible population'!I49</f>
        <v>0</v>
      </c>
      <c r="N10" s="727">
        <v>0.2</v>
      </c>
      <c r="O10" s="839">
        <f>L10/H10*M10*(1+N10)</f>
        <v>0</v>
      </c>
      <c r="P10" s="132"/>
      <c r="Q10" s="132"/>
      <c r="R10" s="132"/>
      <c r="S10" s="460"/>
      <c r="T10" s="460"/>
      <c r="U10" s="460"/>
      <c r="V10" s="460"/>
      <c r="W10" s="742"/>
    </row>
    <row r="11" spans="1:23" s="246" customFormat="1" ht="14.5" customHeight="1" thickBot="1">
      <c r="A11" s="248"/>
      <c r="B11" s="895" t="s">
        <v>1108</v>
      </c>
      <c r="C11" s="695" t="s">
        <v>1106</v>
      </c>
      <c r="D11" s="848" t="s">
        <v>912</v>
      </c>
      <c r="E11" s="849" t="s">
        <v>1099</v>
      </c>
      <c r="F11" s="850">
        <v>153</v>
      </c>
      <c r="G11" s="850">
        <v>1</v>
      </c>
      <c r="H11" s="851">
        <f t="shared" ref="H11" si="0">G11*F11</f>
        <v>153</v>
      </c>
      <c r="I11" s="840">
        <f>1.5*78.4</f>
        <v>117.60000000000001</v>
      </c>
      <c r="J11" s="841">
        <v>4</v>
      </c>
      <c r="K11" s="841">
        <v>8.5</v>
      </c>
      <c r="L11" s="842">
        <f>K11*J11*I11</f>
        <v>3998.4</v>
      </c>
      <c r="M11" s="843">
        <f>'Inputs and eligible population'!I48</f>
        <v>0</v>
      </c>
      <c r="N11" s="844">
        <v>0.2</v>
      </c>
      <c r="O11" s="845">
        <f>L11/H11*M11*(1+N11)</f>
        <v>0</v>
      </c>
      <c r="P11" s="132"/>
      <c r="Q11" s="132"/>
      <c r="R11" s="132"/>
      <c r="S11" s="460"/>
      <c r="T11" s="460"/>
      <c r="U11" s="460"/>
      <c r="V11" s="460"/>
      <c r="W11" s="742"/>
    </row>
    <row r="12" spans="1:23" s="246" customFormat="1" ht="16.899999999999999" customHeight="1">
      <c r="A12" s="248"/>
      <c r="B12" s="858" t="s">
        <v>1200</v>
      </c>
      <c r="C12" s="859" t="s">
        <v>123</v>
      </c>
      <c r="D12" s="696"/>
      <c r="E12" s="696"/>
      <c r="F12" s="696"/>
      <c r="G12" s="696"/>
      <c r="H12" s="696"/>
      <c r="I12" s="696"/>
      <c r="J12" s="696"/>
      <c r="K12" s="696"/>
      <c r="L12" s="696"/>
      <c r="M12" s="696"/>
      <c r="N12" s="696"/>
      <c r="O12" s="837">
        <f>SUM(O9:O11)</f>
        <v>0</v>
      </c>
      <c r="P12" s="132"/>
      <c r="Q12" s="132"/>
      <c r="R12" s="132"/>
      <c r="S12" s="460"/>
      <c r="T12" s="460"/>
      <c r="U12" s="460"/>
      <c r="V12" s="460"/>
      <c r="W12" s="742"/>
    </row>
    <row r="13" spans="1:23" s="246" customFormat="1" ht="16.5" customHeight="1" thickBot="1">
      <c r="A13" s="248"/>
      <c r="B13" s="860"/>
      <c r="C13" s="860"/>
      <c r="D13" s="248"/>
      <c r="E13" s="248"/>
      <c r="F13" s="248"/>
      <c r="G13" s="248"/>
      <c r="H13" s="248"/>
      <c r="I13" s="753"/>
      <c r="J13" s="754"/>
      <c r="K13" s="753"/>
      <c r="L13" s="754"/>
      <c r="M13" s="755"/>
      <c r="N13" s="755"/>
      <c r="O13" s="753"/>
      <c r="P13" s="132"/>
      <c r="Q13" s="132"/>
      <c r="R13" s="132"/>
      <c r="S13" s="460"/>
      <c r="T13" s="460"/>
      <c r="U13" s="460"/>
      <c r="V13" s="460"/>
      <c r="W13" s="742"/>
    </row>
    <row r="14" spans="1:23" s="246" customFormat="1" ht="16.899999999999999" customHeight="1" thickBot="1">
      <c r="A14" s="248"/>
      <c r="B14" s="248"/>
      <c r="C14" s="248"/>
      <c r="D14" s="810" t="s">
        <v>982</v>
      </c>
      <c r="E14" s="814"/>
      <c r="F14" s="817"/>
      <c r="G14" s="814"/>
      <c r="H14" s="814"/>
      <c r="I14" s="814" t="s">
        <v>983</v>
      </c>
      <c r="J14" s="811"/>
      <c r="K14" s="811"/>
      <c r="L14" s="811"/>
      <c r="M14" s="811"/>
      <c r="N14" s="812"/>
      <c r="O14" s="813"/>
      <c r="P14" s="818"/>
      <c r="Q14" s="818"/>
      <c r="R14" s="818"/>
      <c r="S14" s="819"/>
      <c r="T14" s="819"/>
      <c r="U14" s="819"/>
      <c r="V14" s="742"/>
      <c r="W14" s="742"/>
    </row>
    <row r="15" spans="1:23" s="246" customFormat="1" ht="60.75" customHeight="1" thickBot="1">
      <c r="A15" s="248"/>
      <c r="B15" s="247" t="s">
        <v>112</v>
      </c>
      <c r="C15" s="249" t="s">
        <v>113</v>
      </c>
      <c r="D15" s="823" t="s">
        <v>120</v>
      </c>
      <c r="E15" s="824" t="s">
        <v>114</v>
      </c>
      <c r="F15" s="824" t="s">
        <v>116</v>
      </c>
      <c r="G15" s="824" t="s">
        <v>115</v>
      </c>
      <c r="H15" s="829" t="s">
        <v>117</v>
      </c>
      <c r="I15" s="852" t="s">
        <v>984</v>
      </c>
      <c r="J15" s="830" t="s">
        <v>985</v>
      </c>
      <c r="K15" s="824" t="s">
        <v>119</v>
      </c>
      <c r="L15" s="830" t="s">
        <v>986</v>
      </c>
      <c r="M15" s="831" t="s">
        <v>118</v>
      </c>
      <c r="N15" s="831" t="s">
        <v>121</v>
      </c>
      <c r="O15" s="825" t="s">
        <v>122</v>
      </c>
      <c r="P15" s="818"/>
      <c r="Q15" s="818"/>
      <c r="R15" s="818"/>
      <c r="S15" s="819"/>
      <c r="T15" s="819"/>
      <c r="U15" s="819"/>
      <c r="V15" s="819"/>
      <c r="W15" s="742"/>
    </row>
    <row r="16" spans="1:23" s="246" customFormat="1" ht="14.5">
      <c r="A16" s="248"/>
      <c r="B16" s="680" t="s">
        <v>1014</v>
      </c>
      <c r="C16" s="695" t="s">
        <v>1067</v>
      </c>
      <c r="D16" s="854" t="s">
        <v>912</v>
      </c>
      <c r="E16" s="820" t="s">
        <v>913</v>
      </c>
      <c r="F16" s="821">
        <v>44</v>
      </c>
      <c r="G16" s="822">
        <v>1</v>
      </c>
      <c r="H16" s="832">
        <f>F16*G16</f>
        <v>44</v>
      </c>
      <c r="I16" s="853">
        <v>12</v>
      </c>
      <c r="J16" s="821">
        <v>1</v>
      </c>
      <c r="K16" s="822">
        <v>1</v>
      </c>
      <c r="L16" s="826">
        <f>I16*J16*K16</f>
        <v>12</v>
      </c>
      <c r="M16" s="827">
        <f>'Inputs and eligible population'!I50</f>
        <v>0</v>
      </c>
      <c r="N16" s="828">
        <f>'Inputs and eligible population'!J50</f>
        <v>0.2</v>
      </c>
      <c r="O16" s="855">
        <f>L16/H16*M16*(1+N16)</f>
        <v>0</v>
      </c>
      <c r="P16" s="132"/>
      <c r="Q16" s="132"/>
      <c r="R16" s="132"/>
      <c r="S16" s="460"/>
      <c r="T16" s="460"/>
      <c r="U16" s="460"/>
      <c r="V16" s="460"/>
      <c r="W16" s="742"/>
    </row>
    <row r="17" spans="1:23" s="246" customFormat="1" ht="14.5">
      <c r="A17" s="248"/>
      <c r="B17" s="680" t="s">
        <v>1015</v>
      </c>
      <c r="C17" s="695" t="s">
        <v>1067</v>
      </c>
      <c r="D17" s="846" t="s">
        <v>912</v>
      </c>
      <c r="E17" s="681" t="s">
        <v>913</v>
      </c>
      <c r="F17" s="682">
        <v>44</v>
      </c>
      <c r="G17" s="680">
        <v>1</v>
      </c>
      <c r="H17" s="833">
        <f>F17*G17</f>
        <v>44</v>
      </c>
      <c r="I17" s="756">
        <v>32</v>
      </c>
      <c r="J17" s="682">
        <v>1</v>
      </c>
      <c r="K17" s="680">
        <v>1</v>
      </c>
      <c r="L17" s="683">
        <f>I17*J17*K17</f>
        <v>32</v>
      </c>
      <c r="M17" s="739">
        <f>'Inputs and eligible population'!I50</f>
        <v>0</v>
      </c>
      <c r="N17" s="727">
        <f>'Inputs and eligible population'!J51</f>
        <v>0.2</v>
      </c>
      <c r="O17" s="839">
        <f>L17/H17*M17*(1+N17)</f>
        <v>0</v>
      </c>
      <c r="P17" s="132"/>
      <c r="Q17" s="132"/>
      <c r="R17" s="132"/>
      <c r="S17" s="460"/>
      <c r="T17" s="460"/>
      <c r="U17" s="460"/>
      <c r="V17" s="460"/>
      <c r="W17" s="742"/>
    </row>
    <row r="18" spans="1:23" s="246" customFormat="1" ht="14.5">
      <c r="A18" s="248"/>
      <c r="B18" s="680" t="s">
        <v>987</v>
      </c>
      <c r="C18" s="695" t="s">
        <v>1067</v>
      </c>
      <c r="D18" s="846" t="s">
        <v>912</v>
      </c>
      <c r="E18" s="681" t="s">
        <v>913</v>
      </c>
      <c r="F18" s="682">
        <v>76</v>
      </c>
      <c r="G18" s="680">
        <v>1</v>
      </c>
      <c r="H18" s="833">
        <f t="shared" ref="H18:H19" si="1">F18*G18</f>
        <v>76</v>
      </c>
      <c r="I18" s="756">
        <v>76</v>
      </c>
      <c r="J18" s="682">
        <v>4</v>
      </c>
      <c r="K18" s="757">
        <v>5.5</v>
      </c>
      <c r="L18" s="683">
        <f t="shared" ref="L18:L19" si="2">I18*J18*K18</f>
        <v>1672</v>
      </c>
      <c r="M18" s="739">
        <f>'Inputs and eligible population'!I51</f>
        <v>0</v>
      </c>
      <c r="N18" s="727">
        <f>'Inputs and eligible population'!J51</f>
        <v>0.2</v>
      </c>
      <c r="O18" s="839">
        <f>L18/H18*M18*(1+N18)</f>
        <v>0</v>
      </c>
      <c r="P18" s="132"/>
      <c r="Q18" s="132"/>
      <c r="R18" s="132"/>
      <c r="S18" s="460"/>
      <c r="T18" s="460"/>
      <c r="U18" s="460"/>
      <c r="V18" s="460"/>
      <c r="W18" s="742"/>
    </row>
    <row r="19" spans="1:23" s="246" customFormat="1" ht="15" thickBot="1">
      <c r="A19" s="248"/>
      <c r="B19" s="680" t="s">
        <v>988</v>
      </c>
      <c r="C19" s="695" t="s">
        <v>1067</v>
      </c>
      <c r="D19" s="848" t="s">
        <v>912</v>
      </c>
      <c r="E19" s="849" t="s">
        <v>913</v>
      </c>
      <c r="F19" s="850">
        <v>76</v>
      </c>
      <c r="G19" s="841">
        <v>1</v>
      </c>
      <c r="H19" s="856">
        <f t="shared" si="1"/>
        <v>76</v>
      </c>
      <c r="I19" s="857">
        <v>76</v>
      </c>
      <c r="J19" s="841">
        <v>0</v>
      </c>
      <c r="K19" s="841">
        <v>0</v>
      </c>
      <c r="L19" s="842">
        <f t="shared" si="2"/>
        <v>0</v>
      </c>
      <c r="M19" s="843">
        <f>'Inputs and eligible population'!I51</f>
        <v>0</v>
      </c>
      <c r="N19" s="844">
        <f>'Inputs and eligible population'!J51</f>
        <v>0.2</v>
      </c>
      <c r="O19" s="845">
        <f t="shared" ref="O19" si="3">L19/H19*M19*(1+N19)</f>
        <v>0</v>
      </c>
      <c r="P19" s="132"/>
      <c r="Q19" s="132"/>
      <c r="R19" s="132"/>
      <c r="S19" s="460"/>
      <c r="T19" s="460"/>
      <c r="U19" s="460"/>
      <c r="V19" s="460"/>
      <c r="W19" s="742"/>
    </row>
    <row r="20" spans="1:23" s="246" customFormat="1" ht="14.5">
      <c r="A20" s="248"/>
      <c r="B20" s="686" t="s">
        <v>1131</v>
      </c>
      <c r="C20" s="251" t="s">
        <v>123</v>
      </c>
      <c r="D20" s="696"/>
      <c r="E20" s="696"/>
      <c r="F20" s="696"/>
      <c r="G20" s="696"/>
      <c r="H20" s="696"/>
      <c r="I20" s="696"/>
      <c r="J20" s="696"/>
      <c r="K20" s="696"/>
      <c r="L20" s="696"/>
      <c r="M20" s="696"/>
      <c r="N20" s="696"/>
      <c r="O20" s="837">
        <f>SUM(O16:O19)</f>
        <v>0</v>
      </c>
      <c r="P20" s="132"/>
      <c r="Q20" s="132"/>
      <c r="R20" s="132"/>
      <c r="S20" s="460"/>
      <c r="T20" s="460"/>
      <c r="U20" s="460"/>
      <c r="V20" s="460"/>
      <c r="W20" s="742"/>
    </row>
    <row r="21" spans="1:23" s="246" customFormat="1" ht="15" thickBot="1">
      <c r="A21" s="248"/>
      <c r="B21" s="244"/>
      <c r="C21" s="248"/>
      <c r="D21" s="248"/>
      <c r="E21" s="248"/>
      <c r="F21" s="248"/>
      <c r="G21" s="248"/>
      <c r="H21" s="248"/>
      <c r="I21" s="248"/>
      <c r="J21" s="248"/>
      <c r="K21" s="248"/>
      <c r="L21" s="248"/>
      <c r="M21" s="248"/>
      <c r="N21" s="248"/>
      <c r="O21" s="248"/>
      <c r="P21" s="132"/>
      <c r="Q21" s="132"/>
      <c r="R21" s="132"/>
      <c r="S21" s="460"/>
      <c r="T21" s="460"/>
      <c r="U21" s="460"/>
      <c r="V21" s="460"/>
      <c r="W21" s="742"/>
    </row>
    <row r="22" spans="1:23" s="246" customFormat="1" ht="15" thickBot="1">
      <c r="A22" s="248"/>
      <c r="B22" s="248"/>
      <c r="C22" s="248"/>
      <c r="D22" s="810" t="s">
        <v>982</v>
      </c>
      <c r="E22" s="814"/>
      <c r="F22" s="817"/>
      <c r="G22" s="814"/>
      <c r="H22" s="816"/>
      <c r="I22" s="810" t="s">
        <v>983</v>
      </c>
      <c r="J22" s="811"/>
      <c r="K22" s="811"/>
      <c r="L22" s="811"/>
      <c r="M22" s="811"/>
      <c r="N22" s="812"/>
      <c r="O22" s="813"/>
      <c r="P22" s="818"/>
      <c r="Q22" s="818"/>
      <c r="R22" s="818"/>
      <c r="S22" s="819"/>
      <c r="T22" s="819"/>
      <c r="U22" s="819"/>
      <c r="V22" s="742"/>
      <c r="W22" s="742"/>
    </row>
    <row r="23" spans="1:23" s="246" customFormat="1" ht="60.75" customHeight="1" thickBot="1">
      <c r="A23" s="248"/>
      <c r="B23" s="247" t="s">
        <v>112</v>
      </c>
      <c r="C23" s="249" t="s">
        <v>113</v>
      </c>
      <c r="D23" s="823" t="s">
        <v>120</v>
      </c>
      <c r="E23" s="824" t="s">
        <v>114</v>
      </c>
      <c r="F23" s="824" t="s">
        <v>116</v>
      </c>
      <c r="G23" s="824" t="s">
        <v>115</v>
      </c>
      <c r="H23" s="829" t="s">
        <v>117</v>
      </c>
      <c r="I23" s="863" t="s">
        <v>984</v>
      </c>
      <c r="J23" s="864" t="s">
        <v>985</v>
      </c>
      <c r="K23" s="865" t="s">
        <v>119</v>
      </c>
      <c r="L23" s="864" t="s">
        <v>986</v>
      </c>
      <c r="M23" s="866" t="s">
        <v>118</v>
      </c>
      <c r="N23" s="866" t="s">
        <v>121</v>
      </c>
      <c r="O23" s="867" t="s">
        <v>122</v>
      </c>
      <c r="P23" s="818"/>
      <c r="Q23" s="818"/>
      <c r="R23" s="818"/>
      <c r="S23" s="819"/>
      <c r="T23" s="819"/>
      <c r="U23" s="819"/>
      <c r="V23" s="819"/>
      <c r="W23" s="742"/>
    </row>
    <row r="24" spans="1:23" s="246" customFormat="1" ht="14.5">
      <c r="A24" s="248"/>
      <c r="B24" s="680" t="s">
        <v>991</v>
      </c>
      <c r="C24" s="695" t="s">
        <v>956</v>
      </c>
      <c r="D24" s="846" t="s">
        <v>908</v>
      </c>
      <c r="E24" s="681" t="s">
        <v>909</v>
      </c>
      <c r="F24" s="682">
        <v>20</v>
      </c>
      <c r="G24" s="680">
        <v>6</v>
      </c>
      <c r="H24" s="833">
        <f>F24*G24</f>
        <v>120</v>
      </c>
      <c r="I24" s="834">
        <v>20</v>
      </c>
      <c r="J24" s="682">
        <v>6</v>
      </c>
      <c r="K24" s="680">
        <v>7</v>
      </c>
      <c r="L24" s="683">
        <f>I24*J24*K24</f>
        <v>840</v>
      </c>
      <c r="M24" s="739">
        <f>'Inputs and eligible population'!I52</f>
        <v>0</v>
      </c>
      <c r="N24" s="727">
        <f>'Inputs and eligible population'!J52</f>
        <v>0.2</v>
      </c>
      <c r="O24" s="839">
        <f>L24/H24*M24*(1+N24)</f>
        <v>0</v>
      </c>
      <c r="P24" s="132"/>
      <c r="Q24" s="132"/>
      <c r="R24" s="132"/>
      <c r="S24" s="460"/>
      <c r="T24" s="460"/>
      <c r="U24" s="460"/>
      <c r="V24" s="460"/>
      <c r="W24" s="742"/>
    </row>
    <row r="25" spans="1:23" s="246" customFormat="1" ht="14.5">
      <c r="A25" s="248"/>
      <c r="B25" s="680" t="s">
        <v>910</v>
      </c>
      <c r="C25" s="695" t="s">
        <v>911</v>
      </c>
      <c r="D25" s="846" t="s">
        <v>912</v>
      </c>
      <c r="E25" s="681" t="s">
        <v>913</v>
      </c>
      <c r="F25" s="685">
        <v>3.5</v>
      </c>
      <c r="G25" s="680">
        <v>1</v>
      </c>
      <c r="H25" s="861">
        <f>F25*G25</f>
        <v>3.5</v>
      </c>
      <c r="I25" s="862">
        <v>3.5</v>
      </c>
      <c r="J25" s="682">
        <v>4</v>
      </c>
      <c r="K25" s="683">
        <v>7</v>
      </c>
      <c r="L25" s="683">
        <f t="shared" ref="L25:L26" si="4">I25*J25*K25</f>
        <v>98</v>
      </c>
      <c r="M25" s="739">
        <f>'Inputs and eligible population'!I53</f>
        <v>0</v>
      </c>
      <c r="N25" s="727">
        <f>'Inputs and eligible population'!J53</f>
        <v>0.2</v>
      </c>
      <c r="O25" s="839">
        <f>L25/H25*M25*(1+N25)</f>
        <v>0</v>
      </c>
      <c r="P25" s="132"/>
      <c r="Q25" s="132"/>
      <c r="R25" s="132"/>
      <c r="S25" s="460"/>
      <c r="T25" s="460"/>
      <c r="U25" s="460"/>
      <c r="V25" s="460"/>
      <c r="W25" s="742"/>
    </row>
    <row r="26" spans="1:23" s="246" customFormat="1" ht="15" thickBot="1">
      <c r="A26" s="248"/>
      <c r="B26" s="680" t="s">
        <v>995</v>
      </c>
      <c r="C26" s="695" t="s">
        <v>914</v>
      </c>
      <c r="D26" s="848" t="s">
        <v>908</v>
      </c>
      <c r="E26" s="849" t="s">
        <v>909</v>
      </c>
      <c r="F26" s="850">
        <v>8</v>
      </c>
      <c r="G26" s="841">
        <v>50</v>
      </c>
      <c r="H26" s="856">
        <f>F26*G26</f>
        <v>400</v>
      </c>
      <c r="I26" s="868">
        <v>40</v>
      </c>
      <c r="J26" s="841">
        <v>4</v>
      </c>
      <c r="K26" s="841">
        <v>7</v>
      </c>
      <c r="L26" s="842">
        <f t="shared" si="4"/>
        <v>1120</v>
      </c>
      <c r="M26" s="843">
        <f>'Inputs and eligible population'!I54</f>
        <v>71.819999999999993</v>
      </c>
      <c r="N26" s="844">
        <f>'Inputs and eligible population'!J54</f>
        <v>0.2</v>
      </c>
      <c r="O26" s="845">
        <f t="shared" ref="O26" si="5">L26/H26*M26*(1+N26)</f>
        <v>241.31519999999995</v>
      </c>
      <c r="P26" s="132"/>
      <c r="Q26" s="132"/>
      <c r="R26" s="132"/>
      <c r="S26" s="460"/>
      <c r="T26" s="460"/>
      <c r="U26" s="460"/>
      <c r="V26" s="460"/>
      <c r="W26" s="742"/>
    </row>
    <row r="27" spans="1:23" s="246" customFormat="1" ht="14.5">
      <c r="A27" s="248"/>
      <c r="B27" s="686" t="s">
        <v>981</v>
      </c>
      <c r="C27" s="251" t="s">
        <v>123</v>
      </c>
      <c r="D27" s="696"/>
      <c r="E27" s="696"/>
      <c r="F27" s="696"/>
      <c r="G27" s="696"/>
      <c r="H27" s="696"/>
      <c r="I27" s="696"/>
      <c r="J27" s="696"/>
      <c r="K27" s="696"/>
      <c r="L27" s="696"/>
      <c r="M27" s="696"/>
      <c r="N27" s="696"/>
      <c r="O27" s="837">
        <f>SUM(O24:O26)</f>
        <v>241.31519999999995</v>
      </c>
      <c r="P27" s="132"/>
      <c r="Q27" s="132"/>
      <c r="R27" s="132"/>
      <c r="S27" s="460"/>
      <c r="T27" s="460"/>
      <c r="U27" s="460"/>
      <c r="V27" s="460"/>
      <c r="W27" s="742"/>
    </row>
    <row r="28" spans="1:23" s="246" customFormat="1" ht="15" thickBot="1">
      <c r="A28" s="248"/>
      <c r="B28" s="198"/>
      <c r="C28" s="251"/>
      <c r="D28" s="248"/>
      <c r="E28" s="248"/>
      <c r="F28" s="248"/>
      <c r="G28" s="248"/>
      <c r="H28" s="248"/>
      <c r="I28" s="248"/>
      <c r="J28" s="248"/>
      <c r="K28" s="248"/>
      <c r="L28" s="248"/>
      <c r="M28" s="248"/>
      <c r="N28" s="248"/>
      <c r="O28" s="752"/>
      <c r="P28" s="132"/>
      <c r="Q28" s="132"/>
      <c r="R28" s="132"/>
      <c r="S28" s="460"/>
      <c r="T28" s="460"/>
      <c r="U28" s="460"/>
      <c r="V28" s="460"/>
      <c r="W28" s="742"/>
    </row>
    <row r="29" spans="1:23" s="246" customFormat="1" ht="14.5">
      <c r="A29" s="248"/>
      <c r="B29" s="680" t="s">
        <v>994</v>
      </c>
      <c r="C29" s="695" t="s">
        <v>993</v>
      </c>
      <c r="D29" s="874" t="s">
        <v>908</v>
      </c>
      <c r="E29" s="875" t="s">
        <v>909</v>
      </c>
      <c r="F29" s="876">
        <v>4</v>
      </c>
      <c r="G29" s="877">
        <v>21</v>
      </c>
      <c r="H29" s="876">
        <f>F29*G29</f>
        <v>84</v>
      </c>
      <c r="I29" s="876">
        <v>4</v>
      </c>
      <c r="J29" s="876">
        <v>21</v>
      </c>
      <c r="K29" s="877">
        <v>4</v>
      </c>
      <c r="L29" s="878">
        <f>I29*J29*K29</f>
        <v>336</v>
      </c>
      <c r="M29" s="879">
        <f>'Inputs and eligible population'!I52</f>
        <v>0</v>
      </c>
      <c r="N29" s="880">
        <f>'Inputs and eligible population'!J52</f>
        <v>0.2</v>
      </c>
      <c r="O29" s="881">
        <f>L29/H29*M29*(1+N29)</f>
        <v>0</v>
      </c>
      <c r="P29" s="132"/>
      <c r="Q29" s="132"/>
      <c r="R29" s="132"/>
      <c r="S29" s="460"/>
      <c r="T29" s="460"/>
      <c r="U29" s="460"/>
      <c r="V29" s="460"/>
      <c r="W29" s="742"/>
    </row>
    <row r="30" spans="1:23" s="246" customFormat="1" ht="15" thickBot="1">
      <c r="A30" s="248"/>
      <c r="B30" s="680" t="s">
        <v>995</v>
      </c>
      <c r="C30" s="695" t="s">
        <v>914</v>
      </c>
      <c r="D30" s="848" t="s">
        <v>908</v>
      </c>
      <c r="E30" s="849" t="s">
        <v>909</v>
      </c>
      <c r="F30" s="850">
        <v>8</v>
      </c>
      <c r="G30" s="841">
        <v>50</v>
      </c>
      <c r="H30" s="850">
        <f>F30*G30</f>
        <v>400</v>
      </c>
      <c r="I30" s="850">
        <v>40</v>
      </c>
      <c r="J30" s="841">
        <v>4</v>
      </c>
      <c r="K30" s="841">
        <v>4</v>
      </c>
      <c r="L30" s="842">
        <f t="shared" ref="L30" si="6">I30*J30*K30</f>
        <v>640</v>
      </c>
      <c r="M30" s="843">
        <f>'Inputs and eligible population'!I54</f>
        <v>71.819999999999993</v>
      </c>
      <c r="N30" s="844">
        <f>'Inputs and eligible population'!J54</f>
        <v>0.2</v>
      </c>
      <c r="O30" s="845">
        <f t="shared" ref="O30" si="7">L30/H30*M30*(1+N30)</f>
        <v>137.89439999999999</v>
      </c>
      <c r="P30" s="132"/>
      <c r="Q30" s="132"/>
      <c r="R30" s="132"/>
      <c r="S30" s="460"/>
      <c r="T30" s="460"/>
      <c r="U30" s="460"/>
      <c r="V30" s="460"/>
      <c r="W30" s="742"/>
    </row>
    <row r="31" spans="1:23" s="246" customFormat="1" ht="14.5">
      <c r="A31" s="248"/>
      <c r="B31" s="686" t="s">
        <v>992</v>
      </c>
      <c r="C31" s="251" t="s">
        <v>123</v>
      </c>
      <c r="D31" s="696"/>
      <c r="E31" s="696"/>
      <c r="F31" s="696"/>
      <c r="G31" s="696"/>
      <c r="H31" s="696"/>
      <c r="I31" s="696"/>
      <c r="J31" s="696"/>
      <c r="K31" s="696"/>
      <c r="L31" s="696"/>
      <c r="M31" s="696"/>
      <c r="N31" s="696"/>
      <c r="O31" s="837">
        <f>SUM(O29:O30)</f>
        <v>137.89439999999999</v>
      </c>
      <c r="P31" s="132"/>
      <c r="Q31" s="132"/>
      <c r="R31" s="132"/>
      <c r="S31" s="460"/>
      <c r="T31" s="460"/>
      <c r="U31" s="460"/>
      <c r="V31" s="460"/>
      <c r="W31" s="742"/>
    </row>
    <row r="32" spans="1:23" s="246" customFormat="1" ht="15" thickBot="1">
      <c r="A32" s="248"/>
      <c r="B32" s="736"/>
      <c r="C32" s="248"/>
      <c r="D32" s="248"/>
      <c r="E32" s="248"/>
      <c r="F32" s="248"/>
      <c r="G32" s="248"/>
      <c r="H32" s="248"/>
      <c r="I32" s="248"/>
      <c r="J32" s="248"/>
      <c r="K32" s="248"/>
      <c r="L32" s="248"/>
      <c r="M32" s="248"/>
      <c r="N32" s="248"/>
      <c r="O32" s="737"/>
      <c r="P32" s="132"/>
      <c r="Q32" s="132"/>
      <c r="R32" s="132"/>
      <c r="S32" s="460"/>
      <c r="T32" s="460"/>
      <c r="U32" s="460"/>
      <c r="V32" s="460"/>
      <c r="W32" s="742"/>
    </row>
    <row r="33" spans="1:23" s="246" customFormat="1" ht="15" thickBot="1">
      <c r="A33" s="248"/>
      <c r="B33" s="248"/>
      <c r="C33" s="248"/>
      <c r="D33" s="869" t="s">
        <v>982</v>
      </c>
      <c r="E33" s="870"/>
      <c r="F33" s="871"/>
      <c r="G33" s="870"/>
      <c r="H33" s="870"/>
      <c r="I33" s="810" t="s">
        <v>983</v>
      </c>
      <c r="J33" s="811"/>
      <c r="K33" s="811"/>
      <c r="L33" s="811"/>
      <c r="M33" s="811"/>
      <c r="N33" s="812"/>
      <c r="O33" s="813"/>
      <c r="P33" s="818"/>
      <c r="Q33" s="818"/>
      <c r="R33" s="818"/>
      <c r="S33" s="819"/>
      <c r="T33" s="819"/>
      <c r="U33" s="819"/>
      <c r="V33" s="742"/>
      <c r="W33" s="742"/>
    </row>
    <row r="34" spans="1:23" s="246" customFormat="1" ht="57.75" customHeight="1" thickBot="1">
      <c r="A34" s="248"/>
      <c r="B34" s="247" t="s">
        <v>112</v>
      </c>
      <c r="C34" s="249" t="s">
        <v>113</v>
      </c>
      <c r="D34" s="863" t="s">
        <v>120</v>
      </c>
      <c r="E34" s="865" t="s">
        <v>114</v>
      </c>
      <c r="F34" s="865" t="s">
        <v>116</v>
      </c>
      <c r="G34" s="865" t="s">
        <v>115</v>
      </c>
      <c r="H34" s="867" t="s">
        <v>117</v>
      </c>
      <c r="I34" s="823" t="s">
        <v>984</v>
      </c>
      <c r="J34" s="830" t="s">
        <v>985</v>
      </c>
      <c r="K34" s="824" t="s">
        <v>119</v>
      </c>
      <c r="L34" s="830" t="s">
        <v>986</v>
      </c>
      <c r="M34" s="831" t="s">
        <v>118</v>
      </c>
      <c r="N34" s="831" t="s">
        <v>121</v>
      </c>
      <c r="O34" s="825" t="s">
        <v>122</v>
      </c>
      <c r="P34" s="818"/>
      <c r="Q34" s="818"/>
      <c r="R34" s="818"/>
      <c r="S34" s="819"/>
      <c r="T34" s="819"/>
      <c r="U34" s="819"/>
      <c r="V34" s="819"/>
      <c r="W34" s="742"/>
    </row>
    <row r="35" spans="1:23" s="246" customFormat="1" ht="14.5">
      <c r="A35" s="248"/>
      <c r="B35" s="680" t="s">
        <v>1096</v>
      </c>
      <c r="C35" s="695" t="s">
        <v>1097</v>
      </c>
      <c r="D35" s="846" t="s">
        <v>1098</v>
      </c>
      <c r="E35" s="681" t="s">
        <v>1099</v>
      </c>
      <c r="F35" s="682">
        <v>1800</v>
      </c>
      <c r="G35" s="682">
        <v>1</v>
      </c>
      <c r="H35" s="847">
        <f>G35*F35</f>
        <v>1800</v>
      </c>
      <c r="I35" s="834">
        <v>1800</v>
      </c>
      <c r="J35" s="680">
        <v>4</v>
      </c>
      <c r="K35" s="735">
        <v>2</v>
      </c>
      <c r="L35" s="680">
        <f>K35*J35*I35</f>
        <v>14400</v>
      </c>
      <c r="M35" s="684">
        <f>'Inputs and eligible population'!I56</f>
        <v>0</v>
      </c>
      <c r="N35" s="697">
        <f>'Inputs and eligible population'!J56</f>
        <v>0.2</v>
      </c>
      <c r="O35" s="839">
        <f>L35*M35*(100%+N35)</f>
        <v>0</v>
      </c>
      <c r="P35" s="132"/>
      <c r="Q35" s="132"/>
      <c r="R35" s="132"/>
      <c r="S35" s="460"/>
      <c r="T35" s="460"/>
      <c r="U35" s="460"/>
      <c r="V35" s="460"/>
      <c r="W35" s="742"/>
    </row>
    <row r="36" spans="1:23" s="246" customFormat="1" ht="15" thickBot="1">
      <c r="A36" s="248"/>
      <c r="B36" s="680" t="s">
        <v>1100</v>
      </c>
      <c r="C36" s="695" t="s">
        <v>1097</v>
      </c>
      <c r="D36" s="848" t="s">
        <v>1098</v>
      </c>
      <c r="E36" s="849" t="s">
        <v>1099</v>
      </c>
      <c r="F36" s="850">
        <v>1800</v>
      </c>
      <c r="G36" s="850">
        <v>1</v>
      </c>
      <c r="H36" s="851">
        <f>G36*F36</f>
        <v>1800</v>
      </c>
      <c r="I36" s="868">
        <v>1800</v>
      </c>
      <c r="J36" s="841">
        <v>2</v>
      </c>
      <c r="K36" s="842">
        <v>4</v>
      </c>
      <c r="L36" s="841">
        <f>K36*J36*I36</f>
        <v>14400</v>
      </c>
      <c r="M36" s="872">
        <f>'Inputs and eligible population'!I56</f>
        <v>0</v>
      </c>
      <c r="N36" s="873">
        <f>'Inputs and eligible population'!J56</f>
        <v>0.2</v>
      </c>
      <c r="O36" s="845">
        <f>L36*M36*(100%+N36)</f>
        <v>0</v>
      </c>
      <c r="P36" s="132"/>
      <c r="Q36" s="132"/>
      <c r="R36" s="132"/>
      <c r="S36" s="460"/>
      <c r="T36" s="460"/>
      <c r="U36" s="460"/>
      <c r="V36" s="460"/>
      <c r="W36" s="742"/>
    </row>
    <row r="37" spans="1:23" s="246" customFormat="1" ht="14.5">
      <c r="A37" s="248"/>
      <c r="B37" s="686" t="s">
        <v>1101</v>
      </c>
      <c r="C37" s="251" t="s">
        <v>123</v>
      </c>
      <c r="D37" s="696"/>
      <c r="E37" s="696"/>
      <c r="F37" s="696"/>
      <c r="G37" s="696"/>
      <c r="H37" s="696"/>
      <c r="I37" s="696"/>
      <c r="J37" s="696"/>
      <c r="K37" s="696"/>
      <c r="L37" s="696"/>
      <c r="M37" s="696"/>
      <c r="N37" s="738"/>
      <c r="O37" s="896">
        <f>SUM(O35:O36)</f>
        <v>0</v>
      </c>
      <c r="P37" s="132"/>
      <c r="Q37" s="132"/>
      <c r="R37" s="132"/>
      <c r="S37" s="460"/>
      <c r="T37" s="460"/>
      <c r="U37" s="460"/>
      <c r="V37" s="460"/>
      <c r="W37" s="742"/>
    </row>
    <row r="38" spans="1:23" s="246" customFormat="1" ht="14.5">
      <c r="A38" s="248"/>
      <c r="B38" s="736"/>
      <c r="C38" s="248"/>
      <c r="D38" s="248"/>
      <c r="E38" s="248"/>
      <c r="F38" s="248"/>
      <c r="G38" s="248"/>
      <c r="H38" s="248"/>
      <c r="I38" s="248"/>
      <c r="J38" s="248"/>
      <c r="K38" s="248"/>
      <c r="L38" s="248"/>
      <c r="M38" s="248"/>
      <c r="N38" s="248"/>
      <c r="O38" s="737"/>
      <c r="P38" s="132"/>
      <c r="Q38" s="132"/>
      <c r="R38" s="132"/>
      <c r="S38" s="460"/>
      <c r="T38" s="460"/>
      <c r="U38" s="460"/>
      <c r="V38" s="460"/>
      <c r="W38" s="742"/>
    </row>
    <row r="39" spans="1:23" s="246" customFormat="1" ht="14.5">
      <c r="A39" s="248"/>
      <c r="B39" s="194" t="s">
        <v>1134</v>
      </c>
      <c r="C39" s="5"/>
      <c r="D39" s="177"/>
      <c r="E39" s="112"/>
      <c r="F39" s="178"/>
      <c r="G39" s="179"/>
      <c r="H39" s="5"/>
      <c r="I39" s="5"/>
      <c r="J39" s="180"/>
      <c r="K39" s="179"/>
      <c r="L39" s="179"/>
      <c r="M39" s="179"/>
      <c r="N39" s="179"/>
      <c r="O39" s="179"/>
      <c r="P39" s="179"/>
      <c r="Q39" s="5"/>
      <c r="R39" s="132"/>
      <c r="S39" s="460"/>
      <c r="T39" s="460"/>
      <c r="U39" s="460"/>
      <c r="V39" s="460"/>
      <c r="W39" s="742"/>
    </row>
    <row r="40" spans="1:23" s="246" customFormat="1" ht="14.5">
      <c r="A40" s="248"/>
      <c r="B40" s="759" t="s">
        <v>919</v>
      </c>
      <c r="C40" s="5"/>
      <c r="D40" s="177"/>
      <c r="E40" s="112"/>
      <c r="F40" s="178"/>
      <c r="G40" s="179"/>
      <c r="H40" s="5"/>
      <c r="I40" s="5"/>
      <c r="J40" s="180"/>
      <c r="K40" s="179"/>
      <c r="L40" s="179"/>
      <c r="M40" s="179"/>
      <c r="N40" s="179"/>
      <c r="O40" s="179"/>
      <c r="P40" s="180"/>
      <c r="Q40" s="5"/>
      <c r="R40" s="132"/>
      <c r="S40" s="460"/>
      <c r="T40" s="460"/>
      <c r="U40" s="460"/>
      <c r="V40" s="460"/>
      <c r="W40" s="742"/>
    </row>
    <row r="41" spans="1:23" s="246" customFormat="1" ht="14.5">
      <c r="A41" s="248"/>
      <c r="B41" s="758" t="s">
        <v>1144</v>
      </c>
      <c r="C41" s="5"/>
      <c r="D41" s="177"/>
      <c r="E41" s="112"/>
      <c r="F41" s="178"/>
      <c r="G41" s="179"/>
      <c r="H41" s="5"/>
      <c r="I41" s="5"/>
      <c r="J41" s="180"/>
      <c r="K41" s="179"/>
      <c r="L41" s="179"/>
      <c r="M41" s="179"/>
      <c r="N41" s="179"/>
      <c r="O41" s="179"/>
      <c r="P41" s="180"/>
      <c r="Q41" s="5"/>
      <c r="R41" s="132"/>
      <c r="S41" s="460"/>
      <c r="T41" s="460"/>
      <c r="U41" s="460"/>
      <c r="V41" s="460"/>
      <c r="W41" s="742"/>
    </row>
    <row r="42" spans="1:23" s="246" customFormat="1" ht="14.5">
      <c r="A42" s="248"/>
      <c r="B42" s="758" t="s">
        <v>1143</v>
      </c>
      <c r="C42" s="5"/>
      <c r="D42" s="177"/>
      <c r="E42" s="112"/>
      <c r="F42" s="178"/>
      <c r="G42" s="548" t="s">
        <v>1152</v>
      </c>
      <c r="H42" s="5"/>
      <c r="I42" s="5"/>
      <c r="J42" s="180"/>
      <c r="K42" s="179"/>
      <c r="L42" s="179"/>
      <c r="M42" s="179"/>
      <c r="N42" s="179"/>
      <c r="O42" s="179"/>
      <c r="P42" s="180"/>
      <c r="Q42" s="5"/>
      <c r="R42" s="132"/>
      <c r="S42" s="460"/>
      <c r="T42" s="460"/>
      <c r="U42" s="460"/>
      <c r="V42" s="460"/>
      <c r="W42" s="742"/>
    </row>
    <row r="43" spans="1:23" s="246" customFormat="1" ht="14.5">
      <c r="A43" s="248"/>
      <c r="B43" s="193"/>
      <c r="C43" s="5"/>
      <c r="D43" s="177"/>
      <c r="E43" s="112"/>
      <c r="F43" s="178"/>
      <c r="G43" s="179"/>
      <c r="H43" s="5"/>
      <c r="I43" s="5"/>
      <c r="J43" s="180"/>
      <c r="K43" s="179"/>
      <c r="L43" s="179"/>
      <c r="M43" s="179"/>
      <c r="N43" s="179"/>
      <c r="O43" s="179"/>
      <c r="P43" s="180"/>
      <c r="Q43" s="5"/>
      <c r="R43" s="132"/>
      <c r="S43" s="460"/>
      <c r="T43" s="460"/>
      <c r="U43" s="460"/>
      <c r="V43" s="460"/>
      <c r="W43" s="742"/>
    </row>
    <row r="44" spans="1:23" s="246" customFormat="1" ht="14.5">
      <c r="A44" s="5"/>
      <c r="B44" s="244" t="s">
        <v>124</v>
      </c>
      <c r="C44" s="248"/>
      <c r="D44" s="177"/>
      <c r="E44" s="112"/>
      <c r="F44" s="178"/>
      <c r="G44" s="179"/>
      <c r="H44" s="5"/>
      <c r="I44" s="5"/>
      <c r="J44" s="180"/>
      <c r="K44" s="179"/>
      <c r="L44" s="179"/>
      <c r="M44" s="179"/>
      <c r="N44" s="179"/>
      <c r="O44" s="179"/>
      <c r="P44" s="180"/>
      <c r="Q44" s="479"/>
      <c r="R44" s="604"/>
      <c r="S44" s="460"/>
      <c r="T44" s="460"/>
      <c r="U44" s="460"/>
      <c r="V44" s="460"/>
      <c r="W44" s="742"/>
    </row>
    <row r="45" spans="1:23" s="246" customFormat="1" ht="14.5">
      <c r="A45" s="5"/>
      <c r="B45" s="247" t="s">
        <v>125</v>
      </c>
      <c r="C45" s="249" t="s">
        <v>126</v>
      </c>
      <c r="D45" s="249" t="s">
        <v>60</v>
      </c>
      <c r="E45" s="252" t="s">
        <v>127</v>
      </c>
      <c r="F45" s="455"/>
      <c r="G45" s="456"/>
      <c r="H45" s="457"/>
      <c r="I45" s="456"/>
      <c r="J45" s="457"/>
      <c r="K45" s="456"/>
      <c r="L45" s="457"/>
      <c r="M45" s="456"/>
      <c r="N45" s="456"/>
      <c r="O45" s="459" t="s">
        <v>128</v>
      </c>
      <c r="P45" s="180"/>
      <c r="Q45" s="480"/>
      <c r="R45" s="604"/>
      <c r="S45" s="460"/>
      <c r="T45" s="460"/>
      <c r="U45" s="460"/>
      <c r="V45" s="460"/>
      <c r="W45" s="742"/>
    </row>
    <row r="46" spans="1:23" s="246" customFormat="1" ht="14.5">
      <c r="A46" s="5"/>
      <c r="B46" s="680" t="s">
        <v>1109</v>
      </c>
      <c r="C46" s="687" t="s">
        <v>1113</v>
      </c>
      <c r="D46" s="688">
        <v>1</v>
      </c>
      <c r="E46" s="606" t="s">
        <v>1114</v>
      </c>
      <c r="F46" s="608"/>
      <c r="G46" s="609"/>
      <c r="H46" s="610"/>
      <c r="I46" s="610"/>
      <c r="J46" s="610"/>
      <c r="K46" s="610"/>
      <c r="L46" s="609"/>
      <c r="M46" s="609"/>
      <c r="N46" s="611"/>
      <c r="O46" s="612">
        <v>555</v>
      </c>
      <c r="P46" s="180"/>
      <c r="Q46" s="480"/>
      <c r="R46" s="604"/>
      <c r="S46" s="460"/>
      <c r="T46" s="460"/>
      <c r="U46" s="460"/>
      <c r="V46" s="460"/>
      <c r="W46" s="742"/>
    </row>
    <row r="47" spans="1:23" s="246" customFormat="1" ht="14.5">
      <c r="A47" s="5"/>
      <c r="B47" s="680" t="s">
        <v>1109</v>
      </c>
      <c r="C47" s="687" t="s">
        <v>1008</v>
      </c>
      <c r="D47" s="800">
        <f>K11</f>
        <v>8.5</v>
      </c>
      <c r="E47" s="606" t="s">
        <v>1115</v>
      </c>
      <c r="F47" s="608"/>
      <c r="G47" s="609"/>
      <c r="H47" s="610"/>
      <c r="I47" s="610"/>
      <c r="J47" s="610"/>
      <c r="K47" s="610"/>
      <c r="L47" s="609"/>
      <c r="M47" s="609"/>
      <c r="N47" s="611"/>
      <c r="O47" s="612">
        <v>172</v>
      </c>
      <c r="P47" s="180"/>
      <c r="Q47" s="480"/>
      <c r="R47" s="604"/>
      <c r="S47" s="460"/>
      <c r="T47" s="460"/>
      <c r="U47" s="460"/>
      <c r="V47" s="460"/>
      <c r="W47" s="742"/>
    </row>
    <row r="48" spans="1:23" s="246" customFormat="1" ht="14.5">
      <c r="A48" s="5"/>
      <c r="B48" s="680" t="s">
        <v>1109</v>
      </c>
      <c r="C48" s="687" t="s">
        <v>915</v>
      </c>
      <c r="D48" s="802">
        <f>(K11*J11)-D47</f>
        <v>25.5</v>
      </c>
      <c r="E48" s="606" t="s">
        <v>916</v>
      </c>
      <c r="F48" s="608"/>
      <c r="G48" s="609"/>
      <c r="H48" s="610"/>
      <c r="I48" s="610"/>
      <c r="J48" s="610"/>
      <c r="K48" s="610"/>
      <c r="L48" s="609"/>
      <c r="M48" s="609"/>
      <c r="N48" s="609"/>
      <c r="O48" s="612">
        <v>345</v>
      </c>
      <c r="P48" s="180"/>
      <c r="Q48" s="480"/>
      <c r="R48" s="604"/>
      <c r="S48" s="460"/>
      <c r="T48" s="460"/>
      <c r="U48" s="460"/>
      <c r="V48" s="460"/>
      <c r="W48" s="742"/>
    </row>
    <row r="49" spans="1:23" s="246" customFormat="1" ht="14.5">
      <c r="A49" s="5"/>
      <c r="B49" s="247"/>
      <c r="C49" s="249"/>
      <c r="D49" s="249"/>
      <c r="E49" s="252"/>
      <c r="F49" s="455"/>
      <c r="G49" s="456"/>
      <c r="H49" s="457"/>
      <c r="I49" s="456"/>
      <c r="J49" s="457"/>
      <c r="K49" s="456"/>
      <c r="L49" s="457"/>
      <c r="M49" s="456"/>
      <c r="N49" s="456"/>
      <c r="O49" s="459"/>
      <c r="P49" s="180"/>
      <c r="Q49" s="480"/>
      <c r="R49" s="604"/>
      <c r="S49" s="460"/>
      <c r="T49" s="460"/>
      <c r="U49" s="460"/>
      <c r="V49" s="460"/>
      <c r="W49" s="742"/>
    </row>
    <row r="50" spans="1:23" s="246" customFormat="1" ht="14.5">
      <c r="A50" s="5"/>
      <c r="B50" s="680" t="s">
        <v>1067</v>
      </c>
      <c r="C50" s="687" t="s">
        <v>1006</v>
      </c>
      <c r="D50" s="688">
        <v>1</v>
      </c>
      <c r="E50" s="606" t="s">
        <v>1005</v>
      </c>
      <c r="F50" s="608"/>
      <c r="G50" s="609"/>
      <c r="H50" s="610"/>
      <c r="I50" s="610"/>
      <c r="J50" s="610"/>
      <c r="K50" s="610"/>
      <c r="L50" s="609"/>
      <c r="M50" s="609"/>
      <c r="N50" s="611"/>
      <c r="O50" s="612">
        <v>555</v>
      </c>
      <c r="P50" s="180"/>
      <c r="Q50" s="481" t="s">
        <v>129</v>
      </c>
      <c r="R50" s="604"/>
      <c r="S50" s="460"/>
      <c r="T50" s="460"/>
      <c r="U50" s="460"/>
      <c r="V50" s="460"/>
      <c r="W50" s="742"/>
    </row>
    <row r="51" spans="1:23" s="4" customFormat="1" ht="14.5">
      <c r="A51" s="5"/>
      <c r="B51" s="680" t="s">
        <v>1067</v>
      </c>
      <c r="C51" s="687" t="s">
        <v>1008</v>
      </c>
      <c r="D51" s="688">
        <v>5.6</v>
      </c>
      <c r="E51" s="606" t="s">
        <v>1104</v>
      </c>
      <c r="F51" s="608"/>
      <c r="G51" s="609"/>
      <c r="H51" s="610"/>
      <c r="I51" s="610"/>
      <c r="J51" s="610"/>
      <c r="K51" s="610"/>
      <c r="L51" s="609"/>
      <c r="M51" s="609"/>
      <c r="N51" s="611"/>
      <c r="O51" s="612">
        <v>172</v>
      </c>
      <c r="P51" s="180"/>
      <c r="Q51" s="481" t="s">
        <v>130</v>
      </c>
      <c r="R51" s="604"/>
      <c r="S51" s="460"/>
      <c r="T51" s="460"/>
      <c r="U51" s="460"/>
      <c r="V51" s="460"/>
      <c r="W51" s="460"/>
    </row>
    <row r="52" spans="1:23" s="4" customFormat="1" ht="14.5">
      <c r="A52" s="5"/>
      <c r="B52" s="680" t="s">
        <v>1067</v>
      </c>
      <c r="C52" s="687" t="s">
        <v>915</v>
      </c>
      <c r="D52" s="803">
        <f>K18*J18-D51</f>
        <v>16.399999999999999</v>
      </c>
      <c r="E52" s="606" t="s">
        <v>916</v>
      </c>
      <c r="F52" s="608"/>
      <c r="G52" s="609"/>
      <c r="H52" s="610"/>
      <c r="I52" s="610"/>
      <c r="J52" s="610"/>
      <c r="K52" s="610"/>
      <c r="L52" s="609"/>
      <c r="M52" s="609"/>
      <c r="N52" s="611"/>
      <c r="O52" s="612">
        <v>345</v>
      </c>
      <c r="P52" s="180"/>
      <c r="Q52" s="481" t="s">
        <v>131</v>
      </c>
      <c r="R52" s="604"/>
      <c r="S52" s="460"/>
      <c r="T52" s="460"/>
      <c r="U52" s="460"/>
      <c r="V52" s="460"/>
      <c r="W52" s="460"/>
    </row>
    <row r="53" spans="1:23" s="4" customFormat="1" ht="14.5">
      <c r="A53" s="5"/>
      <c r="B53" s="247"/>
      <c r="C53" s="249"/>
      <c r="D53" s="249"/>
      <c r="E53" s="252"/>
      <c r="F53" s="455"/>
      <c r="G53" s="456"/>
      <c r="H53" s="457"/>
      <c r="I53" s="456"/>
      <c r="J53" s="457"/>
      <c r="K53" s="456"/>
      <c r="L53" s="457"/>
      <c r="M53" s="456"/>
      <c r="N53" s="456"/>
      <c r="O53" s="459"/>
      <c r="P53" s="180"/>
      <c r="Q53" s="481" t="s">
        <v>132</v>
      </c>
      <c r="R53" s="604"/>
      <c r="S53" s="460"/>
      <c r="T53" s="460"/>
      <c r="U53" s="460"/>
      <c r="V53" s="460"/>
      <c r="W53" s="460"/>
    </row>
    <row r="54" spans="1:23" s="4" customFormat="1" ht="14.5">
      <c r="A54" s="5"/>
      <c r="B54" s="680" t="s">
        <v>980</v>
      </c>
      <c r="C54" s="687" t="s">
        <v>1008</v>
      </c>
      <c r="D54" s="801">
        <f>K25</f>
        <v>7</v>
      </c>
      <c r="E54" s="606" t="s">
        <v>1009</v>
      </c>
      <c r="F54" s="608"/>
      <c r="G54" s="609"/>
      <c r="H54" s="610"/>
      <c r="I54" s="610"/>
      <c r="J54" s="610"/>
      <c r="K54" s="610"/>
      <c r="L54" s="609"/>
      <c r="M54" s="609"/>
      <c r="N54" s="611"/>
      <c r="O54" s="612">
        <v>172</v>
      </c>
      <c r="P54" s="180"/>
      <c r="Q54" s="481" t="s">
        <v>133</v>
      </c>
      <c r="R54" s="604"/>
      <c r="S54" s="460"/>
      <c r="T54" s="460"/>
      <c r="U54" s="460"/>
      <c r="V54" s="460"/>
      <c r="W54" s="460"/>
    </row>
    <row r="55" spans="1:23" s="4" customFormat="1" ht="14.5">
      <c r="A55" s="5"/>
      <c r="B55" s="680" t="s">
        <v>980</v>
      </c>
      <c r="C55" s="687" t="s">
        <v>915</v>
      </c>
      <c r="D55" s="803">
        <f>K25*J25-D54</f>
        <v>21</v>
      </c>
      <c r="E55" s="606" t="s">
        <v>916</v>
      </c>
      <c r="F55" s="608"/>
      <c r="G55" s="609"/>
      <c r="H55" s="610"/>
      <c r="I55" s="610"/>
      <c r="J55" s="610"/>
      <c r="K55" s="610"/>
      <c r="L55" s="609"/>
      <c r="M55" s="609"/>
      <c r="N55" s="611"/>
      <c r="O55" s="612">
        <v>345</v>
      </c>
      <c r="P55" s="180"/>
      <c r="Q55" s="481" t="s">
        <v>135</v>
      </c>
      <c r="R55" s="604"/>
      <c r="S55" s="460"/>
      <c r="T55" s="460"/>
      <c r="U55" s="460"/>
      <c r="V55" s="460"/>
      <c r="W55" s="460"/>
    </row>
    <row r="56" spans="1:23" s="4" customFormat="1" ht="14.5">
      <c r="A56" s="5"/>
      <c r="B56" s="247"/>
      <c r="C56" s="249"/>
      <c r="D56" s="249"/>
      <c r="E56" s="252"/>
      <c r="F56" s="455"/>
      <c r="G56" s="456"/>
      <c r="H56" s="457"/>
      <c r="I56" s="456"/>
      <c r="J56" s="457"/>
      <c r="K56" s="456"/>
      <c r="L56" s="457"/>
      <c r="M56" s="456"/>
      <c r="N56" s="456"/>
      <c r="O56" s="459"/>
      <c r="P56" s="180"/>
      <c r="Q56" s="481" t="s">
        <v>136</v>
      </c>
      <c r="R56" s="604"/>
      <c r="S56" s="460"/>
      <c r="T56" s="460"/>
      <c r="U56" s="460"/>
      <c r="V56" s="460"/>
      <c r="W56" s="460"/>
    </row>
    <row r="57" spans="1:23" s="4" customFormat="1" ht="14.5">
      <c r="A57" s="5"/>
      <c r="B57" s="680" t="s">
        <v>1007</v>
      </c>
      <c r="C57" s="687" t="s">
        <v>917</v>
      </c>
      <c r="D57" s="688">
        <f>K29</f>
        <v>4</v>
      </c>
      <c r="E57" s="606" t="s">
        <v>918</v>
      </c>
      <c r="F57" s="608"/>
      <c r="G57" s="609"/>
      <c r="H57" s="610"/>
      <c r="I57" s="610"/>
      <c r="J57" s="610"/>
      <c r="K57" s="610"/>
      <c r="L57" s="609"/>
      <c r="M57" s="609"/>
      <c r="N57" s="611"/>
      <c r="O57" s="612">
        <v>138</v>
      </c>
      <c r="P57" s="180"/>
      <c r="Q57" s="481" t="s">
        <v>137</v>
      </c>
      <c r="R57" s="604"/>
      <c r="S57" s="460"/>
      <c r="T57" s="460"/>
      <c r="U57" s="460"/>
      <c r="V57" s="460"/>
      <c r="W57" s="460"/>
    </row>
    <row r="58" spans="1:23" s="4" customFormat="1" ht="14.5">
      <c r="A58" s="5"/>
      <c r="B58" s="247"/>
      <c r="C58" s="249"/>
      <c r="D58" s="249"/>
      <c r="E58" s="252"/>
      <c r="F58" s="455"/>
      <c r="G58" s="456"/>
      <c r="H58" s="457"/>
      <c r="I58" s="456"/>
      <c r="J58" s="457"/>
      <c r="K58" s="456"/>
      <c r="L58" s="457"/>
      <c r="M58" s="456"/>
      <c r="N58" s="456"/>
      <c r="O58" s="459"/>
      <c r="P58" s="180"/>
      <c r="Q58" s="481"/>
      <c r="R58" s="604"/>
      <c r="S58" s="460"/>
      <c r="T58" s="460"/>
      <c r="U58" s="460"/>
      <c r="V58" s="460"/>
      <c r="W58" s="460"/>
    </row>
    <row r="59" spans="1:23" s="4" customFormat="1" ht="14.5">
      <c r="A59" s="5"/>
      <c r="B59" s="680" t="s">
        <v>1097</v>
      </c>
      <c r="C59" s="687" t="s">
        <v>1008</v>
      </c>
      <c r="D59" s="804">
        <f>K35+K36</f>
        <v>6</v>
      </c>
      <c r="E59" s="606" t="s">
        <v>1104</v>
      </c>
      <c r="F59" s="608"/>
      <c r="G59" s="609"/>
      <c r="H59" s="610"/>
      <c r="I59" s="610"/>
      <c r="J59" s="610"/>
      <c r="K59" s="610"/>
      <c r="L59" s="609"/>
      <c r="M59" s="609"/>
      <c r="N59" s="611"/>
      <c r="O59" s="612">
        <v>172</v>
      </c>
      <c r="P59" s="180"/>
      <c r="Q59" s="481"/>
      <c r="R59" s="604"/>
      <c r="S59" s="460"/>
      <c r="T59" s="460"/>
      <c r="U59" s="460"/>
      <c r="V59" s="460"/>
      <c r="W59" s="460"/>
    </row>
    <row r="60" spans="1:23" s="4" customFormat="1" ht="14.5">
      <c r="A60" s="5"/>
      <c r="B60" s="680" t="s">
        <v>1097</v>
      </c>
      <c r="C60" s="687" t="s">
        <v>915</v>
      </c>
      <c r="D60" s="688">
        <v>10</v>
      </c>
      <c r="E60" s="606" t="s">
        <v>916</v>
      </c>
      <c r="F60" s="608"/>
      <c r="G60" s="609"/>
      <c r="H60" s="610"/>
      <c r="I60" s="610"/>
      <c r="J60" s="610"/>
      <c r="K60" s="610"/>
      <c r="L60" s="609"/>
      <c r="M60" s="609"/>
      <c r="N60" s="611"/>
      <c r="O60" s="612">
        <v>345</v>
      </c>
      <c r="P60" s="180"/>
      <c r="Q60" s="481"/>
      <c r="R60" s="604"/>
      <c r="S60" s="460"/>
      <c r="T60" s="460"/>
      <c r="U60" s="460"/>
      <c r="V60" s="460"/>
      <c r="W60" s="460"/>
    </row>
    <row r="61" spans="1:23" s="4" customFormat="1" ht="13.15" customHeight="1">
      <c r="A61" s="5"/>
      <c r="B61" s="247"/>
      <c r="C61" s="249"/>
      <c r="D61" s="249"/>
      <c r="E61" s="252"/>
      <c r="F61" s="455"/>
      <c r="G61" s="456"/>
      <c r="H61" s="457"/>
      <c r="I61" s="456"/>
      <c r="J61" s="457"/>
      <c r="K61" s="456"/>
      <c r="L61" s="457"/>
      <c r="M61" s="456"/>
      <c r="N61" s="456"/>
      <c r="O61" s="459"/>
      <c r="P61" s="180"/>
      <c r="Q61" s="481" t="s">
        <v>138</v>
      </c>
      <c r="R61" s="604"/>
      <c r="S61" s="460"/>
      <c r="T61" s="460"/>
      <c r="U61" s="460"/>
      <c r="V61" s="460"/>
      <c r="W61" s="460"/>
    </row>
    <row r="62" spans="1:23" s="4" customFormat="1" ht="14.5">
      <c r="A62" s="5"/>
      <c r="B62" s="680" t="s">
        <v>1057</v>
      </c>
      <c r="C62" s="687" t="s">
        <v>1058</v>
      </c>
      <c r="D62" s="688">
        <v>1</v>
      </c>
      <c r="E62" s="606" t="s">
        <v>1059</v>
      </c>
      <c r="F62" s="608"/>
      <c r="G62" s="609"/>
      <c r="H62" s="610"/>
      <c r="I62" s="610"/>
      <c r="J62" s="610"/>
      <c r="K62" s="610"/>
      <c r="L62" s="609"/>
      <c r="M62" s="609"/>
      <c r="N62" s="611"/>
      <c r="O62" s="612">
        <v>517</v>
      </c>
      <c r="P62" s="180"/>
      <c r="Q62" s="481" t="s">
        <v>140</v>
      </c>
      <c r="R62" s="604"/>
      <c r="S62" s="460"/>
      <c r="T62" s="460"/>
      <c r="U62" s="460"/>
      <c r="V62" s="460"/>
      <c r="W62" s="460"/>
    </row>
    <row r="63" spans="1:23" s="4" customFormat="1" ht="14.5">
      <c r="A63" s="5"/>
      <c r="B63" s="180"/>
      <c r="C63" s="180"/>
      <c r="D63" s="180"/>
      <c r="E63" s="180"/>
      <c r="F63" s="180"/>
      <c r="G63" s="180"/>
      <c r="H63" s="180"/>
      <c r="I63" s="180"/>
      <c r="J63" s="180"/>
      <c r="K63" s="180"/>
      <c r="L63" s="180"/>
      <c r="M63" s="180"/>
      <c r="N63" s="180"/>
      <c r="O63" s="180"/>
      <c r="P63" s="180"/>
      <c r="Q63" s="481" t="s">
        <v>141</v>
      </c>
      <c r="R63" s="604"/>
      <c r="S63" s="460"/>
      <c r="T63" s="460"/>
      <c r="U63" s="460"/>
      <c r="V63" s="460"/>
      <c r="W63" s="460"/>
    </row>
    <row r="64" spans="1:23" s="4" customFormat="1" ht="14.5">
      <c r="A64" s="180"/>
      <c r="B64" s="193" t="s">
        <v>829</v>
      </c>
      <c r="C64" s="180"/>
      <c r="D64" s="180"/>
      <c r="E64" s="180"/>
      <c r="F64" s="180"/>
      <c r="G64" s="180"/>
      <c r="H64" s="180"/>
      <c r="I64" s="180"/>
      <c r="J64" s="180"/>
      <c r="K64" s="180"/>
      <c r="L64" s="180"/>
      <c r="M64" s="180"/>
      <c r="N64" s="180"/>
      <c r="O64" s="180"/>
      <c r="P64" s="180"/>
      <c r="Q64" s="481" t="s">
        <v>142</v>
      </c>
      <c r="R64" s="604"/>
      <c r="S64" s="460"/>
      <c r="T64" s="460"/>
      <c r="U64" s="460"/>
      <c r="V64" s="460"/>
      <c r="W64" s="460"/>
    </row>
    <row r="65" spans="1:23" s="4" customFormat="1" ht="14.5">
      <c r="A65" s="5"/>
      <c r="B65" s="356" t="s">
        <v>919</v>
      </c>
      <c r="C65" s="180"/>
      <c r="D65" s="180"/>
      <c r="E65" s="180"/>
      <c r="F65" s="180"/>
      <c r="G65" s="180"/>
      <c r="H65" s="180"/>
      <c r="I65" s="180"/>
      <c r="J65" s="180"/>
      <c r="K65" s="180"/>
      <c r="L65" s="180"/>
      <c r="M65" s="180"/>
      <c r="N65" s="180"/>
      <c r="O65" s="180"/>
      <c r="P65" s="180"/>
      <c r="Q65" s="481"/>
      <c r="R65" s="604"/>
      <c r="S65" s="460"/>
      <c r="T65" s="460"/>
      <c r="U65" s="460"/>
      <c r="V65" s="460"/>
      <c r="W65" s="460"/>
    </row>
    <row r="66" spans="1:23" s="4" customFormat="1" ht="14.5">
      <c r="A66" s="5"/>
      <c r="B66" s="180"/>
      <c r="C66" s="180"/>
      <c r="D66" s="180"/>
      <c r="E66" s="180"/>
      <c r="F66" s="180"/>
      <c r="G66" s="180"/>
      <c r="H66" s="180"/>
      <c r="I66" s="180"/>
      <c r="J66" s="180"/>
      <c r="K66" s="180"/>
      <c r="L66" s="180"/>
      <c r="M66" s="180"/>
      <c r="N66" s="180"/>
      <c r="O66" s="180"/>
      <c r="P66" s="180"/>
      <c r="Q66" s="481"/>
      <c r="R66" s="604"/>
      <c r="S66" s="460"/>
      <c r="T66" s="460"/>
      <c r="U66" s="460"/>
      <c r="V66" s="460"/>
      <c r="W66" s="460"/>
    </row>
    <row r="67" spans="1:23" s="4" customFormat="1" ht="14.5">
      <c r="A67" s="5"/>
      <c r="B67" s="458" t="s">
        <v>920</v>
      </c>
      <c r="C67" s="177"/>
      <c r="D67" s="177"/>
      <c r="E67" s="112"/>
      <c r="F67" s="178"/>
      <c r="G67" s="179"/>
      <c r="H67" s="5"/>
      <c r="I67" s="5"/>
      <c r="J67" s="180"/>
      <c r="K67" s="179"/>
      <c r="L67" s="179"/>
      <c r="M67" s="179"/>
      <c r="N67" s="179"/>
      <c r="O67" s="179"/>
      <c r="P67" s="180"/>
      <c r="Q67" s="481"/>
      <c r="R67" s="604"/>
      <c r="S67" s="460"/>
      <c r="T67" s="460"/>
      <c r="U67" s="460"/>
      <c r="V67" s="460"/>
      <c r="W67" s="460"/>
    </row>
    <row r="68" spans="1:23" s="4" customFormat="1" ht="14.5">
      <c r="A68" s="5"/>
      <c r="B68" s="247" t="s">
        <v>125</v>
      </c>
      <c r="C68" s="249" t="s">
        <v>126</v>
      </c>
      <c r="D68" s="252" t="s">
        <v>127</v>
      </c>
      <c r="E68" s="454"/>
      <c r="F68" s="455"/>
      <c r="G68" s="456"/>
      <c r="H68" s="457"/>
      <c r="I68" s="456"/>
      <c r="J68" s="457"/>
      <c r="K68" s="456"/>
      <c r="L68" s="457"/>
      <c r="M68" s="456"/>
      <c r="N68" s="459" t="s">
        <v>128</v>
      </c>
      <c r="O68" s="179"/>
      <c r="P68" s="180"/>
      <c r="Q68" s="481" t="s">
        <v>143</v>
      </c>
      <c r="R68" s="604"/>
      <c r="S68" s="460"/>
      <c r="T68" s="460"/>
      <c r="U68" s="460"/>
      <c r="V68" s="460"/>
      <c r="W68" s="460"/>
    </row>
    <row r="69" spans="1:23" s="4" customFormat="1" ht="14.5">
      <c r="A69" s="5"/>
      <c r="B69" s="198" t="s">
        <v>134</v>
      </c>
      <c r="C69" s="605" t="s">
        <v>921</v>
      </c>
      <c r="D69" s="606" t="s">
        <v>922</v>
      </c>
      <c r="E69" s="607"/>
      <c r="F69" s="608"/>
      <c r="G69" s="609"/>
      <c r="H69" s="610"/>
      <c r="I69" s="610"/>
      <c r="J69" s="610"/>
      <c r="K69" s="610"/>
      <c r="L69" s="609"/>
      <c r="M69" s="611"/>
      <c r="N69" s="612">
        <v>309</v>
      </c>
      <c r="O69" s="179"/>
      <c r="P69" s="180"/>
      <c r="Q69" s="481" t="s">
        <v>144</v>
      </c>
      <c r="R69" s="604"/>
      <c r="S69" s="460"/>
      <c r="T69" s="460"/>
      <c r="U69" s="460"/>
      <c r="V69" s="460"/>
      <c r="W69" s="460"/>
    </row>
    <row r="70" spans="1:23" s="4" customFormat="1" ht="14.5">
      <c r="A70" s="5"/>
      <c r="B70" s="192"/>
      <c r="C70" s="5"/>
      <c r="D70" s="177"/>
      <c r="E70" s="112"/>
      <c r="F70" s="178"/>
      <c r="G70" s="179"/>
      <c r="H70" s="5"/>
      <c r="I70" s="5"/>
      <c r="J70" s="180"/>
      <c r="K70" s="179"/>
      <c r="L70" s="179"/>
      <c r="M70" s="179"/>
      <c r="N70" s="179"/>
      <c r="O70" s="179"/>
      <c r="P70" s="180"/>
      <c r="Q70" s="481" t="s">
        <v>145</v>
      </c>
      <c r="R70" s="604"/>
      <c r="S70" s="460"/>
      <c r="T70" s="460"/>
      <c r="U70" s="460"/>
      <c r="V70" s="460"/>
      <c r="W70" s="460"/>
    </row>
    <row r="71" spans="1:23" s="246" customFormat="1" ht="14.5">
      <c r="A71" s="5"/>
      <c r="B71" s="458" t="s">
        <v>923</v>
      </c>
      <c r="C71" s="177"/>
      <c r="D71" s="177"/>
      <c r="E71" s="112"/>
      <c r="F71" s="178"/>
      <c r="G71" s="179"/>
      <c r="H71" s="5"/>
      <c r="I71" s="5"/>
      <c r="J71" s="180"/>
      <c r="K71" s="179"/>
      <c r="L71" s="179"/>
      <c r="M71" s="179"/>
      <c r="N71" s="179"/>
      <c r="O71" s="179"/>
      <c r="P71" s="180"/>
      <c r="Q71" s="481" t="s">
        <v>146</v>
      </c>
      <c r="R71" s="604"/>
      <c r="S71" s="460"/>
      <c r="T71" s="460"/>
      <c r="U71" s="460"/>
      <c r="V71" s="460"/>
      <c r="W71" s="742"/>
    </row>
    <row r="72" spans="1:23" s="4" customFormat="1" ht="14.5">
      <c r="A72" s="5"/>
      <c r="B72" s="247" t="s">
        <v>125</v>
      </c>
      <c r="C72" s="249" t="s">
        <v>126</v>
      </c>
      <c r="D72" s="252" t="s">
        <v>127</v>
      </c>
      <c r="E72" s="454"/>
      <c r="F72" s="455"/>
      <c r="G72" s="456"/>
      <c r="H72" s="457"/>
      <c r="I72" s="456"/>
      <c r="J72" s="457"/>
      <c r="K72" s="456"/>
      <c r="L72" s="457"/>
      <c r="M72" s="456"/>
      <c r="N72" s="459" t="s">
        <v>128</v>
      </c>
      <c r="O72" s="179"/>
      <c r="P72" s="180"/>
      <c r="Q72" s="481" t="s">
        <v>147</v>
      </c>
      <c r="R72" s="604"/>
      <c r="S72" s="460"/>
      <c r="T72" s="460"/>
      <c r="U72" s="460"/>
      <c r="V72" s="460"/>
      <c r="W72" s="460"/>
    </row>
    <row r="73" spans="1:23" s="4" customFormat="1" ht="14.5">
      <c r="A73" s="5"/>
      <c r="B73" s="198" t="s">
        <v>134</v>
      </c>
      <c r="C73" s="605" t="s">
        <v>924</v>
      </c>
      <c r="D73" s="606" t="s">
        <v>925</v>
      </c>
      <c r="E73" s="607"/>
      <c r="F73" s="608"/>
      <c r="G73" s="609"/>
      <c r="H73" s="610"/>
      <c r="I73" s="610"/>
      <c r="J73" s="610"/>
      <c r="K73" s="610"/>
      <c r="L73" s="609"/>
      <c r="M73" s="611"/>
      <c r="N73" s="612">
        <v>140</v>
      </c>
      <c r="O73" s="179"/>
      <c r="P73" s="180"/>
      <c r="Q73" s="481" t="s">
        <v>148</v>
      </c>
      <c r="R73" s="604"/>
      <c r="S73" s="460"/>
      <c r="T73" s="460"/>
      <c r="U73" s="460"/>
      <c r="V73" s="460"/>
      <c r="W73" s="460"/>
    </row>
    <row r="74" spans="1:23" s="4" customFormat="1" ht="14.5">
      <c r="A74" s="5"/>
      <c r="B74" s="248"/>
      <c r="C74" s="179"/>
      <c r="D74" s="179"/>
      <c r="E74" s="179"/>
      <c r="F74" s="179"/>
      <c r="G74" s="179"/>
      <c r="H74" s="179"/>
      <c r="I74" s="179"/>
      <c r="J74" s="179"/>
      <c r="K74" s="179"/>
      <c r="L74" s="179"/>
      <c r="M74" s="179"/>
      <c r="N74" s="179"/>
      <c r="O74" s="179"/>
      <c r="P74" s="180"/>
      <c r="Q74" s="481" t="s">
        <v>149</v>
      </c>
      <c r="R74" s="604"/>
      <c r="S74" s="460"/>
      <c r="T74" s="460"/>
      <c r="U74" s="460"/>
      <c r="V74" s="460"/>
      <c r="W74" s="460"/>
    </row>
    <row r="75" spans="1:23" s="4" customFormat="1" ht="14.5">
      <c r="A75" s="5"/>
      <c r="B75" s="458" t="s">
        <v>1017</v>
      </c>
      <c r="C75" s="177"/>
      <c r="D75" s="177"/>
      <c r="E75" s="112"/>
      <c r="F75" s="178"/>
      <c r="G75" s="179"/>
      <c r="H75" s="5"/>
      <c r="I75" s="5"/>
      <c r="J75" s="180"/>
      <c r="K75" s="179"/>
      <c r="L75" s="179"/>
      <c r="M75" s="179"/>
      <c r="N75" s="179"/>
      <c r="O75" s="179"/>
      <c r="P75" s="180"/>
      <c r="Q75" s="481" t="s">
        <v>133</v>
      </c>
      <c r="R75" s="604"/>
      <c r="S75" s="460"/>
      <c r="T75" s="460"/>
      <c r="U75" s="460"/>
      <c r="V75" s="460"/>
      <c r="W75" s="460"/>
    </row>
    <row r="76" spans="1:23" s="4" customFormat="1" ht="58">
      <c r="A76" s="5"/>
      <c r="B76" s="249" t="s">
        <v>125</v>
      </c>
      <c r="C76" s="461"/>
      <c r="D76" s="462"/>
      <c r="E76" s="454"/>
      <c r="F76" s="455"/>
      <c r="G76" s="456"/>
      <c r="H76" s="457"/>
      <c r="I76" s="456"/>
      <c r="J76" s="457"/>
      <c r="K76" s="701" t="s">
        <v>1018</v>
      </c>
      <c r="L76" s="702" t="s">
        <v>1019</v>
      </c>
      <c r="M76" s="701" t="s">
        <v>1137</v>
      </c>
      <c r="N76" s="702" t="s">
        <v>1020</v>
      </c>
      <c r="O76" s="179"/>
      <c r="P76" s="180"/>
      <c r="Q76" s="481" t="s">
        <v>150</v>
      </c>
      <c r="R76" s="604"/>
      <c r="S76" s="460"/>
      <c r="T76" s="460"/>
      <c r="U76" s="460"/>
      <c r="V76" s="460"/>
      <c r="W76" s="460"/>
    </row>
    <row r="77" spans="1:23" s="4" customFormat="1" ht="14.5">
      <c r="A77" s="5"/>
      <c r="B77" s="251" t="s">
        <v>1109</v>
      </c>
      <c r="C77" s="705"/>
      <c r="D77" s="706"/>
      <c r="E77" s="707"/>
      <c r="F77" s="708"/>
      <c r="G77" s="709"/>
      <c r="H77" s="710"/>
      <c r="I77" s="710"/>
      <c r="J77" s="710"/>
      <c r="K77" s="688"/>
      <c r="L77" s="703">
        <f>'Inputs and eligible population'!F82</f>
        <v>5</v>
      </c>
      <c r="M77" s="703">
        <f t="shared" ref="M77" si="8">K77*L77</f>
        <v>0</v>
      </c>
      <c r="N77" s="704" t="s">
        <v>1103</v>
      </c>
      <c r="O77" s="179"/>
      <c r="P77" s="180"/>
      <c r="Q77" s="481"/>
      <c r="R77" s="604"/>
      <c r="S77" s="460"/>
      <c r="T77" s="460"/>
      <c r="U77" s="460"/>
      <c r="V77" s="460"/>
      <c r="W77" s="460"/>
    </row>
    <row r="78" spans="1:23" s="4" customFormat="1" ht="14.5">
      <c r="A78" s="5"/>
      <c r="B78" s="251" t="s">
        <v>1067</v>
      </c>
      <c r="C78" s="705"/>
      <c r="D78" s="706"/>
      <c r="E78" s="707"/>
      <c r="F78" s="708"/>
      <c r="G78" s="709"/>
      <c r="H78" s="710"/>
      <c r="I78" s="710"/>
      <c r="J78" s="710"/>
      <c r="K78" s="688"/>
      <c r="L78" s="703">
        <f>'Inputs and eligible population'!G82</f>
        <v>5</v>
      </c>
      <c r="M78" s="703">
        <f>K78*L78</f>
        <v>0</v>
      </c>
      <c r="N78" s="704" t="s">
        <v>1103</v>
      </c>
      <c r="O78" s="179"/>
      <c r="P78" s="180"/>
      <c r="Q78" s="481"/>
      <c r="R78" s="604"/>
      <c r="S78" s="460"/>
      <c r="T78" s="460"/>
      <c r="U78" s="460"/>
      <c r="V78" s="460"/>
      <c r="W78" s="460"/>
    </row>
    <row r="79" spans="1:23" s="4" customFormat="1" ht="14.5">
      <c r="A79" s="5"/>
      <c r="B79" s="251" t="s">
        <v>980</v>
      </c>
      <c r="C79" s="705"/>
      <c r="D79" s="706"/>
      <c r="E79" s="707"/>
      <c r="F79" s="708"/>
      <c r="G79" s="709"/>
      <c r="H79" s="710"/>
      <c r="I79" s="710"/>
      <c r="J79" s="710"/>
      <c r="K79" s="688"/>
      <c r="L79" s="703">
        <f>'Inputs and eligible population'!H82</f>
        <v>0</v>
      </c>
      <c r="M79" s="703">
        <f t="shared" ref="M79:M81" si="9">K79*L79</f>
        <v>0</v>
      </c>
      <c r="N79" s="704" t="s">
        <v>1103</v>
      </c>
      <c r="O79" s="179"/>
      <c r="P79" s="180"/>
      <c r="Q79" s="481"/>
      <c r="R79" s="604"/>
      <c r="S79" s="460"/>
      <c r="T79" s="460"/>
      <c r="U79" s="460"/>
      <c r="V79" s="460"/>
      <c r="W79" s="460"/>
    </row>
    <row r="80" spans="1:23" s="4" customFormat="1" ht="14.5">
      <c r="A80" s="5"/>
      <c r="B80" s="251" t="s">
        <v>1007</v>
      </c>
      <c r="C80" s="705"/>
      <c r="D80" s="706"/>
      <c r="E80" s="707"/>
      <c r="F80" s="708"/>
      <c r="G80" s="709"/>
      <c r="H80" s="710"/>
      <c r="I80" s="710"/>
      <c r="J80" s="710"/>
      <c r="K80" s="688"/>
      <c r="L80" s="703">
        <f>'Inputs and eligible population'!I82</f>
        <v>0</v>
      </c>
      <c r="M80" s="703">
        <f t="shared" si="9"/>
        <v>0</v>
      </c>
      <c r="N80" s="704" t="s">
        <v>1103</v>
      </c>
      <c r="O80" s="179"/>
      <c r="P80" s="180"/>
      <c r="Q80" s="481"/>
      <c r="R80" s="604"/>
      <c r="S80" s="460"/>
      <c r="T80" s="460"/>
      <c r="U80" s="460"/>
      <c r="V80" s="460"/>
      <c r="W80" s="460"/>
    </row>
    <row r="81" spans="1:23" s="4" customFormat="1" ht="14.5">
      <c r="A81" s="5"/>
      <c r="B81" s="251" t="s">
        <v>1097</v>
      </c>
      <c r="C81" s="705"/>
      <c r="D81" s="706"/>
      <c r="E81" s="707"/>
      <c r="F81" s="708"/>
      <c r="G81" s="709"/>
      <c r="H81" s="710"/>
      <c r="I81" s="710"/>
      <c r="J81" s="710"/>
      <c r="K81" s="688"/>
      <c r="L81" s="703">
        <f>'Inputs and eligible population'!J82</f>
        <v>0</v>
      </c>
      <c r="M81" s="703">
        <f t="shared" si="9"/>
        <v>0</v>
      </c>
      <c r="N81" s="704" t="s">
        <v>1103</v>
      </c>
      <c r="O81" s="179"/>
      <c r="P81" s="180"/>
      <c r="Q81" s="481" t="s">
        <v>977</v>
      </c>
      <c r="R81" s="604"/>
      <c r="S81" s="460"/>
      <c r="T81" s="460"/>
      <c r="U81" s="460"/>
      <c r="V81" s="460"/>
      <c r="W81" s="460"/>
    </row>
    <row r="82" spans="1:23" s="4" customFormat="1" ht="14.5">
      <c r="A82" s="5"/>
      <c r="B82" s="733" t="s">
        <v>1084</v>
      </c>
      <c r="C82" s="5"/>
      <c r="D82" s="177"/>
      <c r="E82" s="112"/>
      <c r="F82" s="178"/>
      <c r="G82" s="179"/>
      <c r="H82" s="5"/>
      <c r="I82" s="5"/>
      <c r="J82" s="180"/>
      <c r="K82" s="179"/>
      <c r="L82" s="179"/>
      <c r="M82" s="179"/>
      <c r="N82" s="179"/>
      <c r="O82" s="179"/>
      <c r="P82" s="180"/>
      <c r="Q82" s="481"/>
      <c r="R82" s="604"/>
      <c r="S82" s="460"/>
      <c r="T82" s="460"/>
      <c r="U82" s="460"/>
      <c r="V82" s="460"/>
      <c r="W82" s="460"/>
    </row>
    <row r="83" spans="1:23" s="4" customFormat="1" ht="14.5">
      <c r="A83" s="5"/>
      <c r="B83" s="192"/>
      <c r="C83" s="5"/>
      <c r="D83" s="177"/>
      <c r="E83" s="112"/>
      <c r="F83" s="178"/>
      <c r="G83" s="179"/>
      <c r="H83" s="5"/>
      <c r="I83" s="5"/>
      <c r="J83" s="180"/>
      <c r="K83" s="179"/>
      <c r="L83" s="179"/>
      <c r="M83" s="179"/>
      <c r="N83" s="179"/>
      <c r="O83" s="179"/>
      <c r="P83" s="180"/>
      <c r="Q83" s="481"/>
      <c r="R83" s="604"/>
      <c r="S83" s="460"/>
      <c r="T83" s="460"/>
      <c r="U83" s="460"/>
      <c r="V83" s="460"/>
      <c r="W83" s="460"/>
    </row>
    <row r="84" spans="1:23" s="4" customFormat="1" ht="14.5">
      <c r="A84" s="5"/>
      <c r="B84" s="458" t="s">
        <v>139</v>
      </c>
      <c r="C84" s="177"/>
      <c r="D84" s="177"/>
      <c r="E84" s="112"/>
      <c r="F84" s="178"/>
      <c r="G84" s="179"/>
      <c r="H84" s="5"/>
      <c r="I84" s="5"/>
      <c r="J84" s="180"/>
      <c r="K84" s="179"/>
      <c r="L84" s="179"/>
      <c r="M84" s="179"/>
      <c r="N84" s="179"/>
      <c r="O84" s="179"/>
      <c r="P84" s="180"/>
      <c r="Q84" s="613"/>
      <c r="R84" s="604"/>
      <c r="S84" s="460"/>
      <c r="T84" s="460"/>
      <c r="U84" s="460"/>
      <c r="V84" s="460"/>
      <c r="W84" s="460"/>
    </row>
    <row r="85" spans="1:23" s="4" customFormat="1" ht="14.5">
      <c r="A85" s="5"/>
      <c r="B85" s="247" t="s">
        <v>125</v>
      </c>
      <c r="C85" s="249" t="s">
        <v>126</v>
      </c>
      <c r="D85" s="252" t="s">
        <v>127</v>
      </c>
      <c r="E85" s="454"/>
      <c r="F85" s="455"/>
      <c r="G85" s="456"/>
      <c r="H85" s="457"/>
      <c r="I85" s="456"/>
      <c r="J85" s="457"/>
      <c r="K85" s="456"/>
      <c r="L85" s="457"/>
      <c r="M85" s="456"/>
      <c r="N85" s="459" t="s">
        <v>128</v>
      </c>
      <c r="O85" s="179"/>
      <c r="P85" s="180"/>
      <c r="Q85" s="740"/>
      <c r="R85" s="604"/>
      <c r="S85" s="460"/>
      <c r="T85" s="460"/>
      <c r="U85" s="460"/>
      <c r="V85" s="460"/>
      <c r="W85" s="460"/>
    </row>
    <row r="86" spans="1:23" s="4" customFormat="1" ht="14.5">
      <c r="A86" s="5"/>
      <c r="B86" s="198" t="s">
        <v>134</v>
      </c>
      <c r="C86" s="605" t="s">
        <v>921</v>
      </c>
      <c r="D86" s="606" t="s">
        <v>926</v>
      </c>
      <c r="E86" s="607"/>
      <c r="F86" s="608"/>
      <c r="G86" s="609"/>
      <c r="H86" s="610"/>
      <c r="I86" s="610"/>
      <c r="J86" s="610"/>
      <c r="K86" s="610"/>
      <c r="L86" s="609"/>
      <c r="M86" s="611"/>
      <c r="N86" s="612"/>
      <c r="O86" s="179"/>
      <c r="P86" s="180"/>
      <c r="Q86" s="740"/>
      <c r="R86" s="604"/>
      <c r="S86" s="460"/>
      <c r="T86" s="460"/>
      <c r="U86" s="460"/>
      <c r="V86" s="460"/>
      <c r="W86" s="460"/>
    </row>
    <row r="87" spans="1:23" s="4" customFormat="1" ht="14.5">
      <c r="A87" s="5"/>
      <c r="B87" s="194" t="s">
        <v>829</v>
      </c>
      <c r="C87" s="5"/>
      <c r="D87" s="177"/>
      <c r="E87" s="112"/>
      <c r="F87" s="178"/>
      <c r="G87" s="179"/>
      <c r="H87" s="5"/>
      <c r="I87" s="5"/>
      <c r="J87" s="180"/>
      <c r="K87" s="179"/>
      <c r="L87" s="179"/>
      <c r="M87" s="179"/>
      <c r="N87" s="179"/>
      <c r="O87" s="179"/>
      <c r="P87" s="180"/>
      <c r="Q87" s="740"/>
      <c r="R87" s="604"/>
      <c r="S87" s="460"/>
      <c r="T87" s="460"/>
      <c r="U87" s="460"/>
      <c r="V87" s="460"/>
      <c r="W87" s="460"/>
    </row>
    <row r="88" spans="1:23" s="4" customFormat="1" ht="42" customHeight="1">
      <c r="A88" s="5"/>
      <c r="B88" s="356" t="s">
        <v>919</v>
      </c>
      <c r="C88" s="5"/>
      <c r="D88" s="177"/>
      <c r="E88" s="112"/>
      <c r="F88" s="178"/>
      <c r="G88" s="179"/>
      <c r="H88" s="5"/>
      <c r="I88" s="5"/>
      <c r="J88" s="180"/>
      <c r="K88" s="179"/>
      <c r="L88" s="179"/>
      <c r="M88" s="179"/>
      <c r="N88" s="179"/>
      <c r="O88" s="179"/>
      <c r="P88" s="180"/>
      <c r="Q88" s="740"/>
      <c r="R88" s="604"/>
      <c r="S88" s="460"/>
      <c r="T88" s="460"/>
      <c r="U88" s="460"/>
      <c r="V88" s="460"/>
      <c r="W88" s="460"/>
    </row>
    <row r="89" spans="1:23" s="4" customFormat="1" ht="14.5">
      <c r="A89" s="5"/>
      <c r="B89" s="192"/>
      <c r="C89" s="5"/>
      <c r="D89" s="177"/>
      <c r="E89" s="112"/>
      <c r="F89" s="178"/>
      <c r="G89" s="179"/>
      <c r="H89" s="5"/>
      <c r="I89" s="5"/>
      <c r="J89" s="180"/>
      <c r="K89" s="179"/>
      <c r="L89" s="179"/>
      <c r="M89" s="179"/>
      <c r="N89" s="179"/>
      <c r="O89" s="179"/>
      <c r="P89" s="179"/>
      <c r="Q89" s="740"/>
      <c r="R89" s="604"/>
      <c r="S89" s="460"/>
      <c r="T89" s="460"/>
      <c r="U89" s="460"/>
      <c r="V89" s="460"/>
      <c r="W89" s="460"/>
    </row>
    <row r="90" spans="1:23" s="4" customFormat="1" ht="14.5">
      <c r="A90" s="5"/>
      <c r="B90" s="720" t="s">
        <v>1139</v>
      </c>
      <c r="C90" s="5"/>
      <c r="D90" s="177"/>
      <c r="E90" s="112"/>
      <c r="F90" s="178"/>
      <c r="G90" s="179"/>
      <c r="H90" s="5"/>
      <c r="I90" s="5"/>
      <c r="J90" s="180"/>
      <c r="K90" s="179"/>
      <c r="L90" s="179"/>
      <c r="M90" s="179"/>
      <c r="N90" s="179"/>
      <c r="O90" s="179"/>
      <c r="P90" s="179"/>
      <c r="Q90" s="740"/>
      <c r="R90" s="604"/>
      <c r="S90" s="460"/>
      <c r="T90" s="460"/>
      <c r="U90" s="460"/>
      <c r="V90" s="460"/>
      <c r="W90" s="460"/>
    </row>
    <row r="91" spans="1:23" s="4" customFormat="1" ht="43.5">
      <c r="A91" s="5"/>
      <c r="B91" s="247" t="s">
        <v>1024</v>
      </c>
      <c r="C91" s="249" t="s">
        <v>1025</v>
      </c>
      <c r="D91" s="724"/>
      <c r="E91" s="247" t="s">
        <v>1026</v>
      </c>
      <c r="F91" s="247" t="s">
        <v>1027</v>
      </c>
      <c r="G91" s="247" t="s">
        <v>1021</v>
      </c>
      <c r="H91" s="250" t="s">
        <v>1028</v>
      </c>
      <c r="I91" s="250" t="s">
        <v>1029</v>
      </c>
      <c r="J91" s="180"/>
      <c r="K91" s="179"/>
      <c r="L91" s="179"/>
      <c r="M91" s="179"/>
      <c r="N91" s="179"/>
      <c r="O91" s="179"/>
      <c r="P91" s="179"/>
      <c r="Q91" s="740"/>
      <c r="R91" s="604"/>
      <c r="S91" s="460"/>
      <c r="T91" s="460"/>
      <c r="U91" s="460"/>
      <c r="V91" s="460"/>
      <c r="W91" s="460"/>
    </row>
    <row r="92" spans="1:23" s="4" customFormat="1" ht="29">
      <c r="A92" s="5"/>
      <c r="B92" s="149" t="s">
        <v>1082</v>
      </c>
      <c r="C92" s="913" t="s">
        <v>1083</v>
      </c>
      <c r="D92" s="913" t="s">
        <v>1032</v>
      </c>
      <c r="E92" s="717" t="s">
        <v>1032</v>
      </c>
      <c r="F92" s="717" t="s">
        <v>1033</v>
      </c>
      <c r="G92" s="897">
        <v>6728</v>
      </c>
      <c r="H92" s="612">
        <v>2526.86303676635</v>
      </c>
      <c r="I92" s="718">
        <f t="shared" ref="I92:I98" si="10">(G92/$G$106)*H92</f>
        <v>17.06445317953639</v>
      </c>
      <c r="J92" s="180"/>
      <c r="K92" s="179"/>
      <c r="L92" s="179"/>
      <c r="M92" s="179"/>
      <c r="N92" s="179"/>
      <c r="O92" s="179"/>
      <c r="P92" s="179"/>
      <c r="Q92" s="740"/>
      <c r="R92" s="604"/>
      <c r="S92" s="460"/>
      <c r="T92" s="460"/>
      <c r="U92" s="460"/>
      <c r="V92" s="460"/>
      <c r="W92" s="460"/>
    </row>
    <row r="93" spans="1:23" s="4" customFormat="1" ht="29">
      <c r="A93" s="5"/>
      <c r="B93" s="149" t="s">
        <v>1082</v>
      </c>
      <c r="C93" s="913" t="s">
        <v>1083</v>
      </c>
      <c r="D93" s="913" t="s">
        <v>1034</v>
      </c>
      <c r="E93" s="717" t="s">
        <v>1034</v>
      </c>
      <c r="F93" s="717" t="s">
        <v>1035</v>
      </c>
      <c r="G93" s="897">
        <v>27506</v>
      </c>
      <c r="H93" s="612">
        <v>2855.20346146171</v>
      </c>
      <c r="I93" s="718">
        <f t="shared" si="10"/>
        <v>78.829576047928768</v>
      </c>
      <c r="J93" s="180"/>
      <c r="K93" s="179"/>
      <c r="L93" s="179"/>
      <c r="M93" s="179"/>
      <c r="N93" s="179"/>
      <c r="O93" s="179"/>
      <c r="P93" s="179"/>
      <c r="Q93" s="740"/>
      <c r="R93" s="604"/>
      <c r="S93" s="460"/>
      <c r="T93" s="460"/>
      <c r="U93" s="460"/>
      <c r="V93" s="460"/>
      <c r="W93" s="460"/>
    </row>
    <row r="94" spans="1:23" s="4" customFormat="1" ht="29">
      <c r="A94" s="5"/>
      <c r="B94" s="149" t="s">
        <v>1082</v>
      </c>
      <c r="C94" s="913" t="s">
        <v>1083</v>
      </c>
      <c r="D94" s="913" t="s">
        <v>1036</v>
      </c>
      <c r="E94" s="717" t="s">
        <v>1036</v>
      </c>
      <c r="F94" s="717" t="s">
        <v>1037</v>
      </c>
      <c r="G94" s="897">
        <v>91538</v>
      </c>
      <c r="H94" s="612">
        <v>2871.4001812490701</v>
      </c>
      <c r="I94" s="718">
        <f t="shared" si="10"/>
        <v>263.82736115774037</v>
      </c>
      <c r="J94" s="180"/>
      <c r="K94" s="179"/>
      <c r="L94" s="179"/>
      <c r="M94" s="179"/>
      <c r="N94" s="179"/>
      <c r="O94" s="179"/>
      <c r="P94" s="179"/>
      <c r="Q94" s="740"/>
      <c r="R94" s="604"/>
      <c r="S94" s="460"/>
      <c r="T94" s="460"/>
      <c r="U94" s="460"/>
      <c r="V94" s="460"/>
      <c r="W94" s="460"/>
    </row>
    <row r="95" spans="1:23" s="4" customFormat="1" ht="29">
      <c r="A95" s="5"/>
      <c r="B95" s="149" t="s">
        <v>1082</v>
      </c>
      <c r="C95" s="913" t="s">
        <v>1083</v>
      </c>
      <c r="D95" s="913" t="s">
        <v>1038</v>
      </c>
      <c r="E95" s="717" t="s">
        <v>1038</v>
      </c>
      <c r="F95" s="717" t="s">
        <v>1039</v>
      </c>
      <c r="G95" s="897">
        <v>204031</v>
      </c>
      <c r="H95" s="612">
        <v>2651.06865286943</v>
      </c>
      <c r="I95" s="718">
        <f t="shared" si="10"/>
        <v>542.92747952213836</v>
      </c>
      <c r="J95" s="180"/>
      <c r="K95" s="179"/>
      <c r="L95" s="179"/>
      <c r="M95" s="179"/>
      <c r="N95" s="179"/>
      <c r="O95" s="179"/>
      <c r="P95" s="179"/>
      <c r="Q95" s="740"/>
      <c r="R95" s="604"/>
      <c r="S95" s="460"/>
      <c r="T95" s="460"/>
      <c r="U95" s="460"/>
      <c r="V95" s="460"/>
      <c r="W95" s="460"/>
    </row>
    <row r="96" spans="1:23" s="4" customFormat="1" ht="29">
      <c r="A96" s="5"/>
      <c r="B96" s="149" t="s">
        <v>1082</v>
      </c>
      <c r="C96" s="913" t="s">
        <v>1083</v>
      </c>
      <c r="D96" s="913" t="s">
        <v>1040</v>
      </c>
      <c r="E96" s="717" t="s">
        <v>1040</v>
      </c>
      <c r="F96" s="717" t="s">
        <v>1041</v>
      </c>
      <c r="G96" s="897">
        <v>263136</v>
      </c>
      <c r="H96" s="612">
        <v>2395.56478551696</v>
      </c>
      <c r="I96" s="718">
        <f t="shared" si="10"/>
        <v>632.72191904751423</v>
      </c>
      <c r="J96" s="180"/>
      <c r="K96" s="179"/>
      <c r="L96" s="179"/>
      <c r="M96" s="179"/>
      <c r="N96" s="179"/>
      <c r="O96" s="179"/>
      <c r="P96" s="179"/>
      <c r="Q96" s="740"/>
      <c r="R96" s="604"/>
      <c r="S96" s="460"/>
      <c r="T96" s="460"/>
      <c r="U96" s="460"/>
      <c r="V96" s="460"/>
      <c r="W96" s="460"/>
    </row>
    <row r="97" spans="1:23" s="4" customFormat="1" ht="29">
      <c r="A97" s="5"/>
      <c r="B97" s="149" t="s">
        <v>1082</v>
      </c>
      <c r="C97" s="913" t="s">
        <v>1083</v>
      </c>
      <c r="D97" s="913" t="s">
        <v>1042</v>
      </c>
      <c r="E97" s="717" t="s">
        <v>1042</v>
      </c>
      <c r="F97" s="717" t="s">
        <v>1043</v>
      </c>
      <c r="G97" s="897">
        <v>297463</v>
      </c>
      <c r="H97" s="612">
        <v>1721.8555154078899</v>
      </c>
      <c r="I97" s="718">
        <f t="shared" si="10"/>
        <v>514.10798640099847</v>
      </c>
      <c r="J97" s="180"/>
      <c r="K97" s="179"/>
      <c r="L97" s="179"/>
      <c r="M97" s="179"/>
      <c r="N97" s="179"/>
      <c r="O97" s="179"/>
      <c r="P97" s="179"/>
      <c r="Q97" s="740"/>
      <c r="R97" s="604"/>
      <c r="S97" s="460"/>
      <c r="T97" s="460"/>
      <c r="U97" s="460"/>
      <c r="V97" s="460"/>
      <c r="W97" s="460"/>
    </row>
    <row r="98" spans="1:23" s="4" customFormat="1" ht="29">
      <c r="A98" s="5"/>
      <c r="B98" s="149" t="s">
        <v>1082</v>
      </c>
      <c r="C98" s="913" t="s">
        <v>1083</v>
      </c>
      <c r="D98" s="913" t="s">
        <v>1044</v>
      </c>
      <c r="E98" s="717" t="s">
        <v>1044</v>
      </c>
      <c r="F98" s="717" t="s">
        <v>1045</v>
      </c>
      <c r="G98" s="897">
        <v>33173</v>
      </c>
      <c r="H98" s="612">
        <v>1709.19367994052</v>
      </c>
      <c r="I98" s="718">
        <f t="shared" si="10"/>
        <v>56.911589821058698</v>
      </c>
      <c r="J98" s="180"/>
      <c r="K98" s="179"/>
      <c r="L98" s="179"/>
      <c r="M98" s="179"/>
      <c r="N98" s="179"/>
      <c r="O98" s="179"/>
      <c r="P98" s="179"/>
      <c r="Q98" s="740"/>
      <c r="R98" s="604"/>
      <c r="S98" s="460"/>
      <c r="T98" s="460"/>
      <c r="U98" s="460"/>
      <c r="V98" s="460"/>
      <c r="W98" s="460"/>
    </row>
    <row r="99" spans="1:23" s="4" customFormat="1" ht="29">
      <c r="A99" s="5"/>
      <c r="B99" s="149" t="s">
        <v>1030</v>
      </c>
      <c r="C99" s="913" t="s">
        <v>1031</v>
      </c>
      <c r="D99" s="913"/>
      <c r="E99" s="717" t="s">
        <v>1032</v>
      </c>
      <c r="F99" s="717" t="s">
        <v>1033</v>
      </c>
      <c r="G99" s="897">
        <v>108</v>
      </c>
      <c r="H99" s="612">
        <v>1471.39089301851</v>
      </c>
      <c r="I99" s="718">
        <f>(G99/$G$106)*H99</f>
        <v>0.15950581114481382</v>
      </c>
      <c r="J99" s="180"/>
      <c r="K99" s="179"/>
      <c r="L99" s="179"/>
      <c r="M99" s="179"/>
      <c r="N99" s="179"/>
      <c r="O99" s="179"/>
      <c r="P99" s="179"/>
      <c r="Q99" s="740"/>
      <c r="R99" s="604"/>
      <c r="S99" s="460"/>
      <c r="T99" s="460"/>
      <c r="U99" s="460"/>
      <c r="V99" s="460"/>
      <c r="W99" s="460"/>
    </row>
    <row r="100" spans="1:23" s="4" customFormat="1" ht="29">
      <c r="A100" s="5"/>
      <c r="B100" s="149" t="s">
        <v>1030</v>
      </c>
      <c r="C100" s="913" t="s">
        <v>1031</v>
      </c>
      <c r="D100" s="913"/>
      <c r="E100" s="717" t="s">
        <v>1034</v>
      </c>
      <c r="F100" s="717" t="s">
        <v>1035</v>
      </c>
      <c r="G100" s="897">
        <v>782</v>
      </c>
      <c r="H100" s="612">
        <v>2594.7636338222501</v>
      </c>
      <c r="I100" s="718">
        <f t="shared" ref="I100:I105" si="11">(G100/$G$106)*H100</f>
        <v>2.0367102376764836</v>
      </c>
      <c r="J100" s="180"/>
      <c r="K100" s="179"/>
      <c r="L100" s="179"/>
      <c r="M100" s="179"/>
      <c r="N100" s="179"/>
      <c r="O100" s="179"/>
      <c r="P100" s="179"/>
      <c r="Q100" s="740"/>
      <c r="R100" s="604"/>
      <c r="S100" s="460"/>
      <c r="T100" s="460"/>
      <c r="U100" s="460"/>
      <c r="V100" s="460"/>
      <c r="W100" s="460"/>
    </row>
    <row r="101" spans="1:23" s="4" customFormat="1" ht="29">
      <c r="A101" s="5"/>
      <c r="B101" s="149" t="s">
        <v>1030</v>
      </c>
      <c r="C101" s="913" t="s">
        <v>1031</v>
      </c>
      <c r="D101" s="913"/>
      <c r="E101" s="717" t="s">
        <v>1036</v>
      </c>
      <c r="F101" s="717" t="s">
        <v>1037</v>
      </c>
      <c r="G101" s="897">
        <v>3812</v>
      </c>
      <c r="H101" s="612">
        <v>2608.21342302229</v>
      </c>
      <c r="I101" s="718">
        <f t="shared" si="11"/>
        <v>9.9797740448444188</v>
      </c>
      <c r="J101" s="180"/>
      <c r="K101" s="179"/>
      <c r="L101" s="179"/>
      <c r="M101" s="179"/>
      <c r="N101" s="179"/>
      <c r="O101" s="179"/>
      <c r="P101" s="179"/>
      <c r="Q101" s="740"/>
      <c r="R101" s="604"/>
      <c r="S101" s="460"/>
      <c r="T101" s="460"/>
      <c r="U101" s="460"/>
      <c r="V101" s="460"/>
      <c r="W101" s="460"/>
    </row>
    <row r="102" spans="1:23" s="4" customFormat="1" ht="29">
      <c r="A102" s="5"/>
      <c r="B102" s="149" t="s">
        <v>1030</v>
      </c>
      <c r="C102" s="913" t="s">
        <v>1031</v>
      </c>
      <c r="D102" s="913"/>
      <c r="E102" s="717" t="s">
        <v>1038</v>
      </c>
      <c r="F102" s="717" t="s">
        <v>1039</v>
      </c>
      <c r="G102" s="897">
        <v>6541</v>
      </c>
      <c r="H102" s="612">
        <v>2151.6462516144302</v>
      </c>
      <c r="I102" s="718">
        <f t="shared" si="11"/>
        <v>14.12666710678673</v>
      </c>
      <c r="J102" s="180"/>
      <c r="K102" s="179"/>
      <c r="L102" s="179"/>
      <c r="M102" s="179"/>
      <c r="N102" s="179"/>
      <c r="O102" s="179"/>
      <c r="P102" s="179"/>
      <c r="Q102" s="740"/>
      <c r="R102" s="604"/>
      <c r="S102" s="460"/>
      <c r="T102" s="460"/>
      <c r="U102" s="460"/>
      <c r="V102" s="460"/>
      <c r="W102" s="460"/>
    </row>
    <row r="103" spans="1:23" s="4" customFormat="1" ht="29">
      <c r="A103" s="5"/>
      <c r="B103" s="149" t="s">
        <v>1030</v>
      </c>
      <c r="C103" s="913" t="s">
        <v>1031</v>
      </c>
      <c r="D103" s="913"/>
      <c r="E103" s="717" t="s">
        <v>1040</v>
      </c>
      <c r="F103" s="717" t="s">
        <v>1041</v>
      </c>
      <c r="G103" s="897">
        <v>10311</v>
      </c>
      <c r="H103" s="612">
        <v>1923.8624076719</v>
      </c>
      <c r="I103" s="718">
        <f t="shared" si="11"/>
        <v>19.911294057515725</v>
      </c>
      <c r="J103" s="180"/>
      <c r="K103" s="179"/>
      <c r="L103" s="179"/>
      <c r="M103" s="179"/>
      <c r="N103" s="179"/>
      <c r="O103" s="179"/>
      <c r="P103" s="179"/>
      <c r="Q103" s="740"/>
      <c r="R103" s="604"/>
      <c r="S103" s="460"/>
      <c r="T103" s="460"/>
      <c r="U103" s="460"/>
      <c r="V103" s="460"/>
      <c r="W103" s="460"/>
    </row>
    <row r="104" spans="1:23" s="4" customFormat="1" ht="29">
      <c r="A104" s="5"/>
      <c r="B104" s="149" t="s">
        <v>1030</v>
      </c>
      <c r="C104" s="913" t="s">
        <v>1031</v>
      </c>
      <c r="D104" s="913"/>
      <c r="E104" s="717" t="s">
        <v>1042</v>
      </c>
      <c r="F104" s="717" t="s">
        <v>1043</v>
      </c>
      <c r="G104" s="897">
        <v>43015</v>
      </c>
      <c r="H104" s="612">
        <v>1138.84214855864</v>
      </c>
      <c r="I104" s="718">
        <f t="shared" si="11"/>
        <v>49.170899157704767</v>
      </c>
      <c r="J104" s="180"/>
      <c r="K104" s="179"/>
      <c r="L104" s="179"/>
      <c r="M104" s="179"/>
      <c r="N104" s="179"/>
      <c r="O104" s="179"/>
      <c r="P104" s="179"/>
      <c r="Q104" s="740"/>
      <c r="R104" s="604"/>
      <c r="S104" s="460"/>
      <c r="T104" s="460"/>
      <c r="U104" s="460"/>
      <c r="V104" s="460"/>
      <c r="W104" s="460"/>
    </row>
    <row r="105" spans="1:23" s="4" customFormat="1" ht="29">
      <c r="A105" s="5"/>
      <c r="B105" s="149" t="s">
        <v>1030</v>
      </c>
      <c r="C105" s="913" t="s">
        <v>1031</v>
      </c>
      <c r="D105" s="913"/>
      <c r="E105" s="717" t="s">
        <v>1044</v>
      </c>
      <c r="F105" s="717" t="s">
        <v>1045</v>
      </c>
      <c r="G105" s="897">
        <v>8122</v>
      </c>
      <c r="H105" s="612">
        <v>1942.3211777157101</v>
      </c>
      <c r="I105" s="718">
        <f t="shared" si="11"/>
        <v>15.834659222945477</v>
      </c>
      <c r="J105" s="180"/>
      <c r="K105" s="179"/>
      <c r="L105" s="179"/>
      <c r="M105" s="179"/>
      <c r="N105" s="179"/>
      <c r="O105" s="179"/>
      <c r="P105" s="179"/>
      <c r="Q105" s="740"/>
      <c r="R105" s="604"/>
      <c r="S105" s="460"/>
      <c r="T105" s="460"/>
      <c r="U105" s="460"/>
      <c r="V105" s="460"/>
      <c r="W105" s="460"/>
    </row>
    <row r="106" spans="1:23" s="4" customFormat="1" ht="14.5">
      <c r="A106" s="5"/>
      <c r="B106"/>
      <c r="C106"/>
      <c r="D106"/>
      <c r="E106"/>
      <c r="F106"/>
      <c r="G106" s="732">
        <f>SUM(G92:G105)</f>
        <v>996266</v>
      </c>
      <c r="H106"/>
      <c r="I106" s="719">
        <f>SUM(I92:I105)</f>
        <v>2217.6098748155337</v>
      </c>
      <c r="J106" s="180"/>
      <c r="K106" s="179"/>
      <c r="L106" s="179"/>
      <c r="M106" s="179"/>
      <c r="N106" s="179"/>
      <c r="O106" s="179"/>
      <c r="P106" s="179"/>
      <c r="Q106" s="740"/>
      <c r="R106" s="604"/>
      <c r="S106" s="460"/>
      <c r="T106" s="460"/>
      <c r="U106" s="460"/>
      <c r="V106" s="460"/>
      <c r="W106" s="460"/>
    </row>
    <row r="107" spans="1:23" s="4" customFormat="1" ht="14.5">
      <c r="A107" s="5"/>
      <c r="B107" t="s">
        <v>1092</v>
      </c>
      <c r="C107"/>
      <c r="D107"/>
      <c r="E107"/>
      <c r="F107"/>
      <c r="G107" s="734"/>
      <c r="H107"/>
      <c r="I107" s="723"/>
      <c r="J107" s="180"/>
      <c r="K107" s="179"/>
      <c r="L107" s="179"/>
      <c r="M107" s="179"/>
      <c r="N107" s="179"/>
      <c r="O107" s="179"/>
      <c r="P107" s="179"/>
      <c r="Q107" s="740"/>
      <c r="R107" s="604"/>
      <c r="S107" s="460"/>
      <c r="T107" s="460"/>
      <c r="U107" s="460"/>
      <c r="V107" s="460"/>
      <c r="W107" s="460"/>
    </row>
    <row r="108" spans="1:23" s="4" customFormat="1" ht="14.5">
      <c r="A108" s="5"/>
      <c r="B108"/>
      <c r="C108"/>
      <c r="D108"/>
      <c r="E108"/>
      <c r="F108"/>
      <c r="G108" s="734"/>
      <c r="H108"/>
      <c r="I108" s="723"/>
      <c r="J108" s="180"/>
      <c r="K108" s="179"/>
      <c r="L108" s="179"/>
      <c r="M108" s="179"/>
      <c r="N108" s="179"/>
      <c r="O108" s="179"/>
      <c r="P108" s="179"/>
      <c r="Q108" s="740"/>
      <c r="R108" s="604"/>
      <c r="S108" s="460"/>
      <c r="T108" s="460"/>
      <c r="U108" s="460"/>
      <c r="V108" s="460"/>
      <c r="W108" s="460"/>
    </row>
    <row r="109" spans="1:23" s="4" customFormat="1" ht="14.5">
      <c r="A109" s="5"/>
      <c r="B109" s="720" t="s">
        <v>1065</v>
      </c>
      <c r="C109"/>
      <c r="D109"/>
      <c r="E109"/>
      <c r="F109" s="179"/>
      <c r="G109" s="179"/>
      <c r="H109" s="179"/>
      <c r="I109" s="179"/>
      <c r="J109" s="179"/>
      <c r="K109" s="179"/>
      <c r="L109" s="179"/>
      <c r="M109" s="179"/>
      <c r="N109" s="179"/>
      <c r="O109" s="179"/>
      <c r="P109" s="179"/>
      <c r="Q109" s="740"/>
      <c r="R109" s="604"/>
      <c r="S109" s="460"/>
      <c r="T109" s="460"/>
      <c r="U109" s="460"/>
      <c r="V109" s="460"/>
      <c r="W109" s="460"/>
    </row>
    <row r="110" spans="1:23" s="4" customFormat="1" ht="14.5">
      <c r="A110" s="5"/>
      <c r="B110"/>
      <c r="C110"/>
      <c r="D110"/>
      <c r="E110"/>
      <c r="F110" s="179"/>
      <c r="G110" s="179"/>
      <c r="H110" s="179"/>
      <c r="I110" s="179"/>
      <c r="J110" s="179"/>
      <c r="K110" s="179"/>
      <c r="L110" s="179"/>
      <c r="M110" s="179"/>
      <c r="N110" s="179"/>
      <c r="O110" s="179"/>
      <c r="P110" s="179"/>
      <c r="Q110" s="740"/>
      <c r="R110" s="604"/>
      <c r="S110" s="460"/>
      <c r="T110" s="460"/>
      <c r="U110" s="460"/>
      <c r="V110" s="460"/>
      <c r="W110" s="460"/>
    </row>
    <row r="111" spans="1:23" s="4" customFormat="1" ht="81" customHeight="1">
      <c r="A111" s="5"/>
      <c r="B111" s="250" t="s">
        <v>1060</v>
      </c>
      <c r="C111" s="250" t="s">
        <v>1061</v>
      </c>
      <c r="D111" s="250" t="s">
        <v>112</v>
      </c>
      <c r="E111" s="250" t="s">
        <v>66</v>
      </c>
      <c r="F111" s="250" t="s">
        <v>1062</v>
      </c>
      <c r="G111" s="250" t="s">
        <v>1187</v>
      </c>
      <c r="H111" s="250" t="s">
        <v>1188</v>
      </c>
      <c r="I111" s="250" t="s">
        <v>1189</v>
      </c>
      <c r="J111" s="250" t="s">
        <v>1052</v>
      </c>
      <c r="K111" s="250" t="s">
        <v>121</v>
      </c>
      <c r="L111" s="250" t="s">
        <v>1054</v>
      </c>
      <c r="M111" s="179"/>
      <c r="N111" s="179"/>
      <c r="O111" s="179"/>
      <c r="P111" s="179"/>
      <c r="Q111" s="740"/>
      <c r="R111" s="604"/>
      <c r="S111" s="460"/>
      <c r="T111" s="460"/>
      <c r="U111" s="460"/>
      <c r="V111" s="460"/>
      <c r="W111" s="460"/>
    </row>
    <row r="112" spans="1:23" s="4" customFormat="1" ht="29">
      <c r="A112" s="5"/>
      <c r="B112" s="721" t="s">
        <v>1063</v>
      </c>
      <c r="C112" s="798">
        <v>8</v>
      </c>
      <c r="D112" s="722" t="s">
        <v>1064</v>
      </c>
      <c r="E112" s="149">
        <v>78</v>
      </c>
      <c r="F112" s="149">
        <f>C112*E112</f>
        <v>624</v>
      </c>
      <c r="G112" s="149">
        <v>2</v>
      </c>
      <c r="H112" s="612"/>
      <c r="I112" s="727"/>
      <c r="J112" s="612">
        <f>G112*H112*I112</f>
        <v>0</v>
      </c>
      <c r="K112" s="485">
        <v>0.2</v>
      </c>
      <c r="L112" s="612">
        <f>J112*(100%+K112)</f>
        <v>0</v>
      </c>
      <c r="M112" s="179"/>
      <c r="N112" s="179"/>
      <c r="O112" s="179"/>
      <c r="P112" s="179"/>
      <c r="Q112" s="740"/>
      <c r="R112" s="604"/>
      <c r="S112" s="460"/>
      <c r="T112" s="460"/>
      <c r="U112" s="460"/>
      <c r="V112" s="460"/>
      <c r="W112" s="460"/>
    </row>
    <row r="113" spans="1:31" s="4" customFormat="1" ht="29">
      <c r="A113" s="5"/>
      <c r="B113" s="721" t="s">
        <v>1186</v>
      </c>
      <c r="C113" s="798">
        <v>8</v>
      </c>
      <c r="D113" s="722" t="s">
        <v>1064</v>
      </c>
      <c r="E113" s="149">
        <v>78</v>
      </c>
      <c r="F113" s="149">
        <f>C113*E113</f>
        <v>624</v>
      </c>
      <c r="G113" s="149">
        <v>4</v>
      </c>
      <c r="H113" s="612"/>
      <c r="I113" s="727"/>
      <c r="J113" s="612">
        <f>G113*H113*I113</f>
        <v>0</v>
      </c>
      <c r="K113" s="485">
        <v>0.2</v>
      </c>
      <c r="L113" s="612">
        <f>J113*(100%+K113)</f>
        <v>0</v>
      </c>
      <c r="M113" s="179"/>
      <c r="N113" s="179"/>
      <c r="O113" s="179"/>
      <c r="P113" s="179"/>
      <c r="Q113" s="740"/>
      <c r="R113" s="604"/>
      <c r="S113" s="460"/>
      <c r="T113" s="460"/>
      <c r="U113" s="460"/>
      <c r="V113" s="460"/>
      <c r="W113" s="460"/>
    </row>
    <row r="114" spans="1:31" s="4" customFormat="1" ht="14.5">
      <c r="A114" s="5"/>
      <c r="B114"/>
      <c r="C114"/>
      <c r="D114"/>
      <c r="E114"/>
      <c r="F114"/>
      <c r="G114" s="148"/>
      <c r="H114"/>
      <c r="I114" s="723"/>
      <c r="J114" s="180"/>
      <c r="K114" s="179"/>
      <c r="L114" s="179"/>
      <c r="M114" s="179"/>
      <c r="N114" s="179"/>
      <c r="O114" s="179"/>
      <c r="P114" s="179"/>
      <c r="Q114" s="740"/>
      <c r="R114" s="604"/>
      <c r="S114" s="460"/>
      <c r="T114" s="460"/>
      <c r="U114" s="460"/>
      <c r="V114" s="460"/>
      <c r="W114" s="460"/>
    </row>
    <row r="115" spans="1:31" s="4" customFormat="1" ht="14.5">
      <c r="A115" s="5"/>
      <c r="B115" s="720" t="s">
        <v>1057</v>
      </c>
      <c r="C115" s="5"/>
      <c r="D115" s="177"/>
      <c r="E115" s="112"/>
      <c r="F115" s="178"/>
      <c r="G115" s="179"/>
      <c r="H115" s="5"/>
      <c r="I115" s="5"/>
      <c r="J115" s="180"/>
      <c r="K115" s="179"/>
      <c r="L115" s="179"/>
      <c r="M115" s="179"/>
      <c r="N115" s="179"/>
      <c r="O115" s="179"/>
      <c r="P115" s="179"/>
      <c r="Q115" s="740"/>
      <c r="R115" s="604"/>
      <c r="S115" s="460"/>
      <c r="T115" s="460"/>
      <c r="U115" s="460"/>
      <c r="V115" s="460"/>
      <c r="W115" s="460"/>
    </row>
    <row r="116" spans="1:31" s="4" customFormat="1" ht="14.5">
      <c r="A116" s="5"/>
      <c r="B116" s="192"/>
      <c r="C116" s="5"/>
      <c r="D116" s="177"/>
      <c r="E116" s="112"/>
      <c r="F116" s="178"/>
      <c r="G116" s="179"/>
      <c r="H116" s="5"/>
      <c r="I116" s="5"/>
      <c r="J116" s="180"/>
      <c r="K116" s="179"/>
      <c r="L116" s="179"/>
      <c r="M116" s="179"/>
      <c r="N116" s="179"/>
      <c r="O116" s="179"/>
      <c r="P116" s="179"/>
      <c r="Q116" s="740"/>
      <c r="R116" s="604"/>
      <c r="S116" s="460"/>
      <c r="T116" s="460"/>
      <c r="U116" s="460"/>
      <c r="V116" s="460"/>
      <c r="W116" s="460"/>
    </row>
    <row r="117" spans="1:31" s="4" customFormat="1" ht="43.5">
      <c r="A117" s="5"/>
      <c r="B117" s="250" t="s">
        <v>1055</v>
      </c>
      <c r="C117" s="250" t="s">
        <v>1046</v>
      </c>
      <c r="D117" s="250" t="s">
        <v>112</v>
      </c>
      <c r="E117" s="250" t="s">
        <v>1047</v>
      </c>
      <c r="F117" s="250" t="s">
        <v>1048</v>
      </c>
      <c r="G117" s="250" t="s">
        <v>1049</v>
      </c>
      <c r="H117" s="250" t="s">
        <v>1050</v>
      </c>
      <c r="I117" s="250" t="s">
        <v>1051</v>
      </c>
      <c r="J117" s="250" t="s">
        <v>1052</v>
      </c>
      <c r="K117" s="250" t="s">
        <v>1053</v>
      </c>
      <c r="L117" s="250" t="s">
        <v>1054</v>
      </c>
      <c r="M117" s="179"/>
      <c r="N117" s="179"/>
      <c r="O117" s="179"/>
      <c r="P117" s="179"/>
      <c r="Q117" s="740"/>
      <c r="R117" s="604"/>
      <c r="S117" s="460"/>
      <c r="T117" s="460"/>
      <c r="U117" s="460"/>
      <c r="V117" s="460"/>
      <c r="W117" s="460"/>
    </row>
    <row r="118" spans="1:31" s="4" customFormat="1" ht="14.5">
      <c r="A118" s="5"/>
      <c r="B118" s="721" t="s">
        <v>1066</v>
      </c>
      <c r="C118" s="605">
        <v>30</v>
      </c>
      <c r="D118" s="722" t="s">
        <v>1056</v>
      </c>
      <c r="E118" s="605">
        <v>1</v>
      </c>
      <c r="F118" s="605">
        <v>1</v>
      </c>
      <c r="G118" s="605"/>
      <c r="H118" s="605"/>
      <c r="I118" s="605"/>
      <c r="J118" s="726">
        <f>(E118*G118*H118)+(F118*G118*I118)</f>
        <v>0</v>
      </c>
      <c r="K118" s="898">
        <v>0.2</v>
      </c>
      <c r="L118" s="725">
        <f>J118*(100%+K118)</f>
        <v>0</v>
      </c>
      <c r="M118" s="179"/>
      <c r="N118" s="179"/>
      <c r="O118" s="179"/>
      <c r="P118" s="179"/>
      <c r="Q118" s="740"/>
      <c r="R118" s="604"/>
      <c r="S118" s="460"/>
      <c r="T118" s="460"/>
      <c r="U118" s="460"/>
      <c r="V118" s="460"/>
      <c r="W118" s="460"/>
    </row>
    <row r="119" spans="1:31" s="4" customFormat="1" ht="14.5">
      <c r="A119" s="5"/>
      <c r="B119" s="192"/>
      <c r="C119" s="5"/>
      <c r="D119" s="177"/>
      <c r="E119" s="112"/>
      <c r="F119" s="178"/>
      <c r="G119" s="179"/>
      <c r="H119" s="5"/>
      <c r="I119" s="5"/>
      <c r="J119" s="180"/>
      <c r="K119" s="179"/>
      <c r="L119" s="179"/>
      <c r="M119" s="179"/>
      <c r="N119" s="179"/>
      <c r="O119" s="179"/>
      <c r="P119" s="179"/>
      <c r="Q119" s="740"/>
      <c r="R119" s="604"/>
      <c r="S119" s="460"/>
      <c r="T119" s="460"/>
      <c r="U119" s="460"/>
      <c r="V119" s="460"/>
      <c r="W119" s="460"/>
    </row>
    <row r="120" spans="1:31" s="4" customFormat="1" ht="14.5">
      <c r="A120" s="5"/>
      <c r="B120" s="192"/>
      <c r="C120" s="5"/>
      <c r="D120" s="177"/>
      <c r="E120" s="112"/>
      <c r="F120" s="178"/>
      <c r="G120" s="179"/>
      <c r="H120" s="5"/>
      <c r="I120" s="5"/>
      <c r="J120" s="180"/>
      <c r="K120" s="179"/>
      <c r="L120" s="179"/>
      <c r="M120" s="179"/>
      <c r="N120" s="179"/>
      <c r="O120" s="179"/>
      <c r="P120" s="179"/>
      <c r="Q120" s="740"/>
      <c r="R120" s="604"/>
      <c r="S120" s="460"/>
      <c r="T120" s="460"/>
      <c r="U120" s="460"/>
      <c r="V120" s="460"/>
      <c r="W120" s="460"/>
    </row>
    <row r="121" spans="1:31" s="4" customFormat="1" ht="14.5">
      <c r="A121" s="5"/>
      <c r="B121" s="244" t="s">
        <v>1081</v>
      </c>
      <c r="C121" s="694"/>
      <c r="D121" s="694"/>
      <c r="E121" s="699"/>
      <c r="F121" s="112"/>
      <c r="G121" s="460"/>
      <c r="H121" s="460"/>
      <c r="I121" s="910" t="s">
        <v>927</v>
      </c>
      <c r="J121" s="911"/>
      <c r="K121" s="911"/>
      <c r="L121" s="911"/>
      <c r="M121" s="911"/>
      <c r="N121" s="912"/>
      <c r="O121" s="460"/>
      <c r="P121" s="910" t="s">
        <v>928</v>
      </c>
      <c r="Q121" s="911"/>
      <c r="R121" s="911"/>
      <c r="S121" s="911"/>
      <c r="T121" s="911"/>
      <c r="U121" s="912"/>
      <c r="V121" s="460"/>
      <c r="W121" s="460"/>
    </row>
    <row r="122" spans="1:31" s="4" customFormat="1" ht="116">
      <c r="A122" s="5"/>
      <c r="B122" s="250" t="s">
        <v>153</v>
      </c>
      <c r="C122" s="411" t="s">
        <v>1112</v>
      </c>
      <c r="D122" s="411" t="s">
        <v>1068</v>
      </c>
      <c r="E122" s="411" t="s">
        <v>997</v>
      </c>
      <c r="F122" s="411" t="s">
        <v>998</v>
      </c>
      <c r="G122" s="411" t="s">
        <v>1095</v>
      </c>
      <c r="H122" s="112"/>
      <c r="I122" s="250" t="s">
        <v>154</v>
      </c>
      <c r="J122" s="411" t="s">
        <v>1112</v>
      </c>
      <c r="K122" s="411" t="s">
        <v>1068</v>
      </c>
      <c r="L122" s="411" t="s">
        <v>997</v>
      </c>
      <c r="M122" s="411" t="s">
        <v>998</v>
      </c>
      <c r="N122" s="411" t="s">
        <v>1095</v>
      </c>
      <c r="O122" s="180"/>
      <c r="P122" s="250" t="s">
        <v>155</v>
      </c>
      <c r="Q122" s="411" t="s">
        <v>1112</v>
      </c>
      <c r="R122" s="411" t="s">
        <v>1068</v>
      </c>
      <c r="S122" s="411" t="s">
        <v>997</v>
      </c>
      <c r="T122" s="411" t="s">
        <v>998</v>
      </c>
      <c r="U122" s="411" t="s">
        <v>1095</v>
      </c>
      <c r="V122" s="740"/>
      <c r="W122" s="741"/>
    </row>
    <row r="123" spans="1:31" s="4" customFormat="1" ht="14.5">
      <c r="A123" s="5"/>
      <c r="B123" s="728" t="s">
        <v>1002</v>
      </c>
      <c r="C123" s="614">
        <v>0</v>
      </c>
      <c r="D123" s="614">
        <v>0</v>
      </c>
      <c r="E123" s="614">
        <v>0</v>
      </c>
      <c r="F123" s="614">
        <v>0</v>
      </c>
      <c r="G123" s="614"/>
      <c r="H123" s="112"/>
      <c r="I123" s="616">
        <v>2981.67</v>
      </c>
      <c r="J123" s="612">
        <f t="shared" ref="J123:J136" si="12">C123*$I123</f>
        <v>0</v>
      </c>
      <c r="K123" s="615">
        <f t="shared" ref="K123:K136" si="13">D123*$I123</f>
        <v>0</v>
      </c>
      <c r="L123" s="612">
        <f t="shared" ref="L123:L136" si="14">E123*$I123</f>
        <v>0</v>
      </c>
      <c r="M123" s="612">
        <f t="shared" ref="M123:M136" si="15">F123*$I123</f>
        <v>0</v>
      </c>
      <c r="N123" s="612">
        <f t="shared" ref="N123:N136" si="16">G123*$I123</f>
        <v>0</v>
      </c>
      <c r="O123" s="180"/>
      <c r="P123" s="616">
        <f t="shared" ref="P123:P136" si="17">I123*0.8</f>
        <v>2385.3360000000002</v>
      </c>
      <c r="Q123" s="615">
        <f t="shared" ref="Q123:Q136" si="18">C123*$P123</f>
        <v>0</v>
      </c>
      <c r="R123" s="615">
        <f t="shared" ref="R123:R136" si="19">D123*$P123</f>
        <v>0</v>
      </c>
      <c r="S123" s="612">
        <f t="shared" ref="S123:S136" si="20">E123*$P123</f>
        <v>0</v>
      </c>
      <c r="T123" s="612">
        <f t="shared" ref="T123:T136" si="21">F123*$P123</f>
        <v>0</v>
      </c>
      <c r="U123" s="612">
        <f t="shared" ref="U123:U136" si="22">G123*$P123</f>
        <v>0</v>
      </c>
      <c r="V123" s="179"/>
      <c r="W123" s="179"/>
    </row>
    <row r="124" spans="1:31" s="4" customFormat="1" ht="14.65" customHeight="1">
      <c r="A124" s="5"/>
      <c r="B124" s="728" t="s">
        <v>1003</v>
      </c>
      <c r="C124" s="614">
        <v>0</v>
      </c>
      <c r="D124" s="614">
        <v>0</v>
      </c>
      <c r="E124" s="614">
        <v>0</v>
      </c>
      <c r="F124" s="614">
        <v>0</v>
      </c>
      <c r="G124" s="614"/>
      <c r="H124" s="112"/>
      <c r="I124" s="616">
        <v>10674.853094110025</v>
      </c>
      <c r="J124" s="612">
        <f t="shared" si="12"/>
        <v>0</v>
      </c>
      <c r="K124" s="615">
        <f t="shared" si="13"/>
        <v>0</v>
      </c>
      <c r="L124" s="612">
        <f t="shared" si="14"/>
        <v>0</v>
      </c>
      <c r="M124" s="612">
        <f t="shared" si="15"/>
        <v>0</v>
      </c>
      <c r="N124" s="612">
        <f t="shared" si="16"/>
        <v>0</v>
      </c>
      <c r="O124" s="180"/>
      <c r="P124" s="616">
        <f t="shared" si="17"/>
        <v>8539.8824752880209</v>
      </c>
      <c r="Q124" s="615">
        <f t="shared" si="18"/>
        <v>0</v>
      </c>
      <c r="R124" s="615">
        <f t="shared" si="19"/>
        <v>0</v>
      </c>
      <c r="S124" s="612">
        <f t="shared" si="20"/>
        <v>0</v>
      </c>
      <c r="T124" s="612">
        <f t="shared" si="21"/>
        <v>0</v>
      </c>
      <c r="U124" s="612">
        <f t="shared" si="22"/>
        <v>0</v>
      </c>
      <c r="V124" s="179"/>
      <c r="W124" s="179"/>
      <c r="AE124" s="3"/>
    </row>
    <row r="125" spans="1:31" s="4" customFormat="1" ht="14.5">
      <c r="A125" s="5"/>
      <c r="B125" s="728" t="s">
        <v>1004</v>
      </c>
      <c r="C125" s="614">
        <v>0.72</v>
      </c>
      <c r="D125" s="614">
        <v>0.57699999999999996</v>
      </c>
      <c r="E125" s="614">
        <v>0</v>
      </c>
      <c r="F125" s="614">
        <v>0</v>
      </c>
      <c r="G125" s="614"/>
      <c r="H125" s="112"/>
      <c r="I125" s="616">
        <f>IF(H112=0,2754.82,L112+L113+I106)</f>
        <v>2754.82</v>
      </c>
      <c r="J125" s="612">
        <f t="shared" si="12"/>
        <v>1983.4704000000002</v>
      </c>
      <c r="K125" s="615">
        <f t="shared" si="13"/>
        <v>1589.5311400000001</v>
      </c>
      <c r="L125" s="612">
        <f t="shared" si="14"/>
        <v>0</v>
      </c>
      <c r="M125" s="612">
        <f t="shared" si="15"/>
        <v>0</v>
      </c>
      <c r="N125" s="612">
        <f t="shared" si="16"/>
        <v>0</v>
      </c>
      <c r="O125" s="180"/>
      <c r="P125" s="616">
        <f t="shared" si="17"/>
        <v>2203.8560000000002</v>
      </c>
      <c r="Q125" s="615">
        <f t="shared" si="18"/>
        <v>1586.7763200000002</v>
      </c>
      <c r="R125" s="615">
        <f t="shared" si="19"/>
        <v>1271.624912</v>
      </c>
      <c r="S125" s="612">
        <f t="shared" si="20"/>
        <v>0</v>
      </c>
      <c r="T125" s="612">
        <f t="shared" si="21"/>
        <v>0</v>
      </c>
      <c r="U125" s="612">
        <f t="shared" si="22"/>
        <v>0</v>
      </c>
      <c r="V125" s="179"/>
      <c r="W125" s="179"/>
      <c r="AE125" s="3"/>
    </row>
    <row r="126" spans="1:31" s="4" customFormat="1" ht="14.5">
      <c r="A126" s="5"/>
      <c r="B126" s="728" t="s">
        <v>1013</v>
      </c>
      <c r="C126" s="614">
        <v>0.39</v>
      </c>
      <c r="D126" s="614">
        <v>0.43099999999999999</v>
      </c>
      <c r="E126" s="614">
        <v>0</v>
      </c>
      <c r="F126" s="614">
        <v>0</v>
      </c>
      <c r="G126" s="614"/>
      <c r="H126" s="112"/>
      <c r="I126" s="616">
        <f>L118+(G118*O62)</f>
        <v>0</v>
      </c>
      <c r="J126" s="612">
        <f>C126*$I126</f>
        <v>0</v>
      </c>
      <c r="K126" s="615">
        <f t="shared" si="13"/>
        <v>0</v>
      </c>
      <c r="L126" s="612">
        <f t="shared" si="14"/>
        <v>0</v>
      </c>
      <c r="M126" s="612">
        <f t="shared" si="15"/>
        <v>0</v>
      </c>
      <c r="N126" s="612">
        <f t="shared" si="16"/>
        <v>0</v>
      </c>
      <c r="O126" s="180"/>
      <c r="P126" s="616">
        <f t="shared" si="17"/>
        <v>0</v>
      </c>
      <c r="Q126" s="615">
        <f t="shared" si="18"/>
        <v>0</v>
      </c>
      <c r="R126" s="615">
        <f t="shared" si="19"/>
        <v>0</v>
      </c>
      <c r="S126" s="612">
        <f t="shared" si="20"/>
        <v>0</v>
      </c>
      <c r="T126" s="612">
        <f t="shared" si="21"/>
        <v>0</v>
      </c>
      <c r="U126" s="612">
        <f t="shared" si="22"/>
        <v>0</v>
      </c>
      <c r="V126" s="179"/>
      <c r="W126" s="179"/>
      <c r="AE126" s="3"/>
    </row>
    <row r="127" spans="1:31" s="4" customFormat="1" ht="14.5">
      <c r="A127" s="5"/>
      <c r="B127" s="728" t="s">
        <v>1000</v>
      </c>
      <c r="C127" s="614">
        <v>0</v>
      </c>
      <c r="D127" s="614">
        <v>5.7000000000000002E-2</v>
      </c>
      <c r="E127" s="614">
        <v>0</v>
      </c>
      <c r="F127" s="614">
        <v>0</v>
      </c>
      <c r="G127" s="614"/>
      <c r="H127" s="112"/>
      <c r="I127" s="616">
        <v>385</v>
      </c>
      <c r="J127" s="612">
        <f t="shared" si="12"/>
        <v>0</v>
      </c>
      <c r="K127" s="615">
        <f t="shared" si="13"/>
        <v>21.945</v>
      </c>
      <c r="L127" s="612">
        <f t="shared" si="14"/>
        <v>0</v>
      </c>
      <c r="M127" s="612">
        <f t="shared" si="15"/>
        <v>0</v>
      </c>
      <c r="N127" s="612">
        <f t="shared" si="16"/>
        <v>0</v>
      </c>
      <c r="O127" s="180"/>
      <c r="P127" s="616">
        <f t="shared" si="17"/>
        <v>308</v>
      </c>
      <c r="Q127" s="615">
        <f t="shared" si="18"/>
        <v>0</v>
      </c>
      <c r="R127" s="615">
        <f t="shared" si="19"/>
        <v>17.556000000000001</v>
      </c>
      <c r="S127" s="612">
        <f t="shared" si="20"/>
        <v>0</v>
      </c>
      <c r="T127" s="612">
        <f t="shared" si="21"/>
        <v>0</v>
      </c>
      <c r="U127" s="612">
        <f t="shared" si="22"/>
        <v>0</v>
      </c>
      <c r="V127" s="179"/>
      <c r="W127" s="179"/>
      <c r="AE127" s="3"/>
    </row>
    <row r="128" spans="1:31" s="4" customFormat="1" ht="14.5">
      <c r="A128" s="5"/>
      <c r="B128" s="728" t="s">
        <v>929</v>
      </c>
      <c r="C128" s="614">
        <v>0.37</v>
      </c>
      <c r="D128" s="614">
        <v>0.374</v>
      </c>
      <c r="E128" s="614">
        <v>0.17</v>
      </c>
      <c r="F128" s="614">
        <v>0.33</v>
      </c>
      <c r="G128" s="614"/>
      <c r="H128" s="112"/>
      <c r="I128" s="616">
        <v>866</v>
      </c>
      <c r="J128" s="612">
        <f t="shared" si="12"/>
        <v>320.42</v>
      </c>
      <c r="K128" s="615">
        <f t="shared" si="13"/>
        <v>323.88400000000001</v>
      </c>
      <c r="L128" s="612">
        <f t="shared" si="14"/>
        <v>147.22</v>
      </c>
      <c r="M128" s="612">
        <f t="shared" si="15"/>
        <v>285.78000000000003</v>
      </c>
      <c r="N128" s="612">
        <f t="shared" si="16"/>
        <v>0</v>
      </c>
      <c r="O128" s="180"/>
      <c r="P128" s="616">
        <f t="shared" si="17"/>
        <v>692.80000000000007</v>
      </c>
      <c r="Q128" s="615">
        <f t="shared" si="18"/>
        <v>256.33600000000001</v>
      </c>
      <c r="R128" s="615">
        <f t="shared" si="19"/>
        <v>259.10720000000003</v>
      </c>
      <c r="S128" s="612">
        <f t="shared" si="20"/>
        <v>117.77600000000002</v>
      </c>
      <c r="T128" s="612">
        <f t="shared" si="21"/>
        <v>228.62400000000002</v>
      </c>
      <c r="U128" s="612">
        <f t="shared" si="22"/>
        <v>0</v>
      </c>
      <c r="V128" s="179"/>
      <c r="W128" s="179"/>
      <c r="AE128" s="3"/>
    </row>
    <row r="129" spans="1:31" s="4" customFormat="1" ht="14.5">
      <c r="A129" s="5"/>
      <c r="B129" s="728" t="s">
        <v>930</v>
      </c>
      <c r="C129" s="614">
        <v>0.02</v>
      </c>
      <c r="D129" s="614">
        <v>3.3000000000000002E-2</v>
      </c>
      <c r="E129" s="614">
        <v>0</v>
      </c>
      <c r="F129" s="614">
        <v>0.05</v>
      </c>
      <c r="G129" s="614"/>
      <c r="H129" s="112"/>
      <c r="I129" s="616">
        <v>535</v>
      </c>
      <c r="J129" s="612">
        <f t="shared" si="12"/>
        <v>10.700000000000001</v>
      </c>
      <c r="K129" s="615">
        <f t="shared" si="13"/>
        <v>17.655000000000001</v>
      </c>
      <c r="L129" s="612">
        <f t="shared" si="14"/>
        <v>0</v>
      </c>
      <c r="M129" s="612">
        <f t="shared" si="15"/>
        <v>26.75</v>
      </c>
      <c r="N129" s="612">
        <f t="shared" si="16"/>
        <v>0</v>
      </c>
      <c r="O129" s="180"/>
      <c r="P129" s="616">
        <f t="shared" si="17"/>
        <v>428</v>
      </c>
      <c r="Q129" s="615">
        <f t="shared" si="18"/>
        <v>8.56</v>
      </c>
      <c r="R129" s="615">
        <f t="shared" si="19"/>
        <v>14.124000000000001</v>
      </c>
      <c r="S129" s="612">
        <f t="shared" si="20"/>
        <v>0</v>
      </c>
      <c r="T129" s="612">
        <f t="shared" si="21"/>
        <v>21.400000000000002</v>
      </c>
      <c r="U129" s="612">
        <f t="shared" si="22"/>
        <v>0</v>
      </c>
      <c r="V129" s="179"/>
      <c r="W129" s="179"/>
      <c r="AE129" s="3"/>
    </row>
    <row r="130" spans="1:31" s="4" customFormat="1" ht="14.5">
      <c r="A130" s="5"/>
      <c r="B130" s="728" t="s">
        <v>931</v>
      </c>
      <c r="C130" s="614">
        <v>0.06</v>
      </c>
      <c r="D130" s="614">
        <v>6.5040650406504072E-2</v>
      </c>
      <c r="E130" s="614">
        <v>0</v>
      </c>
      <c r="F130" s="614">
        <v>0</v>
      </c>
      <c r="G130" s="614"/>
      <c r="H130" s="112"/>
      <c r="I130" s="616">
        <v>640</v>
      </c>
      <c r="J130" s="612">
        <f t="shared" si="12"/>
        <v>38.4</v>
      </c>
      <c r="K130" s="615">
        <f t="shared" si="13"/>
        <v>41.626016260162608</v>
      </c>
      <c r="L130" s="612">
        <f t="shared" si="14"/>
        <v>0</v>
      </c>
      <c r="M130" s="612">
        <f t="shared" si="15"/>
        <v>0</v>
      </c>
      <c r="N130" s="612">
        <f t="shared" si="16"/>
        <v>0</v>
      </c>
      <c r="O130" s="180"/>
      <c r="P130" s="616">
        <f t="shared" si="17"/>
        <v>512</v>
      </c>
      <c r="Q130" s="615">
        <f t="shared" si="18"/>
        <v>30.72</v>
      </c>
      <c r="R130" s="615">
        <f t="shared" si="19"/>
        <v>33.300813008130085</v>
      </c>
      <c r="S130" s="612">
        <f t="shared" si="20"/>
        <v>0</v>
      </c>
      <c r="T130" s="612">
        <f t="shared" si="21"/>
        <v>0</v>
      </c>
      <c r="U130" s="612">
        <f t="shared" si="22"/>
        <v>0</v>
      </c>
      <c r="V130" s="179"/>
      <c r="W130" s="179"/>
      <c r="AE130" s="3"/>
    </row>
    <row r="131" spans="1:31" s="4" customFormat="1" ht="14.5">
      <c r="A131" s="5"/>
      <c r="B131" s="728" t="s">
        <v>932</v>
      </c>
      <c r="C131" s="614">
        <v>7.0000000000000007E-2</v>
      </c>
      <c r="D131" s="614">
        <v>0.13008130081300814</v>
      </c>
      <c r="E131" s="614">
        <v>0.24</v>
      </c>
      <c r="F131" s="614">
        <v>0.09</v>
      </c>
      <c r="G131" s="614"/>
      <c r="H131" s="112"/>
      <c r="I131" s="616">
        <v>1365</v>
      </c>
      <c r="J131" s="612">
        <f t="shared" si="12"/>
        <v>95.550000000000011</v>
      </c>
      <c r="K131" s="615">
        <f t="shared" si="13"/>
        <v>177.56097560975613</v>
      </c>
      <c r="L131" s="612">
        <f t="shared" si="14"/>
        <v>327.59999999999997</v>
      </c>
      <c r="M131" s="612">
        <f t="shared" si="15"/>
        <v>122.85</v>
      </c>
      <c r="N131" s="612">
        <f t="shared" si="16"/>
        <v>0</v>
      </c>
      <c r="O131" s="180"/>
      <c r="P131" s="616">
        <f t="shared" si="17"/>
        <v>1092</v>
      </c>
      <c r="Q131" s="615">
        <f t="shared" si="18"/>
        <v>76.440000000000012</v>
      </c>
      <c r="R131" s="615">
        <f t="shared" si="19"/>
        <v>142.04878048780489</v>
      </c>
      <c r="S131" s="612">
        <f t="shared" si="20"/>
        <v>262.08</v>
      </c>
      <c r="T131" s="612">
        <f t="shared" si="21"/>
        <v>98.28</v>
      </c>
      <c r="U131" s="612">
        <f t="shared" si="22"/>
        <v>0</v>
      </c>
      <c r="V131" s="179"/>
      <c r="W131" s="179"/>
      <c r="AE131" s="3"/>
    </row>
    <row r="132" spans="1:31" s="4" customFormat="1" ht="14.5">
      <c r="A132" s="5"/>
      <c r="B132" s="728" t="s">
        <v>933</v>
      </c>
      <c r="C132" s="614">
        <v>0.32</v>
      </c>
      <c r="D132" s="614">
        <v>0.25203252032520324</v>
      </c>
      <c r="E132" s="614">
        <v>0.54</v>
      </c>
      <c r="F132" s="614">
        <v>0</v>
      </c>
      <c r="G132" s="614"/>
      <c r="H132" s="112"/>
      <c r="I132" s="616">
        <v>1365</v>
      </c>
      <c r="J132" s="612">
        <f t="shared" si="12"/>
        <v>436.8</v>
      </c>
      <c r="K132" s="615">
        <f t="shared" si="13"/>
        <v>344.02439024390242</v>
      </c>
      <c r="L132" s="612">
        <f t="shared" si="14"/>
        <v>737.1</v>
      </c>
      <c r="M132" s="612">
        <f t="shared" si="15"/>
        <v>0</v>
      </c>
      <c r="N132" s="612">
        <f t="shared" si="16"/>
        <v>0</v>
      </c>
      <c r="O132" s="180"/>
      <c r="P132" s="616">
        <f t="shared" si="17"/>
        <v>1092</v>
      </c>
      <c r="Q132" s="615">
        <f t="shared" si="18"/>
        <v>349.44</v>
      </c>
      <c r="R132" s="615">
        <f t="shared" si="19"/>
        <v>275.21951219512192</v>
      </c>
      <c r="S132" s="612">
        <f t="shared" si="20"/>
        <v>589.68000000000006</v>
      </c>
      <c r="T132" s="612">
        <f t="shared" si="21"/>
        <v>0</v>
      </c>
      <c r="U132" s="612">
        <f t="shared" si="22"/>
        <v>0</v>
      </c>
      <c r="V132" s="179"/>
      <c r="W132" s="179"/>
      <c r="AE132" s="3"/>
    </row>
    <row r="133" spans="1:31" s="4" customFormat="1" ht="14.5">
      <c r="A133" s="5"/>
      <c r="B133" s="728" t="s">
        <v>934</v>
      </c>
      <c r="C133" s="614">
        <v>0.64</v>
      </c>
      <c r="D133" s="614">
        <v>0.48799999999999999</v>
      </c>
      <c r="E133" s="614">
        <v>0.37</v>
      </c>
      <c r="F133" s="614">
        <v>0.48</v>
      </c>
      <c r="G133" s="614"/>
      <c r="H133" s="112"/>
      <c r="I133" s="616">
        <v>1365</v>
      </c>
      <c r="J133" s="612">
        <f t="shared" si="12"/>
        <v>873.6</v>
      </c>
      <c r="K133" s="615">
        <f t="shared" si="13"/>
        <v>666.12</v>
      </c>
      <c r="L133" s="612">
        <f t="shared" si="14"/>
        <v>505.05</v>
      </c>
      <c r="M133" s="612">
        <f t="shared" si="15"/>
        <v>655.19999999999993</v>
      </c>
      <c r="N133" s="612">
        <f t="shared" si="16"/>
        <v>0</v>
      </c>
      <c r="O133" s="180"/>
      <c r="P133" s="616">
        <f t="shared" si="17"/>
        <v>1092</v>
      </c>
      <c r="Q133" s="615">
        <f t="shared" si="18"/>
        <v>698.88</v>
      </c>
      <c r="R133" s="615">
        <f t="shared" si="19"/>
        <v>532.89599999999996</v>
      </c>
      <c r="S133" s="612">
        <f t="shared" si="20"/>
        <v>404.04</v>
      </c>
      <c r="T133" s="612">
        <f t="shared" si="21"/>
        <v>524.16</v>
      </c>
      <c r="U133" s="612">
        <f t="shared" si="22"/>
        <v>0</v>
      </c>
      <c r="V133" s="179"/>
      <c r="W133" s="179"/>
      <c r="AE133" s="3"/>
    </row>
    <row r="134" spans="1:31" s="4" customFormat="1" ht="14.5">
      <c r="A134" s="5"/>
      <c r="B134" s="728" t="s">
        <v>935</v>
      </c>
      <c r="C134" s="614">
        <v>0.13</v>
      </c>
      <c r="D134" s="614">
        <v>7.2999999999999995E-2</v>
      </c>
      <c r="E134" s="614">
        <v>0.13</v>
      </c>
      <c r="F134" s="614">
        <v>0.14000000000000001</v>
      </c>
      <c r="G134" s="614"/>
      <c r="H134" s="112"/>
      <c r="I134" s="616">
        <v>2512</v>
      </c>
      <c r="J134" s="612">
        <f t="shared" si="12"/>
        <v>326.56</v>
      </c>
      <c r="K134" s="615">
        <f t="shared" si="13"/>
        <v>183.37599999999998</v>
      </c>
      <c r="L134" s="612">
        <f t="shared" si="14"/>
        <v>326.56</v>
      </c>
      <c r="M134" s="612">
        <f t="shared" si="15"/>
        <v>351.68</v>
      </c>
      <c r="N134" s="612">
        <f t="shared" si="16"/>
        <v>0</v>
      </c>
      <c r="O134" s="180"/>
      <c r="P134" s="616">
        <f t="shared" si="17"/>
        <v>2009.6000000000001</v>
      </c>
      <c r="Q134" s="615">
        <f t="shared" si="18"/>
        <v>261.24800000000005</v>
      </c>
      <c r="R134" s="615">
        <f t="shared" si="19"/>
        <v>146.70079999999999</v>
      </c>
      <c r="S134" s="612">
        <f t="shared" si="20"/>
        <v>261.24800000000005</v>
      </c>
      <c r="T134" s="612">
        <f t="shared" si="21"/>
        <v>281.34400000000005</v>
      </c>
      <c r="U134" s="612">
        <f t="shared" si="22"/>
        <v>0</v>
      </c>
      <c r="V134" s="179"/>
      <c r="W134" s="179"/>
      <c r="AE134" s="3"/>
    </row>
    <row r="135" spans="1:31" s="4" customFormat="1" ht="14.5">
      <c r="A135" s="5"/>
      <c r="B135" s="728" t="s">
        <v>1001</v>
      </c>
      <c r="C135" s="614">
        <v>0</v>
      </c>
      <c r="D135" s="614">
        <v>6.5040650406504072E-2</v>
      </c>
      <c r="E135" s="614">
        <v>0</v>
      </c>
      <c r="F135" s="614">
        <v>0</v>
      </c>
      <c r="G135" s="614"/>
      <c r="H135" s="112"/>
      <c r="I135" s="616">
        <v>4974</v>
      </c>
      <c r="J135" s="612">
        <f t="shared" si="12"/>
        <v>0</v>
      </c>
      <c r="K135" s="615">
        <f t="shared" si="13"/>
        <v>323.51219512195127</v>
      </c>
      <c r="L135" s="612">
        <f t="shared" si="14"/>
        <v>0</v>
      </c>
      <c r="M135" s="612">
        <f t="shared" si="15"/>
        <v>0</v>
      </c>
      <c r="N135" s="612">
        <f t="shared" si="16"/>
        <v>0</v>
      </c>
      <c r="O135" s="180"/>
      <c r="P135" s="616">
        <f t="shared" si="17"/>
        <v>3979.2000000000003</v>
      </c>
      <c r="Q135" s="615">
        <f t="shared" si="18"/>
        <v>0</v>
      </c>
      <c r="R135" s="615">
        <f t="shared" si="19"/>
        <v>258.80975609756103</v>
      </c>
      <c r="S135" s="612">
        <f t="shared" si="20"/>
        <v>0</v>
      </c>
      <c r="T135" s="612">
        <f t="shared" si="21"/>
        <v>0</v>
      </c>
      <c r="U135" s="612">
        <f t="shared" si="22"/>
        <v>0</v>
      </c>
      <c r="V135" s="179"/>
      <c r="W135" s="179"/>
      <c r="AE135" s="3"/>
    </row>
    <row r="136" spans="1:31" s="4" customFormat="1" ht="14.5">
      <c r="A136" s="5"/>
      <c r="B136" s="728" t="s">
        <v>936</v>
      </c>
      <c r="C136" s="614">
        <v>0.21</v>
      </c>
      <c r="D136" s="614">
        <v>0.23599999999999999</v>
      </c>
      <c r="E136" s="614">
        <v>0.67</v>
      </c>
      <c r="F136" s="614">
        <v>0.22</v>
      </c>
      <c r="G136" s="614"/>
      <c r="H136" s="112"/>
      <c r="I136" s="616">
        <v>993</v>
      </c>
      <c r="J136" s="612">
        <f t="shared" si="12"/>
        <v>208.53</v>
      </c>
      <c r="K136" s="615">
        <f t="shared" si="13"/>
        <v>234.34799999999998</v>
      </c>
      <c r="L136" s="612">
        <f t="shared" si="14"/>
        <v>665.31000000000006</v>
      </c>
      <c r="M136" s="612">
        <f t="shared" si="15"/>
        <v>218.46</v>
      </c>
      <c r="N136" s="612">
        <f t="shared" si="16"/>
        <v>0</v>
      </c>
      <c r="O136" s="180"/>
      <c r="P136" s="616">
        <f t="shared" si="17"/>
        <v>794.40000000000009</v>
      </c>
      <c r="Q136" s="615">
        <f t="shared" si="18"/>
        <v>166.82400000000001</v>
      </c>
      <c r="R136" s="615">
        <f t="shared" si="19"/>
        <v>187.47840000000002</v>
      </c>
      <c r="S136" s="612">
        <f t="shared" si="20"/>
        <v>532.24800000000005</v>
      </c>
      <c r="T136" s="612">
        <f t="shared" si="21"/>
        <v>174.76800000000003</v>
      </c>
      <c r="U136" s="612">
        <f t="shared" si="22"/>
        <v>0</v>
      </c>
      <c r="V136" s="179"/>
      <c r="W136" s="179"/>
      <c r="AE136" s="3"/>
    </row>
    <row r="137" spans="1:31" s="4" customFormat="1" ht="14.5">
      <c r="A137" s="5"/>
      <c r="B137" s="5"/>
      <c r="C137" s="617"/>
      <c r="D137" s="617"/>
      <c r="E137" s="617"/>
      <c r="F137" s="617"/>
      <c r="G137" s="617"/>
      <c r="H137" s="5"/>
      <c r="I137" s="460"/>
      <c r="J137" s="180"/>
      <c r="K137" s="179"/>
      <c r="L137" s="179"/>
      <c r="M137" s="618"/>
      <c r="N137" s="618"/>
      <c r="O137" s="179"/>
      <c r="P137" s="5"/>
      <c r="Q137" s="179"/>
      <c r="R137" s="179"/>
      <c r="S137" s="460"/>
      <c r="T137" s="460"/>
      <c r="U137" s="460"/>
      <c r="V137" s="460"/>
      <c r="W137" s="460"/>
      <c r="Z137" s="3"/>
    </row>
    <row r="138" spans="1:31" s="4" customFormat="1" ht="14.5">
      <c r="A138" s="5"/>
      <c r="B138" s="655" t="s">
        <v>1192</v>
      </c>
      <c r="C138" s="5"/>
      <c r="D138" s="5"/>
      <c r="E138" s="112"/>
      <c r="F138" s="5"/>
      <c r="G138" s="5"/>
      <c r="H138" s="5"/>
      <c r="I138" s="5"/>
      <c r="J138" s="5"/>
      <c r="K138" s="179"/>
      <c r="L138" s="179"/>
      <c r="M138" s="179"/>
      <c r="N138" s="5"/>
      <c r="O138" s="179"/>
      <c r="P138" s="5"/>
      <c r="Q138" s="179"/>
      <c r="R138" s="179"/>
      <c r="S138" s="460"/>
      <c r="T138" s="460"/>
      <c r="U138" s="460"/>
      <c r="V138" s="460"/>
      <c r="W138" s="460"/>
      <c r="Z138" s="3"/>
    </row>
    <row r="139" spans="1:31" ht="14.5">
      <c r="A139" s="5"/>
      <c r="B139" t="s">
        <v>938</v>
      </c>
      <c r="C139" s="5"/>
      <c r="D139" s="5"/>
      <c r="E139" s="5"/>
      <c r="F139" s="5"/>
      <c r="G139" s="5"/>
      <c r="H139" s="5"/>
      <c r="I139" s="5"/>
      <c r="J139" s="5"/>
      <c r="K139" s="5"/>
      <c r="L139" s="5"/>
      <c r="M139" s="5"/>
      <c r="N139" s="5"/>
      <c r="O139" s="5"/>
      <c r="P139" s="5"/>
      <c r="Q139" s="179"/>
      <c r="R139" s="179"/>
      <c r="S139" s="152"/>
      <c r="T139" s="460"/>
      <c r="U139" s="460"/>
      <c r="V139" s="460"/>
      <c r="W139" s="152"/>
    </row>
    <row r="140" spans="1:31" ht="14.5">
      <c r="A140" s="5"/>
      <c r="B140" t="s">
        <v>156</v>
      </c>
      <c r="C140" s="338"/>
      <c r="D140" s="338"/>
      <c r="E140" s="338"/>
      <c r="F140" s="338"/>
      <c r="G140" s="338"/>
      <c r="H140" s="338"/>
      <c r="I140" s="191"/>
      <c r="J140" s="191"/>
      <c r="K140" s="191"/>
      <c r="L140" s="191"/>
      <c r="M140" s="191"/>
      <c r="N140" s="191"/>
      <c r="O140" s="191"/>
      <c r="P140" s="191"/>
      <c r="Q140" s="179"/>
      <c r="R140" s="179"/>
      <c r="S140" s="152"/>
      <c r="T140" s="460"/>
      <c r="U140" s="460"/>
      <c r="V140" s="460"/>
      <c r="W140" s="152"/>
    </row>
    <row r="141" spans="1:31" ht="14.5">
      <c r="A141" s="5"/>
      <c r="B141"/>
      <c r="C141" s="338"/>
      <c r="D141" s="338"/>
      <c r="E141" s="338"/>
      <c r="F141" s="338"/>
      <c r="G141" s="338"/>
      <c r="H141" s="338"/>
      <c r="I141" s="191"/>
      <c r="J141" s="191"/>
      <c r="K141" s="191"/>
      <c r="L141" s="191"/>
      <c r="M141" s="191"/>
      <c r="N141" s="191"/>
      <c r="O141" s="191"/>
      <c r="P141" s="191"/>
      <c r="Q141" s="179"/>
      <c r="R141" s="179"/>
      <c r="S141" s="152"/>
      <c r="T141" s="460"/>
      <c r="U141" s="460"/>
      <c r="V141" s="460"/>
      <c r="W141" s="152"/>
    </row>
    <row r="142" spans="1:31" ht="14">
      <c r="B142" s="4"/>
      <c r="C142" s="4"/>
      <c r="D142" s="4"/>
      <c r="E142" s="4"/>
      <c r="F142" s="4"/>
      <c r="G142" s="4"/>
      <c r="H142" s="4"/>
      <c r="I142" s="4"/>
      <c r="J142" s="4"/>
      <c r="K142" s="4"/>
      <c r="L142" s="4"/>
      <c r="M142" s="4"/>
      <c r="N142" s="4"/>
      <c r="O142" s="4"/>
      <c r="P142" s="4"/>
      <c r="T142" s="4"/>
      <c r="U142" s="4"/>
      <c r="V142" s="4"/>
    </row>
    <row r="143" spans="1:31" ht="14">
      <c r="B143" s="4"/>
      <c r="C143" s="4"/>
      <c r="D143" s="4"/>
      <c r="E143" s="4"/>
      <c r="F143" s="4"/>
      <c r="G143" s="4"/>
      <c r="H143" s="4"/>
      <c r="I143" s="4"/>
      <c r="J143" s="4"/>
      <c r="K143" s="4"/>
      <c r="L143" s="4"/>
      <c r="M143" s="4"/>
      <c r="N143" s="4"/>
      <c r="O143" s="4"/>
      <c r="P143" s="4"/>
      <c r="T143" s="4"/>
      <c r="U143" s="4"/>
      <c r="V143" s="4"/>
    </row>
    <row r="144" spans="1:31" ht="14">
      <c r="B144" s="4"/>
      <c r="C144" s="4"/>
      <c r="D144" s="4"/>
      <c r="E144" s="4"/>
      <c r="F144" s="4"/>
      <c r="G144" s="4"/>
      <c r="H144" s="4"/>
      <c r="I144" s="4"/>
      <c r="J144" s="4"/>
      <c r="K144" s="4"/>
      <c r="L144" s="4"/>
      <c r="M144" s="4"/>
      <c r="N144" s="4"/>
      <c r="O144" s="4"/>
      <c r="P144" s="4"/>
    </row>
    <row r="145" spans="2:16" ht="14">
      <c r="B145" s="4"/>
      <c r="C145" s="4"/>
      <c r="D145" s="4"/>
      <c r="E145" s="4"/>
      <c r="F145" s="4"/>
      <c r="G145" s="4"/>
      <c r="H145" s="4"/>
      <c r="I145" s="4"/>
      <c r="J145" s="4"/>
      <c r="K145" s="4"/>
      <c r="L145" s="4"/>
      <c r="M145" s="4"/>
      <c r="N145" s="4"/>
      <c r="O145" s="4"/>
      <c r="P145" s="4"/>
    </row>
    <row r="153" spans="2:16">
      <c r="C153" s="619"/>
      <c r="D153" s="619"/>
    </row>
    <row r="154" spans="2:16">
      <c r="C154" s="619"/>
      <c r="D154" s="619"/>
    </row>
    <row r="155" spans="2:16">
      <c r="C155" s="619"/>
      <c r="D155" s="619"/>
    </row>
  </sheetData>
  <sheetProtection algorithmName="SHA-512" hashValue="rqZFkvXAUeD5bUlY4G6OHJQYmptKrrKTC6RN3nyDbKY4TsVimosXSar922Vzqq/vV3037TmWlcu3SLs06lfUcQ==" saltValue="mD68/apGqVOIWMCTEj+/Gg==" spinCount="100000" sheet="1" objects="1" scenarios="1"/>
  <protectedRanges>
    <protectedRange sqref="D121:E121" name="Range1_2"/>
  </protectedRanges>
  <sortState xmlns:xlrd2="http://schemas.microsoft.com/office/spreadsheetml/2017/richdata2" ref="B127:T136">
    <sortCondition ref="B127:B136"/>
  </sortState>
  <mergeCells count="16">
    <mergeCell ref="I121:N121"/>
    <mergeCell ref="P121:U121"/>
    <mergeCell ref="C97:D97"/>
    <mergeCell ref="C98:D98"/>
    <mergeCell ref="C92:D92"/>
    <mergeCell ref="C93:D93"/>
    <mergeCell ref="C94:D94"/>
    <mergeCell ref="C95:D95"/>
    <mergeCell ref="C96:D96"/>
    <mergeCell ref="C104:D104"/>
    <mergeCell ref="C105:D105"/>
    <mergeCell ref="C99:D99"/>
    <mergeCell ref="C100:D100"/>
    <mergeCell ref="C101:D101"/>
    <mergeCell ref="C102:D102"/>
    <mergeCell ref="C103:D103"/>
  </mergeCells>
  <hyperlinks>
    <hyperlink ref="B88" r:id="rId1" display="https://www.england.nhs.uk/publication/2023-25-nhs-payment-scheme/" xr:uid="{074DF6DC-CFFB-4286-B8AD-90E8539276B2}"/>
    <hyperlink ref="B40" r:id="rId2" display="https://www.england.nhs.uk/publication/2023-25-nhs-payment-scheme/" xr:uid="{D2058AB6-262E-4FCE-9091-29A348203569}"/>
    <hyperlink ref="B65" r:id="rId3" display="https://www.england.nhs.uk/publication/2023-25-nhs-payment-scheme/" xr:uid="{900D3C4C-030C-4090-9540-66275433D2D6}"/>
    <hyperlink ref="G42" r:id="rId4" xr:uid="{F77A9648-404F-454F-850C-4C34FC04B982}"/>
  </hyperlinks>
  <pageMargins left="0.70866141732283472" right="0.70866141732283472" top="0.74803149606299213" bottom="0.74803149606299213" header="0.31496062992125984" footer="0.31496062992125984"/>
  <pageSetup paperSize="9" scale="30"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8D83D-4D7E-4D1E-B763-2BF224511BE2}">
  <sheetPr>
    <tabColor theme="8" tint="0.59999389629810485"/>
  </sheetPr>
  <dimension ref="A1:N90"/>
  <sheetViews>
    <sheetView showGridLines="0" zoomScale="80" zoomScaleNormal="80" zoomScaleSheetLayoutView="80" workbookViewId="0"/>
  </sheetViews>
  <sheetFormatPr defaultColWidth="8.7265625" defaultRowHeight="14.5"/>
  <cols>
    <col min="1" max="1" width="3.54296875" customWidth="1"/>
    <col min="2" max="2" width="85.453125" style="1" customWidth="1"/>
    <col min="3" max="3" width="11.7265625" style="1" customWidth="1"/>
    <col min="4" max="4" width="11.54296875" customWidth="1"/>
    <col min="5" max="6" width="11.7265625" customWidth="1"/>
    <col min="7" max="7" width="12.26953125" customWidth="1"/>
    <col min="8" max="8" width="11.7265625" customWidth="1"/>
    <col min="9" max="9" width="44.453125" customWidth="1"/>
    <col min="10" max="10" width="11.7265625" customWidth="1"/>
    <col min="11" max="11" width="1.26953125" customWidth="1"/>
  </cols>
  <sheetData>
    <row r="1" spans="2:10" ht="30" customHeight="1">
      <c r="B1" s="689" t="str">
        <f>'Unit costs'!B1</f>
        <v>Treatments for treating relapsed and refractory multiple myeloma after 3 or more treatments</v>
      </c>
      <c r="C1" s="144"/>
      <c r="D1" s="141"/>
      <c r="E1" s="141"/>
      <c r="F1" s="141"/>
      <c r="G1" s="141"/>
      <c r="H1" s="141"/>
      <c r="I1" s="141"/>
      <c r="J1" s="141"/>
    </row>
    <row r="2" spans="2:10" ht="30" customHeight="1">
      <c r="B2" s="380" t="s">
        <v>13</v>
      </c>
      <c r="C2" s="141"/>
      <c r="D2" s="127" t="s">
        <v>108</v>
      </c>
      <c r="E2" s="127" t="s">
        <v>108</v>
      </c>
      <c r="F2" s="127" t="s">
        <v>108</v>
      </c>
      <c r="G2" s="127" t="s">
        <v>108</v>
      </c>
      <c r="H2" s="127" t="s">
        <v>108</v>
      </c>
      <c r="I2" s="127" t="s">
        <v>108</v>
      </c>
      <c r="J2" s="141"/>
    </row>
    <row r="3" spans="2:10">
      <c r="B3" s="248"/>
      <c r="C3" s="248"/>
      <c r="G3" s="133"/>
      <c r="H3" s="133"/>
      <c r="I3" s="133" t="s">
        <v>157</v>
      </c>
      <c r="J3" s="141"/>
    </row>
    <row r="4" spans="2:10" ht="14.65" customHeight="1">
      <c r="B4" s="258" t="s">
        <v>1078</v>
      </c>
      <c r="C4" s="259"/>
      <c r="D4" s="164" t="s">
        <v>70</v>
      </c>
      <c r="E4" s="164" t="s">
        <v>71</v>
      </c>
      <c r="F4" s="164" t="s">
        <v>72</v>
      </c>
      <c r="G4" s="164" t="s">
        <v>73</v>
      </c>
      <c r="H4" s="164" t="s">
        <v>74</v>
      </c>
      <c r="J4" s="133"/>
    </row>
    <row r="5" spans="2:10" ht="14.65" customHeight="1">
      <c r="B5" s="166" t="s">
        <v>1135</v>
      </c>
      <c r="C5" s="620"/>
      <c r="D5" s="181">
        <f>'Inputs and eligible population'!G42</f>
        <v>792.21544422657178</v>
      </c>
      <c r="E5" s="181">
        <f>'Inputs and eligible population'!H42</f>
        <v>799.85383300975525</v>
      </c>
      <c r="F5" s="181">
        <f>'Inputs and eligible population'!I42</f>
        <v>807.56586966692089</v>
      </c>
      <c r="G5" s="181">
        <f>'Inputs and eligible population'!J42</f>
        <v>815.35226429668955</v>
      </c>
      <c r="H5" s="181">
        <f>'Inputs and eligible population'!K42</f>
        <v>823.21373384431661</v>
      </c>
      <c r="J5" s="133"/>
    </row>
    <row r="6" spans="2:10" ht="14.65" customHeight="1">
      <c r="B6" s="260" t="s">
        <v>1130</v>
      </c>
      <c r="C6" s="620"/>
      <c r="D6" s="622">
        <f>'Inputs and eligible population'!F64</f>
        <v>0.2</v>
      </c>
      <c r="E6" s="622">
        <f>'Inputs and eligible population'!G64</f>
        <v>0.32500000000000001</v>
      </c>
      <c r="F6" s="622">
        <f>'Inputs and eligible population'!H64</f>
        <v>0.32500000000000001</v>
      </c>
      <c r="G6" s="622">
        <f>'Inputs and eligible population'!I64</f>
        <v>0.32500000000000001</v>
      </c>
      <c r="H6" s="622">
        <f>'Inputs and eligible population'!J64</f>
        <v>0.32500000000000001</v>
      </c>
      <c r="J6" s="133"/>
    </row>
    <row r="7" spans="2:10" ht="14.65" customHeight="1">
      <c r="B7" s="260" t="s">
        <v>1090</v>
      </c>
      <c r="C7" s="621"/>
      <c r="D7" s="622">
        <f>'Inputs and eligible population'!F65</f>
        <v>0.2</v>
      </c>
      <c r="E7" s="622">
        <f>'Inputs and eligible population'!G65</f>
        <v>0.32500000000000001</v>
      </c>
      <c r="F7" s="622">
        <f>'Inputs and eligible population'!H65</f>
        <v>0.32500000000000001</v>
      </c>
      <c r="G7" s="622">
        <f>'Inputs and eligible population'!I65</f>
        <v>0.32500000000000001</v>
      </c>
      <c r="H7" s="622">
        <f>'Inputs and eligible population'!J65</f>
        <v>0.32500000000000001</v>
      </c>
      <c r="J7" s="133"/>
    </row>
    <row r="8" spans="2:10" ht="14.65" customHeight="1">
      <c r="B8" s="260" t="s">
        <v>1138</v>
      </c>
      <c r="C8" s="621"/>
      <c r="D8" s="128">
        <f>'Financial impact (cash)'!D13</f>
        <v>0</v>
      </c>
      <c r="E8" s="128">
        <f>'Financial impact (cash)'!E13</f>
        <v>158.44308884531438</v>
      </c>
      <c r="F8" s="128">
        <f>'Financial impact (cash)'!F13</f>
        <v>259.95249572817045</v>
      </c>
      <c r="G8" s="128">
        <f>'Financial impact (cash)'!G13</f>
        <v>262.45890764174931</v>
      </c>
      <c r="H8" s="128">
        <f>'Financial impact (cash)'!H13</f>
        <v>264.98948589642413</v>
      </c>
      <c r="J8" s="133"/>
    </row>
    <row r="9" spans="2:10" ht="14.65" customHeight="1">
      <c r="B9" s="260" t="s">
        <v>1091</v>
      </c>
      <c r="C9" s="621"/>
      <c r="D9" s="128">
        <f>'Financial impact (cash)'!E14</f>
        <v>158.44308884531438</v>
      </c>
      <c r="E9" s="128">
        <f>'Financial impact (cash)'!F14</f>
        <v>259.95249572817045</v>
      </c>
      <c r="F9" s="128">
        <f>'Financial impact (cash)'!G14</f>
        <v>262.45890764174931</v>
      </c>
      <c r="G9" s="128">
        <f>'Financial impact (cash)'!H14</f>
        <v>264.98948589642413</v>
      </c>
      <c r="H9" s="128">
        <f>'Financial impact (cash)'!I14</f>
        <v>267.54446349940292</v>
      </c>
      <c r="J9" s="133"/>
    </row>
    <row r="10" spans="2:10" ht="14.65" customHeight="1">
      <c r="B10" s="133"/>
      <c r="C10" s="133"/>
      <c r="D10" s="623"/>
      <c r="E10" s="623"/>
      <c r="F10" s="623"/>
      <c r="G10" s="623"/>
      <c r="H10" s="623"/>
      <c r="I10" s="133"/>
      <c r="J10" s="133"/>
    </row>
    <row r="11" spans="2:10" ht="29">
      <c r="B11" s="265" t="s">
        <v>1079</v>
      </c>
      <c r="C11" s="239" t="s">
        <v>158</v>
      </c>
      <c r="D11" s="164" t="s">
        <v>70</v>
      </c>
      <c r="E11" s="164" t="s">
        <v>71</v>
      </c>
      <c r="F11" s="164" t="s">
        <v>72</v>
      </c>
      <c r="G11" s="164" t="s">
        <v>73</v>
      </c>
      <c r="H11" s="164" t="s">
        <v>74</v>
      </c>
      <c r="J11" s="133"/>
    </row>
    <row r="12" spans="2:10">
      <c r="B12" s="691" t="str">
        <f>'Inputs and eligible population'!D64</f>
        <v>People receiving teclistamab (recommended for use in routine commissioning in the NHS)</v>
      </c>
      <c r="C12" s="128">
        <f>'Inputs and eligible population'!L64</f>
        <v>0</v>
      </c>
      <c r="D12" s="128">
        <f>'Inputs and eligible population'!M64</f>
        <v>158.44308884531438</v>
      </c>
      <c r="E12" s="128">
        <f>'Inputs and eligible population'!N64</f>
        <v>259.95249572817045</v>
      </c>
      <c r="F12" s="128">
        <f>'Inputs and eligible population'!O64</f>
        <v>262.45890764174931</v>
      </c>
      <c r="G12" s="128">
        <f>'Inputs and eligible population'!P64</f>
        <v>264.98948589642413</v>
      </c>
      <c r="H12" s="128">
        <f>'Inputs and eligible population'!Q64</f>
        <v>267.54446349940292</v>
      </c>
      <c r="J12" s="133"/>
    </row>
    <row r="13" spans="2:10">
      <c r="B13" s="691" t="str">
        <f>'Inputs and eligible population'!D65</f>
        <v>People receiving elranatamab (recommended for use in the CDF in draft guidance)</v>
      </c>
      <c r="C13" s="128">
        <f>'Inputs and eligible population'!L65</f>
        <v>0</v>
      </c>
      <c r="D13" s="128">
        <f>'Inputs and eligible population'!M65</f>
        <v>158.44308884531438</v>
      </c>
      <c r="E13" s="128">
        <f>'Inputs and eligible population'!N65</f>
        <v>259.95249572817045</v>
      </c>
      <c r="F13" s="128">
        <f>'Inputs and eligible population'!O65</f>
        <v>262.45890764174931</v>
      </c>
      <c r="G13" s="128">
        <f>'Inputs and eligible population'!P65</f>
        <v>264.98948589642413</v>
      </c>
      <c r="H13" s="128">
        <f>'Inputs and eligible population'!Q65</f>
        <v>267.54446349940292</v>
      </c>
      <c r="J13" s="133"/>
    </row>
    <row r="14" spans="2:10">
      <c r="B14" s="691" t="str">
        <f>'Inputs and eligible population'!C66</f>
        <v xml:space="preserve">People receiving panobinostat with bortezomib and dexamethasone </v>
      </c>
      <c r="C14" s="128">
        <f>'Inputs and eligible population'!L66</f>
        <v>78.465000000000003</v>
      </c>
      <c r="D14" s="128">
        <f>'Inputs and eligible population'!M66</f>
        <v>79.221544422657189</v>
      </c>
      <c r="E14" s="128">
        <f>'Inputs and eligible population'!N66</f>
        <v>79.985383300975528</v>
      </c>
      <c r="F14" s="128">
        <f>'Inputs and eligible population'!O66</f>
        <v>80.756586966692097</v>
      </c>
      <c r="G14" s="128">
        <f>'Inputs and eligible population'!P66</f>
        <v>81.535226429668967</v>
      </c>
      <c r="H14" s="128">
        <f>'Inputs and eligible population'!Q66</f>
        <v>82.321373384431666</v>
      </c>
      <c r="J14" s="133"/>
    </row>
    <row r="15" spans="2:10">
      <c r="B15" s="691" t="str">
        <f>'Inputs and eligible population'!D67</f>
        <v>People receiving pomalidomide plus dexamethasone</v>
      </c>
      <c r="C15" s="128">
        <f>'Inputs and eligible population'!L67</f>
        <v>706.18499999999995</v>
      </c>
      <c r="D15" s="128">
        <f>'Inputs and eligible population'!M67</f>
        <v>396.10772211328589</v>
      </c>
      <c r="E15" s="128">
        <f>'Inputs and eligible population'!N67</f>
        <v>199.96345825243881</v>
      </c>
      <c r="F15" s="128">
        <f>'Inputs and eligible population'!O67</f>
        <v>201.89146741673022</v>
      </c>
      <c r="G15" s="128">
        <f>'Inputs and eligible population'!P67</f>
        <v>203.83806607417239</v>
      </c>
      <c r="H15" s="128">
        <f>'Inputs and eligible population'!Q67</f>
        <v>205.80343346107915</v>
      </c>
      <c r="J15" s="133"/>
    </row>
    <row r="16" spans="2:10">
      <c r="B16" s="691" t="str">
        <f>'Inputs and eligible population'!D68</f>
        <v>People receiving daratumumab</v>
      </c>
      <c r="C16" s="128">
        <f>'Inputs and eligible population'!L68</f>
        <v>0</v>
      </c>
      <c r="D16" s="128">
        <f>'Inputs and eligible population'!M68</f>
        <v>0</v>
      </c>
      <c r="E16" s="128">
        <f>'Inputs and eligible population'!N68</f>
        <v>0</v>
      </c>
      <c r="F16" s="128">
        <f>'Inputs and eligible population'!O68</f>
        <v>0</v>
      </c>
      <c r="G16" s="128">
        <f>'Inputs and eligible population'!P68</f>
        <v>0</v>
      </c>
      <c r="H16" s="128">
        <f>'Inputs and eligible population'!Q68</f>
        <v>0</v>
      </c>
      <c r="J16" s="133"/>
    </row>
    <row r="17" spans="1:10">
      <c r="B17" s="266"/>
      <c r="C17" s="181">
        <f t="shared" ref="C17:H17" si="0">SUM(C13:C15)</f>
        <v>784.65</v>
      </c>
      <c r="D17" s="181">
        <f t="shared" si="0"/>
        <v>633.77235538125751</v>
      </c>
      <c r="E17" s="181">
        <f t="shared" si="0"/>
        <v>539.9013372815848</v>
      </c>
      <c r="F17" s="181">
        <f t="shared" si="0"/>
        <v>545.1069620251717</v>
      </c>
      <c r="G17" s="181">
        <f t="shared" si="0"/>
        <v>550.36277840026548</v>
      </c>
      <c r="H17" s="181">
        <f t="shared" si="0"/>
        <v>555.6692703449138</v>
      </c>
      <c r="J17" s="133"/>
    </row>
    <row r="18" spans="1:10">
      <c r="B18" s="245"/>
      <c r="C18" s="360"/>
      <c r="D18" s="360"/>
      <c r="E18" s="360"/>
      <c r="F18" s="360"/>
      <c r="G18" s="360"/>
      <c r="H18" s="360"/>
      <c r="J18" s="133"/>
    </row>
    <row r="19" spans="1:10" ht="15" thickBot="1">
      <c r="B19" s="504"/>
      <c r="C19" s="504"/>
      <c r="D19" s="505"/>
      <c r="E19" s="505"/>
      <c r="F19" s="505"/>
      <c r="G19" s="505"/>
      <c r="H19" s="505"/>
      <c r="I19" s="506"/>
      <c r="J19" s="133"/>
    </row>
    <row r="20" spans="1:10">
      <c r="B20" s="268"/>
      <c r="C20" s="268"/>
      <c r="D20" s="339"/>
      <c r="E20" s="339"/>
      <c r="F20" s="339"/>
      <c r="G20" s="339"/>
      <c r="H20" s="339"/>
      <c r="I20" s="133"/>
      <c r="J20" s="133"/>
    </row>
    <row r="21" spans="1:10" ht="29">
      <c r="B21" s="261" t="s">
        <v>1080</v>
      </c>
      <c r="C21" s="239" t="s">
        <v>158</v>
      </c>
      <c r="D21" s="164" t="s">
        <v>70</v>
      </c>
      <c r="E21" s="164" t="s">
        <v>71</v>
      </c>
      <c r="F21" s="164" t="s">
        <v>72</v>
      </c>
      <c r="G21" s="164" t="s">
        <v>73</v>
      </c>
      <c r="H21" s="164" t="s">
        <v>74</v>
      </c>
      <c r="I21" s="133"/>
      <c r="J21" s="133"/>
    </row>
    <row r="22" spans="1:10">
      <c r="B22" s="294" t="s">
        <v>159</v>
      </c>
      <c r="C22" s="729" t="s">
        <v>160</v>
      </c>
      <c r="D22" s="729" t="s">
        <v>160</v>
      </c>
      <c r="E22" s="729" t="s">
        <v>160</v>
      </c>
      <c r="F22" s="729" t="s">
        <v>160</v>
      </c>
      <c r="G22" s="729" t="s">
        <v>160</v>
      </c>
      <c r="H22" s="729" t="s">
        <v>160</v>
      </c>
      <c r="I22" s="133"/>
      <c r="J22" s="133"/>
    </row>
    <row r="23" spans="1:10">
      <c r="B23" s="267" t="s">
        <v>161</v>
      </c>
      <c r="C23" s="253">
        <f>'Financial impact (cash)'!D32</f>
        <v>116.31375403199999</v>
      </c>
      <c r="D23" s="253">
        <f>'Financial impact (cash)'!E32</f>
        <v>73.738399512840687</v>
      </c>
      <c r="E23" s="253">
        <f>'Financial impact (cash)'!F32</f>
        <v>46.875529865996668</v>
      </c>
      <c r="F23" s="253">
        <f>'Financial impact (cash)'!G32</f>
        <v>47.32749469973426</v>
      </c>
      <c r="G23" s="253">
        <f>'Financial impact (cash)'!H32</f>
        <v>47.783817291379201</v>
      </c>
      <c r="H23" s="253">
        <f>'Financial impact (cash)'!I32</f>
        <v>48.244539657594231</v>
      </c>
      <c r="I23" s="133"/>
      <c r="J23" s="133"/>
    </row>
    <row r="24" spans="1:10">
      <c r="B24" s="760" t="s">
        <v>1146</v>
      </c>
      <c r="C24" s="253">
        <f>'Financial impact (cash)'!D33</f>
        <v>0</v>
      </c>
      <c r="D24" s="253">
        <f>'Financial impact (cash)'!E33</f>
        <v>0</v>
      </c>
      <c r="E24" s="253">
        <f>'Financial impact (cash)'!F33</f>
        <v>0</v>
      </c>
      <c r="F24" s="253">
        <f>'Financial impact (cash)'!G33</f>
        <v>0</v>
      </c>
      <c r="G24" s="253">
        <f>'Financial impact (cash)'!H33</f>
        <v>0</v>
      </c>
      <c r="H24" s="253">
        <f>'Financial impact (cash)'!I33</f>
        <v>0</v>
      </c>
      <c r="I24" s="133"/>
      <c r="J24" s="133"/>
    </row>
    <row r="25" spans="1:10">
      <c r="C25" s="78"/>
      <c r="D25" s="195">
        <f>D23-$C$23</f>
        <v>-42.575354519159305</v>
      </c>
      <c r="E25" s="195">
        <f t="shared" ref="E25:H25" si="1">E23-$C$23</f>
        <v>-69.438224166003323</v>
      </c>
      <c r="F25" s="195">
        <f t="shared" si="1"/>
        <v>-68.986259332265732</v>
      </c>
      <c r="G25" s="195">
        <f t="shared" si="1"/>
        <v>-68.529936740620798</v>
      </c>
      <c r="H25" s="195">
        <f t="shared" si="1"/>
        <v>-68.06921437440576</v>
      </c>
      <c r="I25" s="463" t="s">
        <v>162</v>
      </c>
      <c r="J25" s="133"/>
    </row>
    <row r="26" spans="1:10">
      <c r="C26" s="88"/>
      <c r="D26" s="195">
        <f>D23-C23</f>
        <v>-42.575354519159305</v>
      </c>
      <c r="E26" s="195">
        <f>E23-D23</f>
        <v>-26.862869646844018</v>
      </c>
      <c r="F26" s="195">
        <f>F23-E23</f>
        <v>0.45196483373759122</v>
      </c>
      <c r="G26" s="195">
        <f>G23-F23</f>
        <v>0.45632259164494116</v>
      </c>
      <c r="H26" s="195">
        <f>H23-G23</f>
        <v>0.46072236621503038</v>
      </c>
      <c r="I26" s="463" t="s">
        <v>163</v>
      </c>
      <c r="J26" s="133"/>
    </row>
    <row r="27" spans="1:10">
      <c r="D27" s="195">
        <f>D24-$C$24</f>
        <v>0</v>
      </c>
      <c r="E27" s="195">
        <f t="shared" ref="E27:H27" si="2">E24-$C$24</f>
        <v>0</v>
      </c>
      <c r="F27" s="195">
        <f t="shared" si="2"/>
        <v>0</v>
      </c>
      <c r="G27" s="195">
        <f t="shared" si="2"/>
        <v>0</v>
      </c>
      <c r="H27" s="195">
        <f t="shared" si="2"/>
        <v>0</v>
      </c>
      <c r="I27" s="463" t="s">
        <v>1149</v>
      </c>
      <c r="J27" s="133"/>
    </row>
    <row r="28" spans="1:10">
      <c r="D28" s="339"/>
      <c r="E28" s="339"/>
      <c r="F28" s="339"/>
      <c r="G28" s="339"/>
      <c r="H28" s="339"/>
      <c r="I28" s="624"/>
      <c r="J28" s="133"/>
    </row>
    <row r="29" spans="1:10">
      <c r="B29" t="s">
        <v>164</v>
      </c>
      <c r="C29" s="268"/>
      <c r="D29" s="407"/>
      <c r="E29" s="407"/>
      <c r="F29" s="407"/>
      <c r="G29" s="407"/>
      <c r="H29" s="407"/>
      <c r="J29" s="133"/>
    </row>
    <row r="30" spans="1:10">
      <c r="B30" s="625" t="s">
        <v>151</v>
      </c>
      <c r="C30" s="268"/>
      <c r="D30" s="407"/>
      <c r="E30" s="407"/>
      <c r="F30" s="407"/>
      <c r="G30" s="407"/>
      <c r="H30" s="407"/>
      <c r="J30" s="133"/>
    </row>
    <row r="31" spans="1:10">
      <c r="B31" s="268"/>
      <c r="C31" s="268"/>
      <c r="D31" s="407"/>
      <c r="E31" s="407"/>
      <c r="F31" s="407"/>
      <c r="G31" s="407"/>
      <c r="H31" s="407"/>
      <c r="J31" s="133"/>
    </row>
    <row r="32" spans="1:10" ht="29">
      <c r="A32" s="407"/>
      <c r="B32" s="261" t="s">
        <v>1069</v>
      </c>
      <c r="C32" s="239" t="s">
        <v>158</v>
      </c>
      <c r="D32" s="164" t="s">
        <v>70</v>
      </c>
      <c r="E32" s="164" t="s">
        <v>71</v>
      </c>
      <c r="F32" s="164" t="s">
        <v>72</v>
      </c>
      <c r="G32" s="164" t="s">
        <v>73</v>
      </c>
      <c r="H32" s="164" t="s">
        <v>74</v>
      </c>
      <c r="J32" s="133"/>
    </row>
    <row r="33" spans="1:10">
      <c r="A33" s="407"/>
      <c r="B33" s="294" t="s">
        <v>165</v>
      </c>
      <c r="C33" s="729" t="s">
        <v>160</v>
      </c>
      <c r="D33" s="729" t="s">
        <v>160</v>
      </c>
      <c r="E33" s="729" t="s">
        <v>160</v>
      </c>
      <c r="F33" s="729" t="s">
        <v>160</v>
      </c>
      <c r="G33" s="729" t="s">
        <v>160</v>
      </c>
      <c r="H33" s="729" t="s">
        <v>160</v>
      </c>
      <c r="J33" s="133"/>
    </row>
    <row r="34" spans="1:10">
      <c r="A34" s="407"/>
      <c r="B34" s="267" t="s">
        <v>166</v>
      </c>
      <c r="C34" s="253">
        <f>IF($B$30="national prices",'Capacity (national prices)'!L25,IF($B$30="local prices",'Capacity (local prices)'!L25,0))</f>
        <v>3751.9075487999999</v>
      </c>
      <c r="D34" s="253">
        <f>IF($B$30="national prices",'Capacity (national prices)'!M25,IF($B$30="local prices",'Capacity (local prices)'!M25,0))</f>
        <v>7242.169485065413</v>
      </c>
      <c r="E34" s="253">
        <f>IF($B$30="national prices",'Capacity (national prices)'!N25,IF($B$30="local prices",'Capacity (local prices)'!N25,0))</f>
        <v>9491.6160923737116</v>
      </c>
      <c r="F34" s="253">
        <f>IF($B$30="national prices",'Capacity (national prices)'!O25,IF($B$30="local prices",'Capacity (local prices)'!O25,0))</f>
        <v>9583.1324272579077</v>
      </c>
      <c r="G34" s="253">
        <f>IF($B$30="national prices",'Capacity (national prices)'!P25,IF($B$30="local prices",'Capacity (local prices)'!P25,0))</f>
        <v>9675.5311450228619</v>
      </c>
      <c r="H34" s="253">
        <f>IF($B$30="national prices",'Capacity (national prices)'!Q25,IF($B$30="local prices",'Capacity (local prices)'!Q25,0))</f>
        <v>9768.8207534344183</v>
      </c>
      <c r="J34" s="133"/>
    </row>
    <row r="35" spans="1:10">
      <c r="A35" s="407"/>
      <c r="C35" s="78"/>
      <c r="D35" s="195">
        <f>D34-$C$34</f>
        <v>3490.2619362654132</v>
      </c>
      <c r="E35" s="195">
        <f>E34-$C$34</f>
        <v>5739.7085435737117</v>
      </c>
      <c r="F35" s="195">
        <f>F34-$C$34</f>
        <v>5831.2248784579078</v>
      </c>
      <c r="G35" s="195">
        <f>G34-$C$34</f>
        <v>5923.623596222862</v>
      </c>
      <c r="H35" s="195">
        <f>H34-$C$34</f>
        <v>6016.9132046344184</v>
      </c>
      <c r="I35" s="463" t="s">
        <v>162</v>
      </c>
      <c r="J35" s="133"/>
    </row>
    <row r="36" spans="1:10">
      <c r="A36" s="407"/>
      <c r="C36" s="88"/>
      <c r="D36" s="195">
        <f>D34-C34</f>
        <v>3490.2619362654132</v>
      </c>
      <c r="E36" s="195">
        <f>E34-D34</f>
        <v>2249.4466073082986</v>
      </c>
      <c r="F36" s="195">
        <f>F34-E34</f>
        <v>91.516334884196112</v>
      </c>
      <c r="G36" s="195">
        <f>G34-F34</f>
        <v>92.398717764954199</v>
      </c>
      <c r="H36" s="195">
        <f>H34-G34</f>
        <v>93.289608411556401</v>
      </c>
      <c r="I36" s="463" t="s">
        <v>163</v>
      </c>
      <c r="J36" s="133"/>
    </row>
    <row r="37" spans="1:10">
      <c r="A37" s="407"/>
      <c r="B37" s="407"/>
      <c r="C37" s="407"/>
      <c r="D37" s="407"/>
      <c r="E37" s="407"/>
      <c r="F37" s="407"/>
      <c r="G37" s="407"/>
      <c r="H37" s="407"/>
      <c r="J37" s="133"/>
    </row>
    <row r="38" spans="1:10" ht="29">
      <c r="A38" s="407"/>
      <c r="B38" s="261" t="s">
        <v>1070</v>
      </c>
      <c r="C38" s="239" t="s">
        <v>158</v>
      </c>
      <c r="D38" s="164" t="s">
        <v>70</v>
      </c>
      <c r="E38" s="164" t="s">
        <v>71</v>
      </c>
      <c r="F38" s="164" t="s">
        <v>72</v>
      </c>
      <c r="G38" s="164" t="s">
        <v>73</v>
      </c>
      <c r="H38" s="164" t="s">
        <v>74</v>
      </c>
      <c r="J38" s="133"/>
    </row>
    <row r="39" spans="1:10">
      <c r="B39" s="294"/>
      <c r="C39" s="729" t="s">
        <v>160</v>
      </c>
      <c r="D39" s="729" t="s">
        <v>160</v>
      </c>
      <c r="E39" s="729" t="s">
        <v>160</v>
      </c>
      <c r="F39" s="729" t="s">
        <v>160</v>
      </c>
      <c r="G39" s="729" t="s">
        <v>160</v>
      </c>
      <c r="H39" s="729" t="s">
        <v>160</v>
      </c>
      <c r="I39" s="133"/>
      <c r="J39" s="133"/>
    </row>
    <row r="40" spans="1:10">
      <c r="B40" s="500" t="s">
        <v>167</v>
      </c>
      <c r="C40" s="519">
        <f>C23+C34+C24</f>
        <v>3868.2213028319998</v>
      </c>
      <c r="D40" s="519">
        <f t="shared" ref="D40:H40" si="3">D23+D34+D24</f>
        <v>7315.9078845782533</v>
      </c>
      <c r="E40" s="519">
        <f t="shared" si="3"/>
        <v>9538.4916222397078</v>
      </c>
      <c r="F40" s="519">
        <f t="shared" si="3"/>
        <v>9630.4599219576412</v>
      </c>
      <c r="G40" s="519">
        <f t="shared" si="3"/>
        <v>9723.3149623142417</v>
      </c>
      <c r="H40" s="519">
        <f t="shared" si="3"/>
        <v>9817.0652930920132</v>
      </c>
      <c r="I40" s="133"/>
      <c r="J40" s="133"/>
    </row>
    <row r="41" spans="1:10">
      <c r="B41" s="499"/>
      <c r="C41" s="501"/>
      <c r="D41" s="502">
        <f>D40-$C$40</f>
        <v>3447.6865817462535</v>
      </c>
      <c r="E41" s="502">
        <f>E40-$C$40</f>
        <v>5670.2703194077076</v>
      </c>
      <c r="F41" s="502">
        <f>F40-$C$40</f>
        <v>5762.238619125641</v>
      </c>
      <c r="G41" s="502">
        <f>G40-$C$40</f>
        <v>5855.0936594822415</v>
      </c>
      <c r="H41" s="502">
        <f>H40-$C$40</f>
        <v>5948.843990260013</v>
      </c>
      <c r="I41" s="463" t="s">
        <v>162</v>
      </c>
      <c r="J41" s="133"/>
    </row>
    <row r="42" spans="1:10">
      <c r="B42" s="499"/>
      <c r="C42" s="501"/>
      <c r="D42" s="503">
        <f>D40-C40</f>
        <v>3447.6865817462535</v>
      </c>
      <c r="E42" s="503">
        <f>E40-D40</f>
        <v>2222.5837376614545</v>
      </c>
      <c r="F42" s="503">
        <f>F40-E40</f>
        <v>91.968299717933405</v>
      </c>
      <c r="G42" s="503">
        <f>G40-F40</f>
        <v>92.855040356600512</v>
      </c>
      <c r="H42" s="503">
        <f>H40-G40</f>
        <v>93.750330777771524</v>
      </c>
      <c r="I42" s="463" t="s">
        <v>163</v>
      </c>
      <c r="J42" s="133"/>
    </row>
    <row r="43" spans="1:10" ht="15" thickBot="1">
      <c r="B43" s="504"/>
      <c r="C43" s="504"/>
      <c r="D43" s="505"/>
      <c r="E43" s="505"/>
      <c r="F43" s="505"/>
      <c r="G43" s="505"/>
      <c r="H43" s="505"/>
      <c r="I43" s="506"/>
      <c r="J43" s="133"/>
    </row>
    <row r="44" spans="1:10">
      <c r="B44" s="268"/>
      <c r="C44" s="268"/>
      <c r="D44" s="339"/>
      <c r="E44" s="339"/>
      <c r="F44" s="339"/>
      <c r="G44" s="339"/>
      <c r="H44" s="339"/>
      <c r="I44" s="133"/>
      <c r="J44" s="133"/>
    </row>
    <row r="45" spans="1:10">
      <c r="B45" s="261" t="s">
        <v>168</v>
      </c>
      <c r="C45" s="492"/>
      <c r="D45" s="164" t="s">
        <v>70</v>
      </c>
      <c r="E45" s="164" t="s">
        <v>71</v>
      </c>
      <c r="F45" s="164" t="s">
        <v>72</v>
      </c>
      <c r="G45" s="164" t="s">
        <v>73</v>
      </c>
      <c r="H45" s="164" t="s">
        <v>74</v>
      </c>
      <c r="I45" s="133"/>
      <c r="J45" s="133"/>
    </row>
    <row r="46" spans="1:10">
      <c r="B46" s="495"/>
      <c r="C46" s="493"/>
      <c r="D46" s="494"/>
      <c r="E46" s="494"/>
      <c r="F46" s="494"/>
      <c r="G46" s="494"/>
      <c r="H46" s="494"/>
      <c r="I46" s="133"/>
      <c r="J46" s="133"/>
    </row>
    <row r="47" spans="1:10">
      <c r="B47" s="261" t="s">
        <v>747</v>
      </c>
      <c r="C47" s="262"/>
      <c r="D47" s="183"/>
      <c r="E47" s="183"/>
      <c r="F47" s="183"/>
      <c r="G47" s="183"/>
      <c r="H47" s="416"/>
      <c r="I47" s="751"/>
      <c r="J47" s="133"/>
    </row>
    <row r="48" spans="1:10">
      <c r="B48" s="348" t="s">
        <v>1114</v>
      </c>
      <c r="C48" s="626"/>
      <c r="D48" s="627">
        <f>'Capacity (local prices)'!D60</f>
        <v>0</v>
      </c>
      <c r="E48" s="627">
        <f>'Capacity (local prices)'!E60</f>
        <v>316.88617769062876</v>
      </c>
      <c r="F48" s="627">
        <f>'Capacity (local prices)'!F60</f>
        <v>519.90499145634089</v>
      </c>
      <c r="G48" s="627">
        <f>'Capacity (local prices)'!G60</f>
        <v>524.91781528349861</v>
      </c>
      <c r="H48" s="353">
        <f>'Capacity (local prices)'!H60</f>
        <v>529.97897179284826</v>
      </c>
      <c r="I48" s="749"/>
      <c r="J48" s="133"/>
    </row>
    <row r="49" spans="2:10">
      <c r="B49" s="348" t="s">
        <v>918</v>
      </c>
      <c r="C49" s="626"/>
      <c r="D49" s="627">
        <f>'Capacity (local prices)'!D61</f>
        <v>2824.74</v>
      </c>
      <c r="E49" s="627">
        <f>'Capacity (local prices)'!E61</f>
        <v>1584.4308884531436</v>
      </c>
      <c r="F49" s="627">
        <f>'Capacity (local prices)'!F61</f>
        <v>799.85383300975525</v>
      </c>
      <c r="G49" s="627">
        <f>'Capacity (local prices)'!G61</f>
        <v>807.56586966692089</v>
      </c>
      <c r="H49" s="353">
        <f>'Capacity (local prices)'!H61</f>
        <v>815.35226429668955</v>
      </c>
      <c r="I49" s="749"/>
      <c r="J49" s="133"/>
    </row>
    <row r="50" spans="2:10">
      <c r="B50" s="348" t="s">
        <v>1129</v>
      </c>
      <c r="C50" s="626"/>
      <c r="D50" s="627">
        <f>'Capacity (local prices)'!D62</f>
        <v>549.255</v>
      </c>
      <c r="E50" s="627">
        <f>'Capacity (local prices)'!E62</f>
        <v>2772.7540547930016</v>
      </c>
      <c r="F50" s="627">
        <f>'Capacity (local prices)'!F62</f>
        <v>4199.2326233012145</v>
      </c>
      <c r="G50" s="627">
        <f>'Capacity (local prices)'!G62</f>
        <v>4239.7208157513351</v>
      </c>
      <c r="H50" s="353">
        <f>'Capacity (local prices)'!H62</f>
        <v>4280.5993875576205</v>
      </c>
      <c r="I50" s="749"/>
      <c r="J50" s="133"/>
    </row>
    <row r="51" spans="2:10">
      <c r="B51" s="348" t="s">
        <v>916</v>
      </c>
      <c r="C51" s="626"/>
      <c r="D51" s="627">
        <f>'Capacity (local prices)'!D63</f>
        <v>1647.7650000000001</v>
      </c>
      <c r="E51" s="627">
        <f>'Capacity (local prices)'!E63</f>
        <v>8318.2621643790044</v>
      </c>
      <c r="F51" s="627">
        <f>'Capacity (local prices)'!F63</f>
        <v>12597.697869903644</v>
      </c>
      <c r="G51" s="627">
        <f>'Capacity (local prices)'!G63</f>
        <v>12719.162447254006</v>
      </c>
      <c r="H51" s="353">
        <f>'Capacity (local prices)'!H63</f>
        <v>12841.798162672862</v>
      </c>
      <c r="I51" s="749"/>
      <c r="J51" s="133"/>
    </row>
    <row r="52" spans="2:10">
      <c r="B52" s="628"/>
      <c r="C52" s="629"/>
      <c r="D52" s="630">
        <f>SUM(D48:D51)</f>
        <v>5021.76</v>
      </c>
      <c r="E52" s="630">
        <f>SUM(E48:E51)</f>
        <v>12992.333285315777</v>
      </c>
      <c r="F52" s="630">
        <f>SUM(F48:F51)</f>
        <v>18116.689317670956</v>
      </c>
      <c r="G52" s="630">
        <f>SUM(G48:G51)</f>
        <v>18291.366947955761</v>
      </c>
      <c r="H52" s="750">
        <f>SUM(H48:H51)</f>
        <v>18467.728786320018</v>
      </c>
      <c r="I52" s="749"/>
      <c r="J52" s="133"/>
    </row>
    <row r="53" spans="2:10">
      <c r="B53" s="268"/>
      <c r="C53" s="268"/>
      <c r="D53" s="339"/>
      <c r="E53" s="339"/>
      <c r="F53" s="339"/>
      <c r="G53" s="339"/>
      <c r="H53" s="339"/>
      <c r="I53" s="133"/>
      <c r="J53" s="133"/>
    </row>
    <row r="54" spans="2:10">
      <c r="B54" s="261" t="s">
        <v>169</v>
      </c>
      <c r="C54" s="259"/>
      <c r="D54" s="255"/>
      <c r="E54" s="255"/>
      <c r="F54" s="255"/>
      <c r="G54" s="255"/>
      <c r="H54" s="256"/>
      <c r="I54" s="133"/>
      <c r="J54" s="133"/>
    </row>
    <row r="55" spans="2:10" hidden="1">
      <c r="B55" s="263" t="s">
        <v>920</v>
      </c>
      <c r="C55" s="264"/>
      <c r="D55" s="181" t="e">
        <f>'Capacity (local prices)'!E36</f>
        <v>#REF!</v>
      </c>
      <c r="E55" s="181" t="e">
        <f>'Capacity (local prices)'!F36</f>
        <v>#REF!</v>
      </c>
      <c r="F55" s="181" t="e">
        <f>'Capacity (local prices)'!G36</f>
        <v>#REF!</v>
      </c>
      <c r="G55" s="181" t="e">
        <f>'Capacity (local prices)'!H36</f>
        <v>#REF!</v>
      </c>
      <c r="H55" s="181" t="e">
        <f>'Capacity (local prices)'!I36</f>
        <v>#REF!</v>
      </c>
      <c r="I55" s="133"/>
      <c r="J55" s="133"/>
    </row>
    <row r="56" spans="2:10">
      <c r="B56" s="263" t="s">
        <v>923</v>
      </c>
      <c r="C56" s="264"/>
      <c r="D56" s="181">
        <f>+'Capacity (local prices)'!E46</f>
        <v>90.48271294980259</v>
      </c>
      <c r="E56" s="181">
        <f>+'Capacity (local prices)'!F46</f>
        <v>181.83784279667452</v>
      </c>
      <c r="F56" s="181">
        <f>+'Capacity (local prices)'!G46</f>
        <v>274.07380121637652</v>
      </c>
      <c r="G56" s="181">
        <f>+'Capacity (local prices)'!H46</f>
        <v>367.19908098841006</v>
      </c>
      <c r="H56" s="181">
        <f>+'Capacity (local prices)'!I46</f>
        <v>461.22225677802817</v>
      </c>
      <c r="I56" s="133"/>
      <c r="J56" s="133"/>
    </row>
    <row r="57" spans="2:10">
      <c r="B57" s="263" t="s">
        <v>170</v>
      </c>
      <c r="C57" s="264"/>
      <c r="D57" s="181">
        <f>+'Capacity (local prices)'!E65</f>
        <v>7970.573285315777</v>
      </c>
      <c r="E57" s="181">
        <f>+'Capacity (local prices)'!F65</f>
        <v>13094.929317670956</v>
      </c>
      <c r="F57" s="181">
        <f>+'Capacity (local prices)'!G65</f>
        <v>13269.606947955761</v>
      </c>
      <c r="G57" s="181">
        <f>+'Capacity (local prices)'!H65</f>
        <v>13445.968786320018</v>
      </c>
      <c r="H57" s="181">
        <f>+'Capacity (local prices)'!I65</f>
        <v>13624.031071573774</v>
      </c>
      <c r="I57" s="133"/>
      <c r="J57" s="133"/>
    </row>
    <row r="58" spans="2:10">
      <c r="B58" s="263" t="s">
        <v>171</v>
      </c>
      <c r="C58" s="264"/>
      <c r="D58" s="181">
        <f>+'Capacity (local prices)'!E81</f>
        <v>7970.5732853157788</v>
      </c>
      <c r="E58" s="181">
        <f>+'Capacity (local prices)'!F81</f>
        <v>13094.929317670956</v>
      </c>
      <c r="F58" s="181">
        <f>+'Capacity (local prices)'!G81</f>
        <v>13269.606947955757</v>
      </c>
      <c r="G58" s="181">
        <f>+'Capacity (local prices)'!H81</f>
        <v>13445.968786320018</v>
      </c>
      <c r="H58" s="181">
        <f>+'Capacity (local prices)'!I81</f>
        <v>13624.031071573774</v>
      </c>
      <c r="I58" s="133"/>
      <c r="J58" s="133"/>
    </row>
    <row r="59" spans="2:10">
      <c r="I59" s="133"/>
      <c r="J59" s="133"/>
    </row>
    <row r="60" spans="2:10">
      <c r="B60" s="261" t="s">
        <v>1022</v>
      </c>
      <c r="C60" s="262"/>
      <c r="D60" s="255"/>
      <c r="E60" s="255"/>
      <c r="F60" s="255"/>
      <c r="G60" s="255"/>
      <c r="H60" s="256"/>
      <c r="I60" s="133"/>
      <c r="J60" s="133"/>
    </row>
    <row r="61" spans="2:10">
      <c r="B61" s="263" t="s">
        <v>1023</v>
      </c>
      <c r="C61" s="264"/>
      <c r="D61" s="181">
        <f>'Capacity (local prices)'!E56</f>
        <v>1584.4308884531438</v>
      </c>
      <c r="E61" s="181">
        <f>'Capacity (local prices)'!F56</f>
        <v>2599.5249572817047</v>
      </c>
      <c r="F61" s="181">
        <f>'Capacity (local prices)'!G56</f>
        <v>2624.5890764174928</v>
      </c>
      <c r="G61" s="181">
        <f>'Capacity (local prices)'!H56</f>
        <v>2649.8948589642414</v>
      </c>
      <c r="H61" s="181">
        <f>'Capacity (local prices)'!I56</f>
        <v>2675.444634994029</v>
      </c>
      <c r="I61" s="133"/>
      <c r="J61" s="133"/>
    </row>
    <row r="62" spans="2:10">
      <c r="I62" s="133"/>
      <c r="J62" s="133"/>
    </row>
    <row r="63" spans="2:10">
      <c r="B63" s="261" t="s">
        <v>172</v>
      </c>
      <c r="C63" s="262"/>
      <c r="D63" s="255"/>
      <c r="E63" s="255"/>
      <c r="F63" s="255"/>
      <c r="G63" s="255"/>
      <c r="H63" s="256"/>
      <c r="I63" s="133"/>
      <c r="J63" s="133"/>
    </row>
    <row r="64" spans="2:10">
      <c r="B64" s="263" t="s">
        <v>173</v>
      </c>
      <c r="C64" s="264"/>
      <c r="D64" s="181">
        <f>+'Capacity (local prices)'!E92</f>
        <v>1535.1470661437727</v>
      </c>
      <c r="E64" s="181">
        <f>+'Capacity (local prices)'!F92</f>
        <v>2519.9692474435333</v>
      </c>
      <c r="F64" s="181">
        <f>+'Capacity (local prices)'!G92</f>
        <v>2547.7968463814732</v>
      </c>
      <c r="G64" s="181">
        <f>+'Capacity (local prices)'!H92</f>
        <v>2575.8927536705551</v>
      </c>
      <c r="H64" s="181">
        <f>+'Capacity (local prices)'!I92</f>
        <v>2604.2595562882429</v>
      </c>
      <c r="I64" s="133"/>
      <c r="J64" s="133"/>
    </row>
    <row r="65" spans="2:10">
      <c r="B65" s="263" t="s">
        <v>174</v>
      </c>
      <c r="C65" s="264"/>
      <c r="D65" s="181">
        <f>+'Capacity (local prices)'!E102</f>
        <v>2302.7205992156587</v>
      </c>
      <c r="E65" s="181">
        <f>+'Capacity (local prices)'!F102</f>
        <v>3779.9538711653004</v>
      </c>
      <c r="F65" s="181">
        <f>+'Capacity (local prices)'!G102</f>
        <v>3821.6952695722093</v>
      </c>
      <c r="G65" s="181">
        <f>+'Capacity (local prices)'!H102</f>
        <v>3863.8391305058331</v>
      </c>
      <c r="H65" s="181">
        <f>+'Capacity (local prices)'!I102</f>
        <v>3906.3893344323642</v>
      </c>
      <c r="I65" s="133"/>
      <c r="J65" s="133"/>
    </row>
    <row r="66" spans="2:10">
      <c r="B66" s="263" t="s">
        <v>175</v>
      </c>
      <c r="C66" s="264"/>
      <c r="D66" s="181">
        <f>+'Capacity (local prices)'!E112</f>
        <v>2302.7205992156587</v>
      </c>
      <c r="E66" s="181">
        <f>+'Capacity (local prices)'!F112</f>
        <v>3779.9538711653004</v>
      </c>
      <c r="F66" s="181">
        <f>+'Capacity (local prices)'!G112</f>
        <v>3821.6952695722093</v>
      </c>
      <c r="G66" s="181">
        <f>+'Capacity (local prices)'!H112</f>
        <v>3863.8391305058331</v>
      </c>
      <c r="H66" s="181">
        <f>+'Capacity (local prices)'!I112</f>
        <v>3906.3893344323642</v>
      </c>
      <c r="I66" s="133"/>
      <c r="J66" s="133"/>
    </row>
    <row r="67" spans="2:10">
      <c r="I67" s="133"/>
      <c r="J67" s="133"/>
    </row>
    <row r="68" spans="2:10" hidden="1">
      <c r="B68" s="261" t="s">
        <v>176</v>
      </c>
      <c r="C68" s="262"/>
      <c r="D68" s="255"/>
      <c r="E68" s="255"/>
      <c r="F68" s="255"/>
      <c r="G68" s="255"/>
      <c r="H68" s="256"/>
      <c r="I68" s="133"/>
      <c r="J68" s="133"/>
    </row>
    <row r="69" spans="2:10" hidden="1">
      <c r="B69" s="346" t="s">
        <v>177</v>
      </c>
      <c r="C69" s="269"/>
      <c r="D69" s="379" t="e">
        <f>#REF!</f>
        <v>#REF!</v>
      </c>
      <c r="E69" s="181" t="e">
        <f>#REF!</f>
        <v>#REF!</v>
      </c>
      <c r="F69" s="181" t="e">
        <f>#REF!</f>
        <v>#REF!</v>
      </c>
      <c r="G69" s="181" t="e">
        <f>#REF!</f>
        <v>#REF!</v>
      </c>
      <c r="H69" s="181" t="e">
        <f>#REF!</f>
        <v>#REF!</v>
      </c>
      <c r="I69" s="133"/>
      <c r="J69" s="133"/>
    </row>
    <row r="70" spans="2:10" hidden="1">
      <c r="B70" s="346" t="s">
        <v>178</v>
      </c>
      <c r="C70" s="269"/>
      <c r="D70" s="379" t="e">
        <f>#REF!</f>
        <v>#REF!</v>
      </c>
      <c r="E70" s="181" t="e">
        <f>#REF!</f>
        <v>#REF!</v>
      </c>
      <c r="F70" s="181" t="e">
        <f>#REF!</f>
        <v>#REF!</v>
      </c>
      <c r="G70" s="181" t="e">
        <f>#REF!</f>
        <v>#REF!</v>
      </c>
      <c r="H70" s="181" t="e">
        <f>#REF!</f>
        <v>#REF!</v>
      </c>
      <c r="I70" s="133"/>
    </row>
    <row r="71" spans="2:10" ht="14.65" hidden="1" customHeight="1">
      <c r="B71" s="346" t="s">
        <v>179</v>
      </c>
      <c r="C71" s="269"/>
      <c r="D71" s="379" t="e">
        <f>#REF!</f>
        <v>#REF!</v>
      </c>
      <c r="E71" s="181" t="e">
        <f>#REF!</f>
        <v>#REF!</v>
      </c>
      <c r="F71" s="181" t="e">
        <f>#REF!</f>
        <v>#REF!</v>
      </c>
      <c r="G71" s="181" t="e">
        <f>#REF!</f>
        <v>#REF!</v>
      </c>
      <c r="H71" s="181" t="e">
        <f>#REF!</f>
        <v>#REF!</v>
      </c>
      <c r="I71" s="133"/>
      <c r="J71" s="133"/>
    </row>
    <row r="72" spans="2:10" ht="14.65" hidden="1" customHeight="1">
      <c r="B72" s="346" t="s">
        <v>180</v>
      </c>
      <c r="C72" s="269"/>
      <c r="D72" s="379" t="e">
        <f>#REF!</f>
        <v>#REF!</v>
      </c>
      <c r="E72" s="181" t="e">
        <f>#REF!</f>
        <v>#REF!</v>
      </c>
      <c r="F72" s="181" t="e">
        <f>#REF!</f>
        <v>#REF!</v>
      </c>
      <c r="G72" s="181" t="e">
        <f>#REF!</f>
        <v>#REF!</v>
      </c>
      <c r="H72" s="181" t="e">
        <f>#REF!</f>
        <v>#REF!</v>
      </c>
      <c r="I72" s="133"/>
      <c r="J72" s="133"/>
    </row>
    <row r="73" spans="2:10" hidden="1">
      <c r="B73" s="346" t="s">
        <v>181</v>
      </c>
      <c r="C73" s="269"/>
      <c r="D73" s="379" t="e">
        <f>#REF!</f>
        <v>#REF!</v>
      </c>
      <c r="E73" s="181" t="e">
        <f>#REF!</f>
        <v>#REF!</v>
      </c>
      <c r="F73" s="181" t="e">
        <f>#REF!</f>
        <v>#REF!</v>
      </c>
      <c r="G73" s="181" t="e">
        <f>#REF!</f>
        <v>#REF!</v>
      </c>
      <c r="H73" s="181" t="e">
        <f>#REF!</f>
        <v>#REF!</v>
      </c>
      <c r="I73" s="133"/>
      <c r="J73" s="133"/>
    </row>
    <row r="74" spans="2:10" hidden="1">
      <c r="I74" s="133"/>
      <c r="J74" s="133"/>
    </row>
    <row r="75" spans="2:10">
      <c r="B75" s="261" t="s">
        <v>182</v>
      </c>
      <c r="C75" s="262"/>
      <c r="D75" s="255"/>
      <c r="E75" s="255"/>
      <c r="F75" s="255"/>
      <c r="G75" s="255"/>
      <c r="H75" s="256"/>
      <c r="I75" s="133"/>
      <c r="J75" s="133"/>
    </row>
    <row r="76" spans="2:10">
      <c r="B76" s="346" t="s">
        <v>183</v>
      </c>
      <c r="C76" s="269"/>
      <c r="D76" s="379">
        <f>+'Capacity (local prices)'!E164</f>
        <v>0</v>
      </c>
      <c r="E76" s="379">
        <f>+'Capacity (local prices)'!F164</f>
        <v>0</v>
      </c>
      <c r="F76" s="379">
        <f>+'Capacity (local prices)'!G164</f>
        <v>0</v>
      </c>
      <c r="G76" s="379">
        <f>+'Capacity (local prices)'!H164</f>
        <v>0</v>
      </c>
      <c r="H76" s="379">
        <f>+'Capacity (local prices)'!I164</f>
        <v>0</v>
      </c>
      <c r="I76" s="133"/>
      <c r="J76" s="133"/>
    </row>
    <row r="77" spans="2:10">
      <c r="I77" s="133"/>
      <c r="J77" s="133"/>
    </row>
    <row r="78" spans="2:10">
      <c r="B78" s="261" t="s">
        <v>184</v>
      </c>
      <c r="C78" s="262"/>
      <c r="D78" s="255"/>
      <c r="E78" s="255"/>
      <c r="F78" s="255"/>
      <c r="G78" s="255"/>
      <c r="H78" s="256"/>
      <c r="I78" s="133"/>
      <c r="J78" s="133"/>
    </row>
    <row r="79" spans="2:10">
      <c r="B79" s="263" t="s">
        <v>1132</v>
      </c>
      <c r="C79" s="264"/>
      <c r="D79" s="379">
        <f>'Capacity (local prices)'!E175</f>
        <v>833.23535780606153</v>
      </c>
      <c r="E79" s="379">
        <f>'Capacity (local prices)'!F175</f>
        <v>1378.1055167284162</v>
      </c>
      <c r="F79" s="379">
        <f>'Capacity (local prices)'!G175</f>
        <v>1421.3218421460083</v>
      </c>
      <c r="G79" s="379">
        <f>'Capacity (local prices)'!H175</f>
        <v>1464.9548510525742</v>
      </c>
      <c r="H79" s="379">
        <f>'Capacity (local prices)'!I175</f>
        <v>1509.0085610300898</v>
      </c>
      <c r="I79" s="133"/>
      <c r="J79" s="133"/>
    </row>
    <row r="80" spans="2:10">
      <c r="B80" s="263" t="s">
        <v>1133</v>
      </c>
      <c r="C80" s="264"/>
      <c r="D80" s="379">
        <f>+'Capacity (local prices)'!E185</f>
        <v>725.49405739124859</v>
      </c>
      <c r="E80" s="379">
        <f>+'Capacity (local prices)'!F185</f>
        <v>1201.3378196332601</v>
      </c>
      <c r="F80" s="379">
        <f>+'Capacity (local prices)'!G185</f>
        <v>1242.8497849496184</v>
      </c>
      <c r="G80" s="379">
        <f>+'Capacity (local prices)'!H185</f>
        <v>1284.7620006430056</v>
      </c>
      <c r="H80" s="379">
        <f>+'Capacity (local prices)'!I185</f>
        <v>1327.0783258504957</v>
      </c>
      <c r="I80" s="133"/>
      <c r="J80" s="133"/>
    </row>
    <row r="81" spans="2:14" hidden="1">
      <c r="B81" s="263" t="s">
        <v>939</v>
      </c>
      <c r="C81" s="264"/>
      <c r="D81" s="379" t="e">
        <f>+'Capacity (local prices)'!#REF!</f>
        <v>#REF!</v>
      </c>
      <c r="E81" s="379" t="e">
        <f>+'Capacity (local prices)'!#REF!</f>
        <v>#REF!</v>
      </c>
      <c r="F81" s="379" t="e">
        <f>+'Capacity (local prices)'!#REF!</f>
        <v>#REF!</v>
      </c>
      <c r="G81" s="379" t="e">
        <f>+'Capacity (local prices)'!#REF!</f>
        <v>#REF!</v>
      </c>
      <c r="H81" s="379" t="e">
        <f>+'Capacity (local prices)'!#REF!</f>
        <v>#REF!</v>
      </c>
      <c r="I81" s="133"/>
      <c r="J81" s="133"/>
    </row>
    <row r="82" spans="2:14" hidden="1">
      <c r="B82" s="263" t="s">
        <v>940</v>
      </c>
      <c r="C82" s="264"/>
      <c r="D82" s="379" t="e">
        <f>+'Capacity (local prices)'!#REF!</f>
        <v>#REF!</v>
      </c>
      <c r="E82" s="379" t="e">
        <f>+'Capacity (local prices)'!#REF!</f>
        <v>#REF!</v>
      </c>
      <c r="F82" s="379" t="e">
        <f>+'Capacity (local prices)'!#REF!</f>
        <v>#REF!</v>
      </c>
      <c r="G82" s="379" t="e">
        <f>+'Capacity (local prices)'!#REF!</f>
        <v>#REF!</v>
      </c>
      <c r="H82" s="379" t="e">
        <f>+'Capacity (local prices)'!#REF!</f>
        <v>#REF!</v>
      </c>
      <c r="I82" s="133"/>
      <c r="J82" s="133"/>
    </row>
    <row r="83" spans="2:14">
      <c r="I83" s="133"/>
      <c r="J83" s="133"/>
    </row>
    <row r="84" spans="2:14">
      <c r="B84" s="261" t="s">
        <v>185</v>
      </c>
      <c r="C84" s="259"/>
      <c r="D84" s="255"/>
      <c r="E84" s="255"/>
      <c r="F84" s="255"/>
      <c r="G84" s="255"/>
      <c r="H84" s="256"/>
      <c r="I84" s="133"/>
      <c r="J84" s="133"/>
    </row>
    <row r="85" spans="2:14">
      <c r="B85" s="263" t="s">
        <v>186</v>
      </c>
      <c r="C85" s="264"/>
      <c r="D85" s="379">
        <f>'Capacity (local prices)'!E205</f>
        <v>500.30203626468096</v>
      </c>
      <c r="E85" s="379">
        <f>'Capacity (local prices)'!F205</f>
        <v>824.7124184505351</v>
      </c>
      <c r="F85" s="379">
        <f>'Capacity (local prices)'!G205</f>
        <v>843.18766972150797</v>
      </c>
      <c r="G85" s="379">
        <f>'Capacity (local prices)'!H205</f>
        <v>861.84105580808296</v>
      </c>
      <c r="H85" s="379">
        <f>'Capacity (local prices)'!I205</f>
        <v>880.67429425185469</v>
      </c>
      <c r="I85" s="133"/>
      <c r="J85" s="133"/>
    </row>
    <row r="86" spans="2:14">
      <c r="B86" s="268"/>
      <c r="C86" s="268"/>
      <c r="D86" s="254"/>
      <c r="E86" s="254"/>
      <c r="F86" s="254"/>
      <c r="G86" s="254"/>
      <c r="H86" s="254"/>
      <c r="I86" s="133"/>
      <c r="J86" s="133"/>
    </row>
    <row r="88" spans="2:14">
      <c r="D88" s="914"/>
      <c r="E88" s="915"/>
      <c r="F88" s="915"/>
      <c r="G88" s="915"/>
      <c r="H88" s="915"/>
      <c r="I88" s="915"/>
      <c r="J88" s="915"/>
      <c r="K88" s="915"/>
      <c r="L88" s="915"/>
      <c r="M88" s="915"/>
      <c r="N88" s="915"/>
    </row>
    <row r="89" spans="2:14">
      <c r="D89" s="915"/>
      <c r="E89" s="915"/>
      <c r="F89" s="915"/>
      <c r="G89" s="915"/>
      <c r="H89" s="915"/>
      <c r="I89" s="915"/>
      <c r="J89" s="915"/>
      <c r="K89" s="915"/>
      <c r="L89" s="915"/>
      <c r="M89" s="915"/>
      <c r="N89" s="915"/>
    </row>
    <row r="90" spans="2:14">
      <c r="D90" s="914"/>
      <c r="E90" s="915"/>
      <c r="F90" s="915"/>
      <c r="G90" s="915"/>
      <c r="H90" s="915"/>
      <c r="I90" s="915"/>
      <c r="J90" s="915"/>
      <c r="K90" s="915"/>
      <c r="L90" s="915"/>
      <c r="M90" s="915"/>
      <c r="N90" s="915"/>
    </row>
  </sheetData>
  <sheetProtection algorithmName="SHA-512" hashValue="8KND8O6Y/tO2zLt1xXmohZCKmkfo2AF7ISKVYajYNmfyNOnplc6205iBSyLK3o65UnAHx/V4KYhNNSiICiLrnQ==" saltValue="bctahUX40xuKMJSOI+rk8Q==" spinCount="100000" sheet="1" objects="1" scenarios="1"/>
  <mergeCells count="2">
    <mergeCell ref="D88:N89"/>
    <mergeCell ref="D90:N90"/>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912E6311-74C6-41EC-8C65-686A8A45E1BA}">
          <x14:formula1>
            <xm:f>'Population selection'!$S$5:$S$6</xm:f>
          </x14:formula1>
          <xm:sqref>B30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3B1E1-1201-4B1E-9557-5B35097DB6FC}">
  <sheetPr>
    <tabColor theme="8" tint="-0.499984740745262"/>
    <pageSetUpPr fitToPage="1"/>
  </sheetPr>
  <dimension ref="B1:AH36"/>
  <sheetViews>
    <sheetView showGridLines="0" zoomScale="80" zoomScaleNormal="80" zoomScaleSheetLayoutView="80" workbookViewId="0"/>
  </sheetViews>
  <sheetFormatPr defaultColWidth="8.7265625" defaultRowHeight="14.5"/>
  <cols>
    <col min="1" max="1" width="3.54296875" customWidth="1"/>
    <col min="2" max="2" width="76.7265625" style="1" customWidth="1"/>
    <col min="3" max="3" width="11.54296875" customWidth="1"/>
    <col min="4" max="8" width="11.7265625" customWidth="1"/>
    <col min="9" max="9" width="10.453125" customWidth="1"/>
    <col min="10" max="12" width="11.453125" bestFit="1" customWidth="1"/>
    <col min="13" max="13" width="11.453125" customWidth="1"/>
    <col min="14" max="14" width="1.54296875" customWidth="1"/>
    <col min="15" max="20" width="10.7265625" customWidth="1"/>
    <col min="22" max="35" width="8.7265625" customWidth="1"/>
  </cols>
  <sheetData>
    <row r="1" spans="2:34" ht="30" customHeight="1">
      <c r="B1" s="689" t="str">
        <f>'Unit costs'!B1</f>
        <v>Treatments for treating relapsed and refractory multiple myeloma after 3 or more treatments</v>
      </c>
      <c r="C1" s="127"/>
      <c r="D1" s="127"/>
      <c r="E1" s="127"/>
      <c r="F1" s="127"/>
      <c r="G1" s="127"/>
      <c r="H1" s="127"/>
      <c r="I1" s="127"/>
      <c r="J1" s="127"/>
      <c r="K1" s="127"/>
      <c r="L1" s="127"/>
      <c r="M1" s="127"/>
      <c r="N1" s="127"/>
      <c r="O1" s="127"/>
      <c r="P1" s="127"/>
      <c r="Q1" s="127"/>
      <c r="R1" s="127"/>
      <c r="S1" s="127"/>
      <c r="T1" s="127"/>
    </row>
    <row r="2" spans="2:34" ht="38.15" customHeight="1">
      <c r="B2" s="377" t="s">
        <v>733</v>
      </c>
      <c r="C2" s="127" t="s">
        <v>108</v>
      </c>
      <c r="D2" s="127" t="s">
        <v>108</v>
      </c>
      <c r="E2" s="127" t="s">
        <v>108</v>
      </c>
      <c r="F2" s="127" t="s">
        <v>108</v>
      </c>
      <c r="G2" s="127" t="s">
        <v>108</v>
      </c>
      <c r="H2" s="127"/>
      <c r="I2" s="127" t="s">
        <v>108</v>
      </c>
      <c r="J2" s="127" t="s">
        <v>108</v>
      </c>
      <c r="K2" s="133"/>
      <c r="L2" s="127"/>
      <c r="M2" s="127"/>
      <c r="N2" s="127"/>
      <c r="O2" s="127"/>
      <c r="P2" s="127"/>
      <c r="Q2" s="127"/>
      <c r="R2" s="127"/>
      <c r="S2" s="127"/>
      <c r="T2" s="127"/>
    </row>
    <row r="3" spans="2:34">
      <c r="B3" s="130" t="s">
        <v>108</v>
      </c>
      <c r="C3" s="133" t="s">
        <v>108</v>
      </c>
      <c r="D3" s="133" t="s">
        <v>108</v>
      </c>
      <c r="E3" s="133" t="s">
        <v>108</v>
      </c>
      <c r="F3" s="133" t="s">
        <v>108</v>
      </c>
      <c r="G3" s="133" t="s">
        <v>108</v>
      </c>
      <c r="H3" s="133" t="s">
        <v>108</v>
      </c>
      <c r="I3" s="133" t="s">
        <v>108</v>
      </c>
      <c r="J3" s="133" t="s">
        <v>108</v>
      </c>
      <c r="K3" s="133"/>
      <c r="L3" s="133"/>
      <c r="M3" s="133"/>
      <c r="N3" s="133"/>
      <c r="O3" s="133"/>
      <c r="P3" s="133"/>
      <c r="Q3" s="133"/>
      <c r="R3" s="133"/>
      <c r="S3" s="133"/>
      <c r="T3" s="133"/>
    </row>
    <row r="4" spans="2:34" s="243" customFormat="1">
      <c r="B4" s="248" t="s">
        <v>734</v>
      </c>
      <c r="F4" s="133"/>
      <c r="G4" s="133"/>
      <c r="H4" s="133"/>
      <c r="I4" s="133"/>
      <c r="J4" s="133" t="s">
        <v>108</v>
      </c>
      <c r="K4" s="133"/>
      <c r="L4" s="133"/>
      <c r="M4" s="133"/>
      <c r="N4" s="133"/>
      <c r="O4" s="133"/>
      <c r="P4" s="133"/>
      <c r="Q4" s="133"/>
      <c r="R4" s="133"/>
      <c r="S4" s="133"/>
      <c r="T4" s="133"/>
    </row>
    <row r="5" spans="2:34" s="243" customFormat="1">
      <c r="B5" s="248" t="s">
        <v>735</v>
      </c>
      <c r="F5" s="133"/>
      <c r="G5" s="133"/>
      <c r="H5" s="133"/>
      <c r="I5" s="133"/>
      <c r="J5" s="133"/>
      <c r="K5" s="133"/>
      <c r="L5" s="133"/>
      <c r="M5" s="133"/>
      <c r="N5" s="133"/>
      <c r="O5" s="133"/>
      <c r="P5" s="133"/>
      <c r="Q5" s="133"/>
      <c r="R5" s="133"/>
      <c r="S5" s="133"/>
      <c r="T5" s="133"/>
    </row>
    <row r="6" spans="2:34" s="243" customFormat="1">
      <c r="B6" s="248"/>
      <c r="C6" s="133" t="s">
        <v>108</v>
      </c>
      <c r="D6" s="133" t="s">
        <v>108</v>
      </c>
      <c r="E6" s="133"/>
      <c r="F6" s="133"/>
      <c r="G6" s="133"/>
      <c r="H6" s="133"/>
      <c r="I6" s="133" t="s">
        <v>108</v>
      </c>
      <c r="J6" s="133" t="s">
        <v>108</v>
      </c>
      <c r="K6" s="133"/>
      <c r="L6" s="133"/>
      <c r="M6" s="133"/>
      <c r="N6" s="133"/>
      <c r="O6" s="133"/>
      <c r="P6" s="133"/>
      <c r="Q6" s="133"/>
      <c r="R6" s="133"/>
      <c r="S6" s="133"/>
      <c r="T6" s="133"/>
    </row>
    <row r="7" spans="2:34" s="243" customFormat="1" ht="43.5">
      <c r="B7" s="258" t="s">
        <v>978</v>
      </c>
      <c r="C7" s="270"/>
      <c r="D7" s="422" t="s">
        <v>736</v>
      </c>
      <c r="E7" s="271" t="s">
        <v>51</v>
      </c>
      <c r="F7" s="271" t="s">
        <v>52</v>
      </c>
      <c r="G7" s="272" t="s">
        <v>737</v>
      </c>
      <c r="H7" s="272" t="s">
        <v>738</v>
      </c>
      <c r="I7" s="271" t="s">
        <v>739</v>
      </c>
      <c r="K7" s="133"/>
      <c r="L7" s="133"/>
      <c r="N7" s="133"/>
      <c r="O7" s="133"/>
      <c r="P7" s="133"/>
      <c r="Q7" s="133"/>
      <c r="R7" s="133"/>
      <c r="S7" s="133"/>
      <c r="T7" s="133"/>
    </row>
    <row r="8" spans="2:34" s="148" customFormat="1">
      <c r="B8" s="226" t="s">
        <v>1072</v>
      </c>
      <c r="C8" s="182"/>
      <c r="D8" s="181">
        <f>'Inputs and eligible population'!F42</f>
        <v>784.65</v>
      </c>
      <c r="E8" s="181">
        <f>'Inputs and eligible population'!G42</f>
        <v>792.21544422657178</v>
      </c>
      <c r="F8" s="181">
        <f>'Inputs and eligible population'!H42</f>
        <v>799.85383300975525</v>
      </c>
      <c r="G8" s="181">
        <f>'Inputs and eligible population'!I42</f>
        <v>807.56586966692089</v>
      </c>
      <c r="H8" s="181">
        <f>'Inputs and eligible population'!J42</f>
        <v>815.35226429668955</v>
      </c>
      <c r="I8" s="181">
        <f>'Inputs and eligible population'!K42</f>
        <v>823.21373384431661</v>
      </c>
      <c r="K8" s="133"/>
      <c r="L8" s="133"/>
    </row>
    <row r="9" spans="2:34" s="243" customFormat="1">
      <c r="B9" s="245" t="s">
        <v>108</v>
      </c>
      <c r="C9" s="133" t="s">
        <v>108</v>
      </c>
      <c r="D9" s="133" t="s">
        <v>108</v>
      </c>
      <c r="E9" s="133" t="s">
        <v>108</v>
      </c>
      <c r="F9" s="133" t="s">
        <v>108</v>
      </c>
      <c r="G9" s="133" t="s">
        <v>108</v>
      </c>
      <c r="H9" s="133"/>
      <c r="I9" s="133"/>
      <c r="K9" s="133"/>
      <c r="L9" s="133"/>
      <c r="N9" s="133"/>
      <c r="O9" s="133"/>
      <c r="P9" s="133"/>
      <c r="Q9" s="133"/>
      <c r="R9" s="133"/>
      <c r="S9" s="133"/>
      <c r="T9" s="133"/>
      <c r="AD9" s="273"/>
      <c r="AE9" s="273"/>
      <c r="AF9" s="273"/>
      <c r="AG9" s="273"/>
      <c r="AH9" s="273"/>
    </row>
    <row r="10" spans="2:34">
      <c r="B10" s="342" t="s">
        <v>1074</v>
      </c>
      <c r="C10" s="343"/>
      <c r="D10" s="344"/>
      <c r="E10" s="344"/>
      <c r="F10" s="344"/>
      <c r="G10" s="344"/>
      <c r="H10" s="344"/>
      <c r="I10" s="345"/>
    </row>
    <row r="11" spans="2:34">
      <c r="B11" s="245"/>
      <c r="C11" s="133"/>
      <c r="D11" s="133"/>
      <c r="E11" s="133"/>
      <c r="F11" s="133"/>
      <c r="G11" s="133"/>
      <c r="H11" s="133"/>
      <c r="I11" s="133"/>
    </row>
    <row r="12" spans="2:34">
      <c r="B12" s="278" t="s">
        <v>1075</v>
      </c>
      <c r="C12" s="274"/>
      <c r="D12" s="183"/>
      <c r="E12" s="183"/>
      <c r="F12" s="183"/>
      <c r="G12" s="183"/>
      <c r="H12" s="183"/>
      <c r="I12" s="184"/>
    </row>
    <row r="13" spans="2:34">
      <c r="B13" s="350" t="s">
        <v>1112</v>
      </c>
      <c r="C13" s="743"/>
      <c r="D13" s="275">
        <f>'Inputs and eligible population'!L64</f>
        <v>0</v>
      </c>
      <c r="E13" s="275">
        <f>'Inputs and eligible population'!M64</f>
        <v>158.44308884531438</v>
      </c>
      <c r="F13" s="275">
        <f>'Inputs and eligible population'!N64</f>
        <v>259.95249572817045</v>
      </c>
      <c r="G13" s="275">
        <f>'Inputs and eligible population'!O64</f>
        <v>262.45890764174931</v>
      </c>
      <c r="H13" s="275">
        <f>'Inputs and eligible population'!P64</f>
        <v>264.98948589642413</v>
      </c>
      <c r="I13" s="275">
        <f>'Inputs and eligible population'!Q64</f>
        <v>267.54446349940292</v>
      </c>
    </row>
    <row r="14" spans="2:34">
      <c r="B14" s="350" t="str">
        <f>'Inputs and eligible population'!D65</f>
        <v>People receiving elranatamab (recommended for use in the CDF in draft guidance)</v>
      </c>
      <c r="C14" s="351"/>
      <c r="D14" s="275">
        <f>D$8*'Inputs and eligible population'!E65</f>
        <v>0</v>
      </c>
      <c r="E14" s="275">
        <f>E$8*'Inputs and eligible population'!F65</f>
        <v>158.44308884531438</v>
      </c>
      <c r="F14" s="275">
        <f>F$8*'Inputs and eligible population'!G65</f>
        <v>259.95249572817045</v>
      </c>
      <c r="G14" s="275">
        <f>G$8*'Inputs and eligible population'!H65</f>
        <v>262.45890764174931</v>
      </c>
      <c r="H14" s="275">
        <f>H$8*'Inputs and eligible population'!I65</f>
        <v>264.98948589642413</v>
      </c>
      <c r="I14" s="275">
        <f>I$8*'Inputs and eligible population'!J65</f>
        <v>267.54446349940292</v>
      </c>
    </row>
    <row r="15" spans="2:34">
      <c r="B15" s="350" t="str">
        <f>'Inputs and eligible population'!C66</f>
        <v xml:space="preserve">People receiving panobinostat with bortezomib and dexamethasone </v>
      </c>
      <c r="C15" s="631"/>
      <c r="D15" s="275">
        <f>D$8*'Inputs and eligible population'!E66</f>
        <v>78.465000000000003</v>
      </c>
      <c r="E15" s="275">
        <f>E$8*'Inputs and eligible population'!F66</f>
        <v>79.221544422657189</v>
      </c>
      <c r="F15" s="275">
        <f>F$8*'Inputs and eligible population'!G66</f>
        <v>79.985383300975528</v>
      </c>
      <c r="G15" s="275">
        <f>G$8*'Inputs and eligible population'!H66</f>
        <v>80.756586966692097</v>
      </c>
      <c r="H15" s="275">
        <f>H$8*'Inputs and eligible population'!I66</f>
        <v>81.535226429668967</v>
      </c>
      <c r="I15" s="275">
        <f>I$8*'Inputs and eligible population'!J66</f>
        <v>82.321373384431666</v>
      </c>
    </row>
    <row r="16" spans="2:34">
      <c r="B16" s="350" t="str">
        <f>'Inputs and eligible population'!D67</f>
        <v>People receiving pomalidomide plus dexamethasone</v>
      </c>
      <c r="C16" s="351"/>
      <c r="D16" s="275">
        <f>D$8*'Inputs and eligible population'!E67</f>
        <v>706.18499999999995</v>
      </c>
      <c r="E16" s="275">
        <f>E$8*'Inputs and eligible population'!F67</f>
        <v>396.10772211328589</v>
      </c>
      <c r="F16" s="275">
        <f>F$8*'Inputs and eligible population'!G67</f>
        <v>199.96345825243881</v>
      </c>
      <c r="G16" s="275">
        <f>G$8*'Inputs and eligible population'!H67</f>
        <v>201.89146741673022</v>
      </c>
      <c r="H16" s="275">
        <f>H$8*'Inputs and eligible population'!I67</f>
        <v>203.83806607417239</v>
      </c>
      <c r="I16" s="275">
        <f>I$8*'Inputs and eligible population'!J67</f>
        <v>205.80343346107915</v>
      </c>
    </row>
    <row r="17" spans="2:9">
      <c r="B17" s="350" t="s">
        <v>1095</v>
      </c>
      <c r="C17" s="631"/>
      <c r="D17" s="275">
        <f>'Inputs and eligible population'!L68</f>
        <v>0</v>
      </c>
      <c r="E17" s="275">
        <f>'Inputs and eligible population'!M68</f>
        <v>0</v>
      </c>
      <c r="F17" s="275">
        <f>'Inputs and eligible population'!N68</f>
        <v>0</v>
      </c>
      <c r="G17" s="275">
        <f>'Inputs and eligible population'!O68</f>
        <v>0</v>
      </c>
      <c r="H17" s="275">
        <f>'Inputs and eligible population'!P68</f>
        <v>0</v>
      </c>
      <c r="I17" s="275">
        <f>'Inputs and eligible population'!Q68</f>
        <v>0</v>
      </c>
    </row>
    <row r="18" spans="2:9">
      <c r="B18" s="745" t="s">
        <v>1116</v>
      </c>
      <c r="C18" s="631"/>
      <c r="D18" s="744"/>
      <c r="E18" s="744"/>
      <c r="F18" s="744"/>
      <c r="G18" s="744"/>
      <c r="H18" s="744"/>
      <c r="I18" s="744"/>
    </row>
    <row r="19" spans="2:9">
      <c r="B19" s="350" t="s">
        <v>1117</v>
      </c>
      <c r="C19" s="631"/>
      <c r="D19" s="275">
        <f>(D13*'Unit costs'!$C125)+('Financial impact (cash)'!D14*'Unit costs'!$D125)</f>
        <v>0</v>
      </c>
      <c r="E19" s="275">
        <f>(E13*'Unit costs'!$C125)+('Financial impact (cash)'!E14*'Unit costs'!$D125)</f>
        <v>205.50068623237274</v>
      </c>
      <c r="F19" s="275">
        <f>(F13*'Unit costs'!$C125)+('Financial impact (cash)'!F14*'Unit costs'!$D125)</f>
        <v>337.15838695943705</v>
      </c>
      <c r="G19" s="275">
        <f>(G13*'Unit costs'!$C125)+('Financial impact (cash)'!G14*'Unit costs'!$D125)</f>
        <v>340.40920321134888</v>
      </c>
      <c r="H19" s="275">
        <f>(H13*'Unit costs'!$C125)+('Financial impact (cash)'!H14*'Unit costs'!$D125)</f>
        <v>343.69136320766211</v>
      </c>
      <c r="I19" s="275">
        <f>(I13*'Unit costs'!$C125)+('Financial impact (cash)'!I14*'Unit costs'!$D125)</f>
        <v>347.00516915872561</v>
      </c>
    </row>
    <row r="20" spans="2:9">
      <c r="B20" s="350" t="s">
        <v>1118</v>
      </c>
      <c r="C20" s="631"/>
      <c r="D20" s="275">
        <f>(D13*'Unit costs'!$C126)+('Financial impact (cash)'!D14*'Unit costs'!$D126)</f>
        <v>0</v>
      </c>
      <c r="E20" s="275">
        <f>(E13*'Unit costs'!$C126)+('Financial impact (cash)'!E14*'Unit costs'!$D126)</f>
        <v>130.08177594200311</v>
      </c>
      <c r="F20" s="275">
        <f>(F13*'Unit costs'!$C126)+('Financial impact (cash)'!F14*'Unit costs'!$D126)</f>
        <v>213.42099899282795</v>
      </c>
      <c r="G20" s="275">
        <f>(G13*'Unit costs'!$C126)+('Financial impact (cash)'!G14*'Unit costs'!$D126)</f>
        <v>215.47876317387619</v>
      </c>
      <c r="H20" s="275">
        <f>(H13*'Unit costs'!$C126)+('Financial impact (cash)'!H14*'Unit costs'!$D126)</f>
        <v>217.55636792096419</v>
      </c>
      <c r="I20" s="275">
        <f>(I13*'Unit costs'!$C126)+('Financial impact (cash)'!I14*'Unit costs'!$D126)</f>
        <v>219.65400453300981</v>
      </c>
    </row>
    <row r="21" spans="2:9">
      <c r="B21" s="278" t="s">
        <v>1076</v>
      </c>
      <c r="C21" s="185"/>
      <c r="D21" s="186">
        <f t="shared" ref="D21:I21" si="0">SUM(D13:D17)</f>
        <v>784.65</v>
      </c>
      <c r="E21" s="186">
        <f t="shared" si="0"/>
        <v>792.21544422657189</v>
      </c>
      <c r="F21" s="186">
        <f t="shared" si="0"/>
        <v>799.85383300975525</v>
      </c>
      <c r="G21" s="186">
        <f t="shared" si="0"/>
        <v>807.56586966692089</v>
      </c>
      <c r="H21" s="186">
        <f t="shared" si="0"/>
        <v>815.35226429668967</v>
      </c>
      <c r="I21" s="186">
        <f t="shared" si="0"/>
        <v>823.21373384431672</v>
      </c>
    </row>
    <row r="22" spans="2:9">
      <c r="B22" s="280"/>
      <c r="C22" s="133"/>
      <c r="D22" s="133"/>
      <c r="E22" s="133"/>
      <c r="F22" s="133"/>
      <c r="G22" s="133"/>
      <c r="H22" s="133"/>
      <c r="I22" s="133"/>
    </row>
    <row r="23" spans="2:9">
      <c r="B23" s="281" t="s">
        <v>1119</v>
      </c>
      <c r="C23" s="730" t="s">
        <v>740</v>
      </c>
      <c r="D23" s="729" t="s">
        <v>160</v>
      </c>
      <c r="E23" s="729" t="s">
        <v>160</v>
      </c>
      <c r="F23" s="729" t="s">
        <v>160</v>
      </c>
      <c r="G23" s="729" t="s">
        <v>160</v>
      </c>
      <c r="H23" s="729" t="s">
        <v>160</v>
      </c>
      <c r="I23" s="729" t="s">
        <v>160</v>
      </c>
    </row>
    <row r="24" spans="2:9">
      <c r="B24" s="350" t="s">
        <v>1112</v>
      </c>
      <c r="C24" s="276">
        <f>SUM('Unit costs'!O9:O11)</f>
        <v>0</v>
      </c>
      <c r="D24" s="276">
        <f t="shared" ref="D24:I28" si="1">D13*$C24/1000</f>
        <v>0</v>
      </c>
      <c r="E24" s="276">
        <f t="shared" si="1"/>
        <v>0</v>
      </c>
      <c r="F24" s="276">
        <f t="shared" si="1"/>
        <v>0</v>
      </c>
      <c r="G24" s="276">
        <f t="shared" si="1"/>
        <v>0</v>
      </c>
      <c r="H24" s="276">
        <f t="shared" si="1"/>
        <v>0</v>
      </c>
      <c r="I24" s="276">
        <f t="shared" si="1"/>
        <v>0</v>
      </c>
    </row>
    <row r="25" spans="2:9">
      <c r="B25" s="349" t="s">
        <v>1068</v>
      </c>
      <c r="C25" s="276">
        <f>'Unit costs'!O20</f>
        <v>0</v>
      </c>
      <c r="D25" s="276">
        <f t="shared" si="1"/>
        <v>0</v>
      </c>
      <c r="E25" s="276">
        <f t="shared" si="1"/>
        <v>0</v>
      </c>
      <c r="F25" s="276">
        <f t="shared" si="1"/>
        <v>0</v>
      </c>
      <c r="G25" s="276">
        <f t="shared" si="1"/>
        <v>0</v>
      </c>
      <c r="H25" s="276">
        <f t="shared" si="1"/>
        <v>0</v>
      </c>
      <c r="I25" s="276">
        <f t="shared" si="1"/>
        <v>0</v>
      </c>
    </row>
    <row r="26" spans="2:9">
      <c r="B26" s="349" t="s">
        <v>997</v>
      </c>
      <c r="C26" s="276">
        <f>'Unit costs'!O27</f>
        <v>241.31519999999995</v>
      </c>
      <c r="D26" s="276">
        <f t="shared" si="1"/>
        <v>18.934797167999996</v>
      </c>
      <c r="E26" s="276">
        <f t="shared" si="1"/>
        <v>19.117362836662402</v>
      </c>
      <c r="F26" s="276">
        <f t="shared" si="1"/>
        <v>19.301688768351568</v>
      </c>
      <c r="G26" s="276">
        <f t="shared" si="1"/>
        <v>19.487791935184696</v>
      </c>
      <c r="H26" s="276">
        <f t="shared" si="1"/>
        <v>19.675689472920848</v>
      </c>
      <c r="I26" s="276">
        <f t="shared" si="1"/>
        <v>19.865398682538803</v>
      </c>
    </row>
    <row r="27" spans="2:9">
      <c r="B27" s="349" t="s">
        <v>998</v>
      </c>
      <c r="C27" s="276">
        <f>'Unit costs'!O31</f>
        <v>137.89439999999999</v>
      </c>
      <c r="D27" s="276">
        <f t="shared" si="1"/>
        <v>97.378956863999989</v>
      </c>
      <c r="E27" s="276">
        <f t="shared" si="1"/>
        <v>54.621036676178285</v>
      </c>
      <c r="F27" s="276">
        <f t="shared" si="1"/>
        <v>27.573841097645097</v>
      </c>
      <c r="G27" s="276">
        <f t="shared" si="1"/>
        <v>27.83970276454956</v>
      </c>
      <c r="H27" s="276">
        <f t="shared" si="1"/>
        <v>28.108127818458353</v>
      </c>
      <c r="I27" s="276">
        <f t="shared" si="1"/>
        <v>28.379140975055432</v>
      </c>
    </row>
    <row r="28" spans="2:9">
      <c r="B28" s="350" t="s">
        <v>1095</v>
      </c>
      <c r="C28" s="276">
        <f>'Unit costs'!O37</f>
        <v>0</v>
      </c>
      <c r="D28" s="276">
        <f t="shared" si="1"/>
        <v>0</v>
      </c>
      <c r="E28" s="276">
        <f t="shared" si="1"/>
        <v>0</v>
      </c>
      <c r="F28" s="276">
        <f t="shared" si="1"/>
        <v>0</v>
      </c>
      <c r="G28" s="276">
        <f t="shared" si="1"/>
        <v>0</v>
      </c>
      <c r="H28" s="276">
        <f t="shared" si="1"/>
        <v>0</v>
      </c>
      <c r="I28" s="276">
        <f t="shared" si="1"/>
        <v>0</v>
      </c>
    </row>
    <row r="29" spans="2:9">
      <c r="B29" s="745" t="s">
        <v>1116</v>
      </c>
      <c r="C29" s="276"/>
      <c r="D29" s="746"/>
      <c r="E29" s="746"/>
      <c r="F29" s="746"/>
      <c r="G29" s="746"/>
      <c r="H29" s="747"/>
      <c r="I29" s="746"/>
    </row>
    <row r="30" spans="2:9">
      <c r="B30" s="350" t="s">
        <v>1117</v>
      </c>
      <c r="C30" s="276">
        <f>'Unit costs'!L112</f>
        <v>0</v>
      </c>
      <c r="D30" s="276">
        <f t="shared" ref="D30:I31" si="2">D19*$C30/1000</f>
        <v>0</v>
      </c>
      <c r="E30" s="276">
        <f t="shared" si="2"/>
        <v>0</v>
      </c>
      <c r="F30" s="276">
        <f t="shared" si="2"/>
        <v>0</v>
      </c>
      <c r="G30" s="276">
        <f t="shared" si="2"/>
        <v>0</v>
      </c>
      <c r="H30" s="276">
        <f t="shared" si="2"/>
        <v>0</v>
      </c>
      <c r="I30" s="276">
        <f t="shared" si="2"/>
        <v>0</v>
      </c>
    </row>
    <row r="31" spans="2:9">
      <c r="B31" s="350" t="s">
        <v>1118</v>
      </c>
      <c r="C31" s="276">
        <f>'Unit costs'!L118</f>
        <v>0</v>
      </c>
      <c r="D31" s="276">
        <f t="shared" si="2"/>
        <v>0</v>
      </c>
      <c r="E31" s="276">
        <f t="shared" si="2"/>
        <v>0</v>
      </c>
      <c r="F31" s="276">
        <f t="shared" si="2"/>
        <v>0</v>
      </c>
      <c r="G31" s="276">
        <f t="shared" si="2"/>
        <v>0</v>
      </c>
      <c r="H31" s="276">
        <f t="shared" si="2"/>
        <v>0</v>
      </c>
      <c r="I31" s="276">
        <f t="shared" si="2"/>
        <v>0</v>
      </c>
    </row>
    <row r="32" spans="2:9">
      <c r="B32" s="282" t="s">
        <v>1077</v>
      </c>
      <c r="C32" s="187"/>
      <c r="D32" s="188">
        <f t="shared" ref="D32:I32" si="3">SUM(D24:D28)</f>
        <v>116.31375403199999</v>
      </c>
      <c r="E32" s="188">
        <f t="shared" si="3"/>
        <v>73.738399512840687</v>
      </c>
      <c r="F32" s="188">
        <f t="shared" si="3"/>
        <v>46.875529865996668</v>
      </c>
      <c r="G32" s="188">
        <f t="shared" si="3"/>
        <v>47.32749469973426</v>
      </c>
      <c r="H32" s="188">
        <f t="shared" si="3"/>
        <v>47.783817291379201</v>
      </c>
      <c r="I32" s="188">
        <f t="shared" si="3"/>
        <v>48.244539657594231</v>
      </c>
    </row>
    <row r="33" spans="2:9">
      <c r="B33" s="282" t="s">
        <v>1145</v>
      </c>
      <c r="C33" s="187"/>
      <c r="D33" s="188">
        <f>SUM(D30:D31)</f>
        <v>0</v>
      </c>
      <c r="E33" s="188">
        <f t="shared" ref="E33:I33" si="4">SUM(E30:E31)</f>
        <v>0</v>
      </c>
      <c r="F33" s="188">
        <f t="shared" si="4"/>
        <v>0</v>
      </c>
      <c r="G33" s="188">
        <f t="shared" si="4"/>
        <v>0</v>
      </c>
      <c r="H33" s="188">
        <f t="shared" si="4"/>
        <v>0</v>
      </c>
      <c r="I33" s="188">
        <f t="shared" si="4"/>
        <v>0</v>
      </c>
    </row>
    <row r="34" spans="2:9">
      <c r="B34" s="280"/>
      <c r="C34" s="133"/>
      <c r="D34" s="133"/>
      <c r="E34" s="133"/>
      <c r="F34" s="133"/>
      <c r="G34" s="133"/>
      <c r="H34" s="133"/>
      <c r="I34" s="133"/>
    </row>
    <row r="35" spans="2:9">
      <c r="B35" s="378"/>
      <c r="C35" s="277"/>
      <c r="D35" s="357" t="s">
        <v>1147</v>
      </c>
      <c r="E35" s="188">
        <f>E32-$D$32</f>
        <v>-42.575354519159305</v>
      </c>
      <c r="F35" s="188">
        <f>F32-$D$32</f>
        <v>-69.438224166003323</v>
      </c>
      <c r="G35" s="188">
        <f t="shared" ref="G35:H35" si="5">G32-$D$32</f>
        <v>-68.986259332265732</v>
      </c>
      <c r="H35" s="188">
        <f t="shared" si="5"/>
        <v>-68.529936740620798</v>
      </c>
      <c r="I35" s="188">
        <f>I32-$D$32</f>
        <v>-68.06921437440576</v>
      </c>
    </row>
    <row r="36" spans="2:9">
      <c r="B36" s="378"/>
      <c r="C36" s="277"/>
      <c r="D36" s="283" t="s">
        <v>1148</v>
      </c>
      <c r="E36" s="188">
        <f>E33-$D$33</f>
        <v>0</v>
      </c>
      <c r="F36" s="188">
        <f>F33-$D$33</f>
        <v>0</v>
      </c>
      <c r="G36" s="188">
        <f>G33-$D$33</f>
        <v>0</v>
      </c>
      <c r="H36" s="188">
        <f t="shared" ref="H36:I36" si="6">H33-$D$33</f>
        <v>0</v>
      </c>
      <c r="I36" s="188">
        <f t="shared" si="6"/>
        <v>0</v>
      </c>
    </row>
  </sheetData>
  <sheetProtection algorithmName="SHA-512" hashValue="bVbxoLLy9fRl218v9qRky27dYo3bCBQrGP6/4Ex1U4yh2L4N6fAYqjJ30PnSgLBo4Erf2tekXorDJZe9TwdjdA==" saltValue="8Vrwz+9msU6ZE1lbAZiBDA==" spinCount="100000" sheet="1" objects="1" scenarios="1"/>
  <pageMargins left="0.70866141732283472" right="0.70866141732283472" top="0.74803149606299213" bottom="0.74803149606299213" header="0.31496062992125984" footer="0.31496062992125984"/>
  <pageSetup paperSize="9" scale="52"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1C292-D367-4731-939D-4B4A01193C9A}">
  <sheetPr>
    <tabColor theme="8" tint="-0.499984740745262"/>
    <pageSetUpPr fitToPage="1"/>
  </sheetPr>
  <dimension ref="A1:AN211"/>
  <sheetViews>
    <sheetView showGridLines="0" zoomScale="80" zoomScaleNormal="80" zoomScaleSheetLayoutView="30" workbookViewId="0"/>
  </sheetViews>
  <sheetFormatPr defaultColWidth="8.7265625" defaultRowHeight="14.5"/>
  <cols>
    <col min="1" max="1" width="3.54296875" customWidth="1"/>
    <col min="2" max="2" width="78.1796875" style="1" customWidth="1"/>
    <col min="3" max="9" width="12.54296875" customWidth="1"/>
    <col min="10" max="10" width="1.7265625" customWidth="1"/>
    <col min="11" max="11" width="10.453125" customWidth="1"/>
    <col min="12" max="18" width="11.7265625" customWidth="1"/>
    <col min="19" max="19" width="11.453125" customWidth="1"/>
    <col min="20" max="20" width="11.7265625" customWidth="1"/>
    <col min="21" max="26" width="10.7265625" customWidth="1"/>
    <col min="28" max="41" width="0" hidden="1" customWidth="1"/>
  </cols>
  <sheetData>
    <row r="1" spans="1:40" ht="30" customHeight="1">
      <c r="B1" s="689" t="str">
        <f>'Unit costs'!B1</f>
        <v>Treatments for treating relapsed and refractory multiple myeloma after 3 or more treatments</v>
      </c>
      <c r="C1" s="127"/>
      <c r="D1" s="127"/>
      <c r="F1" s="127"/>
      <c r="G1" s="127"/>
      <c r="H1" s="127"/>
      <c r="I1" s="127"/>
      <c r="J1" s="127"/>
      <c r="K1" s="127"/>
      <c r="L1" s="127"/>
      <c r="M1" s="127"/>
      <c r="N1" s="127"/>
      <c r="O1" s="127"/>
      <c r="P1" s="127"/>
      <c r="R1" s="127"/>
      <c r="S1" s="127"/>
      <c r="T1" s="127"/>
      <c r="U1" s="127"/>
      <c r="V1" s="127"/>
      <c r="W1" s="127"/>
      <c r="X1" s="127"/>
      <c r="Y1" s="127"/>
      <c r="Z1" s="127"/>
    </row>
    <row r="2" spans="1:40" ht="42.65" customHeight="1">
      <c r="B2" s="214" t="s">
        <v>741</v>
      </c>
      <c r="C2" s="127" t="s">
        <v>108</v>
      </c>
      <c r="D2" s="127" t="s">
        <v>108</v>
      </c>
      <c r="E2" s="498"/>
      <c r="F2" s="127" t="s">
        <v>108</v>
      </c>
      <c r="G2" s="127" t="s">
        <v>108</v>
      </c>
      <c r="H2" s="127" t="s">
        <v>108</v>
      </c>
      <c r="I2" s="127" t="s">
        <v>108</v>
      </c>
      <c r="J2" s="127"/>
      <c r="K2" s="127"/>
      <c r="L2" s="127"/>
      <c r="M2" s="127"/>
      <c r="N2" s="127"/>
      <c r="O2" s="127"/>
      <c r="P2" s="127"/>
      <c r="Q2" s="127"/>
      <c r="R2" s="127"/>
      <c r="S2" s="127"/>
      <c r="T2" s="127"/>
      <c r="U2" s="127"/>
      <c r="V2" s="127"/>
      <c r="W2" s="127"/>
      <c r="X2" s="127"/>
      <c r="Y2" s="127"/>
      <c r="Z2" s="127"/>
    </row>
    <row r="3" spans="1:40" ht="14.65" customHeight="1">
      <c r="B3" s="130" t="s">
        <v>108</v>
      </c>
      <c r="C3" s="133" t="s">
        <v>108</v>
      </c>
      <c r="D3" s="133" t="s">
        <v>108</v>
      </c>
      <c r="F3" s="133" t="s">
        <v>108</v>
      </c>
      <c r="G3" s="133" t="s">
        <v>108</v>
      </c>
      <c r="H3" s="133" t="s">
        <v>108</v>
      </c>
      <c r="I3" s="133" t="s">
        <v>108</v>
      </c>
      <c r="J3" s="127"/>
      <c r="K3" s="127"/>
      <c r="L3" s="127"/>
      <c r="M3" s="127"/>
      <c r="N3" s="127"/>
      <c r="O3" s="127"/>
      <c r="P3" s="127"/>
      <c r="Q3" s="133"/>
      <c r="R3" s="133"/>
      <c r="S3" s="133"/>
      <c r="T3" s="133"/>
      <c r="U3" s="133"/>
      <c r="V3" s="133"/>
      <c r="W3" s="133"/>
      <c r="X3" s="133"/>
      <c r="Y3" s="133"/>
      <c r="Z3" s="133"/>
    </row>
    <row r="4" spans="1:40" ht="14.65" customHeight="1">
      <c r="B4" t="s">
        <v>742</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65" customHeight="1">
      <c r="B5" s="5"/>
      <c r="F5" s="133"/>
      <c r="G5" s="133"/>
      <c r="H5" s="133"/>
      <c r="I5" s="133"/>
      <c r="J5" s="133"/>
      <c r="K5" s="133"/>
      <c r="L5" s="133"/>
      <c r="M5" s="133"/>
      <c r="N5" s="133"/>
      <c r="O5" s="133"/>
      <c r="P5" s="133"/>
      <c r="Q5" s="133"/>
      <c r="R5" s="133"/>
      <c r="S5" s="133"/>
      <c r="T5" s="133"/>
      <c r="U5" s="133"/>
      <c r="V5" s="133"/>
      <c r="W5" s="133"/>
      <c r="X5" s="133"/>
      <c r="Y5" s="133"/>
      <c r="Z5" s="133"/>
    </row>
    <row r="6" spans="1:40" ht="43.5">
      <c r="B6" s="258" t="s">
        <v>37</v>
      </c>
      <c r="C6" s="209"/>
      <c r="D6" s="422" t="s">
        <v>736</v>
      </c>
      <c r="E6" s="256" t="s">
        <v>51</v>
      </c>
      <c r="F6" s="256" t="s">
        <v>52</v>
      </c>
      <c r="G6" s="164" t="s">
        <v>737</v>
      </c>
      <c r="H6" s="164" t="s">
        <v>738</v>
      </c>
      <c r="I6" s="256" t="s">
        <v>739</v>
      </c>
      <c r="L6" s="422" t="s">
        <v>736</v>
      </c>
      <c r="M6" s="256" t="s">
        <v>51</v>
      </c>
      <c r="N6" s="256" t="s">
        <v>52</v>
      </c>
      <c r="O6" s="164" t="s">
        <v>737</v>
      </c>
      <c r="P6" s="164" t="s">
        <v>738</v>
      </c>
      <c r="Q6" s="256" t="s">
        <v>739</v>
      </c>
      <c r="R6" s="133"/>
      <c r="S6" s="133"/>
      <c r="T6" s="133"/>
      <c r="U6" s="133"/>
      <c r="V6" s="133"/>
      <c r="W6" s="133"/>
      <c r="X6" s="133"/>
      <c r="Y6" s="133"/>
      <c r="Z6" s="133"/>
      <c r="AJ6" s="285"/>
      <c r="AK6" s="285"/>
      <c r="AL6" s="285"/>
      <c r="AM6" s="285"/>
      <c r="AN6" s="285"/>
    </row>
    <row r="7" spans="1:40">
      <c r="B7" s="226" t="s">
        <v>1073</v>
      </c>
      <c r="C7" s="167"/>
      <c r="D7" s="379">
        <f>'Inputs and eligible population'!F42</f>
        <v>784.65</v>
      </c>
      <c r="E7" s="379">
        <f>'Inputs and eligible population'!G42</f>
        <v>792.21544422657178</v>
      </c>
      <c r="F7" s="379">
        <f>'Inputs and eligible population'!H42</f>
        <v>799.85383300975525</v>
      </c>
      <c r="G7" s="379">
        <f>'Inputs and eligible population'!I42</f>
        <v>807.56586966692089</v>
      </c>
      <c r="H7" s="379">
        <f>'Inputs and eligible population'!J42</f>
        <v>815.35226429668955</v>
      </c>
      <c r="I7" s="379">
        <f>'Inputs and eligible population'!K42</f>
        <v>823.21373384431661</v>
      </c>
      <c r="P7" s="133"/>
      <c r="Q7" s="133"/>
      <c r="R7" s="133"/>
      <c r="S7" s="133"/>
      <c r="T7" s="133"/>
      <c r="U7" s="133"/>
      <c r="V7" s="133"/>
      <c r="W7" s="133"/>
      <c r="X7" s="133"/>
      <c r="Y7" s="133"/>
      <c r="Z7" s="133"/>
      <c r="AJ7" s="285"/>
      <c r="AK7" s="285"/>
      <c r="AL7" s="285"/>
      <c r="AM7" s="285"/>
      <c r="AN7" s="285"/>
    </row>
    <row r="8" spans="1:40">
      <c r="B8"/>
      <c r="L8" s="148"/>
      <c r="M8" s="148"/>
      <c r="N8" s="148"/>
      <c r="O8" s="148"/>
      <c r="P8" s="731"/>
      <c r="Q8" s="731"/>
      <c r="R8" s="133"/>
      <c r="S8" s="133"/>
      <c r="T8" s="133"/>
      <c r="U8" s="133"/>
      <c r="V8" s="133"/>
      <c r="W8" s="133"/>
      <c r="X8" s="133"/>
      <c r="Y8" s="133"/>
      <c r="Z8" s="133"/>
      <c r="AJ8" s="285"/>
      <c r="AK8" s="285"/>
      <c r="AL8" s="285"/>
      <c r="AM8" s="285"/>
      <c r="AN8" s="285"/>
    </row>
    <row r="9" spans="1:40">
      <c r="B9" s="278" t="s">
        <v>743</v>
      </c>
      <c r="C9" s="439"/>
      <c r="D9" s="439"/>
      <c r="E9" s="440"/>
      <c r="F9" s="439"/>
      <c r="G9" s="441"/>
      <c r="H9" s="442"/>
      <c r="I9" s="442"/>
      <c r="J9" s="159"/>
      <c r="L9" s="729" t="s">
        <v>160</v>
      </c>
      <c r="M9" s="729" t="s">
        <v>160</v>
      </c>
      <c r="N9" s="729" t="s">
        <v>160</v>
      </c>
      <c r="O9" s="729" t="s">
        <v>160</v>
      </c>
      <c r="P9" s="729" t="s">
        <v>160</v>
      </c>
      <c r="Q9" s="729" t="s">
        <v>160</v>
      </c>
      <c r="R9" s="133"/>
      <c r="S9" s="133"/>
      <c r="T9" s="133"/>
      <c r="U9" s="133"/>
      <c r="V9" s="133"/>
      <c r="W9" s="133"/>
      <c r="X9" s="133"/>
      <c r="Y9" s="133"/>
      <c r="Z9" s="133"/>
      <c r="AJ9" s="285"/>
      <c r="AK9" s="285"/>
      <c r="AL9" s="285"/>
      <c r="AM9" s="285"/>
      <c r="AN9" s="285"/>
    </row>
    <row r="10" spans="1:40">
      <c r="A10" s="295"/>
      <c r="B10" s="665" t="str">
        <f>B38</f>
        <v>Follow up attendances</v>
      </c>
      <c r="C10" s="384"/>
      <c r="D10" s="424">
        <f t="shared" ref="D10:I10" si="0">D45</f>
        <v>9384.4139999999989</v>
      </c>
      <c r="E10" s="424">
        <f t="shared" si="0"/>
        <v>9474.8967129498014</v>
      </c>
      <c r="F10" s="424">
        <f t="shared" si="0"/>
        <v>9566.2518427966734</v>
      </c>
      <c r="G10" s="424">
        <f t="shared" si="0"/>
        <v>9658.4878012163754</v>
      </c>
      <c r="H10" s="424">
        <f t="shared" si="0"/>
        <v>9751.6130809884089</v>
      </c>
      <c r="I10" s="424">
        <f t="shared" si="0"/>
        <v>9845.636256778027</v>
      </c>
      <c r="L10" s="292">
        <f>L45</f>
        <v>378.75494903999999</v>
      </c>
      <c r="M10" s="292">
        <f t="shared" ref="M10:Q10" si="1">M45</f>
        <v>382.40683133465393</v>
      </c>
      <c r="N10" s="292">
        <f t="shared" si="1"/>
        <v>386.09392437527367</v>
      </c>
      <c r="O10" s="292">
        <f t="shared" si="1"/>
        <v>389.81656765709289</v>
      </c>
      <c r="P10" s="292">
        <f t="shared" si="1"/>
        <v>393.57510394869212</v>
      </c>
      <c r="Q10" s="292">
        <f t="shared" si="1"/>
        <v>397.36987932356118</v>
      </c>
      <c r="R10" s="133"/>
      <c r="S10" s="133"/>
      <c r="T10" s="133"/>
      <c r="U10" s="133"/>
      <c r="V10" s="133"/>
      <c r="W10" s="133"/>
      <c r="X10" s="133"/>
      <c r="Y10" s="133"/>
      <c r="Z10" s="133"/>
      <c r="AJ10" s="285"/>
      <c r="AK10" s="285"/>
      <c r="AL10" s="285"/>
      <c r="AM10" s="285"/>
      <c r="AN10" s="285"/>
    </row>
    <row r="11" spans="1:40">
      <c r="A11" s="295"/>
      <c r="B11" s="665" t="s">
        <v>1021</v>
      </c>
      <c r="C11" s="384"/>
      <c r="D11" s="424">
        <f>D55</f>
        <v>0</v>
      </c>
      <c r="E11" s="424">
        <f t="shared" ref="E11:I11" si="2">E55</f>
        <v>1584.4308884531438</v>
      </c>
      <c r="F11" s="424">
        <f t="shared" si="2"/>
        <v>2599.5249572817047</v>
      </c>
      <c r="G11" s="424">
        <f t="shared" si="2"/>
        <v>2624.5890764174928</v>
      </c>
      <c r="H11" s="424">
        <f t="shared" si="2"/>
        <v>2649.8948589642414</v>
      </c>
      <c r="I11" s="424">
        <f t="shared" si="2"/>
        <v>2675.444634994029</v>
      </c>
      <c r="L11" s="292">
        <f>L55</f>
        <v>0</v>
      </c>
      <c r="M11" s="292">
        <f t="shared" ref="M11:Q11" si="3">M55</f>
        <v>0</v>
      </c>
      <c r="N11" s="292">
        <f t="shared" si="3"/>
        <v>0</v>
      </c>
      <c r="O11" s="292">
        <f t="shared" si="3"/>
        <v>0</v>
      </c>
      <c r="P11" s="292">
        <f t="shared" si="3"/>
        <v>0</v>
      </c>
      <c r="Q11" s="292">
        <f t="shared" si="3"/>
        <v>0</v>
      </c>
      <c r="R11" s="133"/>
      <c r="S11" s="133"/>
      <c r="T11" s="133"/>
      <c r="U11" s="133"/>
      <c r="V11" s="133"/>
      <c r="W11" s="133"/>
      <c r="X11" s="133"/>
      <c r="Y11" s="133"/>
      <c r="Z11" s="133"/>
      <c r="AJ11" s="285"/>
      <c r="AK11" s="285"/>
      <c r="AL11" s="285"/>
      <c r="AM11" s="285"/>
      <c r="AN11" s="285"/>
    </row>
    <row r="12" spans="1:40">
      <c r="A12" s="295"/>
      <c r="B12" s="443" t="str">
        <f>B58</f>
        <v>Administrations</v>
      </c>
      <c r="C12" s="418"/>
      <c r="D12" s="417">
        <f t="shared" ref="D12:I12" si="4">D64</f>
        <v>5021.76</v>
      </c>
      <c r="E12" s="417">
        <f t="shared" si="4"/>
        <v>12992.333285315777</v>
      </c>
      <c r="F12" s="417">
        <f t="shared" si="4"/>
        <v>18116.689317670956</v>
      </c>
      <c r="G12" s="417">
        <f t="shared" si="4"/>
        <v>18291.366947955761</v>
      </c>
      <c r="H12" s="417">
        <f t="shared" si="4"/>
        <v>18467.728786320018</v>
      </c>
      <c r="I12" s="417">
        <f t="shared" si="4"/>
        <v>18645.791071573774</v>
      </c>
      <c r="L12" s="207"/>
      <c r="M12" s="207"/>
      <c r="N12" s="207"/>
      <c r="O12" s="207"/>
      <c r="P12" s="416"/>
      <c r="Q12" s="416"/>
      <c r="R12" s="133"/>
      <c r="S12" s="133"/>
      <c r="T12" s="133"/>
      <c r="U12" s="133"/>
      <c r="V12" s="133"/>
      <c r="W12" s="133"/>
      <c r="X12" s="133"/>
      <c r="Y12" s="133"/>
      <c r="Z12" s="133"/>
      <c r="AJ12" s="285"/>
      <c r="AK12" s="285"/>
      <c r="AL12" s="285"/>
      <c r="AM12" s="285"/>
      <c r="AN12" s="285"/>
    </row>
    <row r="13" spans="1:40">
      <c r="A13" s="286"/>
      <c r="B13" s="444" t="str">
        <f>B84</f>
        <v>Administrations - duration of administrations (hours)</v>
      </c>
      <c r="C13" s="450"/>
      <c r="D13" s="419">
        <f t="shared" ref="D13:I13" si="5">D91</f>
        <v>366.17</v>
      </c>
      <c r="E13" s="419">
        <f t="shared" si="5"/>
        <v>1901.3170661437728</v>
      </c>
      <c r="F13" s="419">
        <f t="shared" si="5"/>
        <v>2886.1392474435333</v>
      </c>
      <c r="G13" s="419">
        <f t="shared" si="5"/>
        <v>2913.9668463814733</v>
      </c>
      <c r="H13" s="419">
        <f t="shared" si="5"/>
        <v>2942.0627536705551</v>
      </c>
      <c r="I13" s="419">
        <f t="shared" si="5"/>
        <v>2970.429556288243</v>
      </c>
      <c r="L13" s="292">
        <f>L91</f>
        <v>15.434065500000001</v>
      </c>
      <c r="M13" s="292">
        <f t="shared" ref="M13:Q13" si="6">M91</f>
        <v>80.140514337960013</v>
      </c>
      <c r="N13" s="292">
        <f t="shared" si="6"/>
        <v>121.65076927974494</v>
      </c>
      <c r="O13" s="292">
        <f t="shared" si="6"/>
        <v>122.82370257497909</v>
      </c>
      <c r="P13" s="292">
        <f t="shared" si="6"/>
        <v>124.00794506721388</v>
      </c>
      <c r="Q13" s="292">
        <f t="shared" si="6"/>
        <v>125.20360579754944</v>
      </c>
      <c r="R13" s="133"/>
      <c r="S13" s="133"/>
      <c r="T13" s="133"/>
      <c r="U13" s="133"/>
      <c r="V13" s="133"/>
      <c r="W13" s="133"/>
      <c r="X13" s="133"/>
      <c r="Y13" s="133"/>
      <c r="Z13" s="133"/>
      <c r="AJ13" s="285"/>
      <c r="AK13" s="285"/>
      <c r="AL13" s="285"/>
      <c r="AM13" s="285"/>
      <c r="AN13" s="285"/>
    </row>
    <row r="14" spans="1:40">
      <c r="A14" s="286"/>
      <c r="B14" s="444" t="str">
        <f>B94</f>
        <v>Preparation time before administration (hours)</v>
      </c>
      <c r="C14" s="450"/>
      <c r="D14" s="419">
        <f t="shared" ref="D14:I14" si="7">D101</f>
        <v>549.255</v>
      </c>
      <c r="E14" s="419">
        <f t="shared" si="7"/>
        <v>2851.9755992156588</v>
      </c>
      <c r="F14" s="419">
        <f t="shared" si="7"/>
        <v>4329.2088711653005</v>
      </c>
      <c r="G14" s="419">
        <f t="shared" si="7"/>
        <v>4370.9502695722094</v>
      </c>
      <c r="H14" s="419">
        <f t="shared" si="7"/>
        <v>4413.0941305058332</v>
      </c>
      <c r="I14" s="419">
        <f t="shared" si="7"/>
        <v>4455.6443344323643</v>
      </c>
      <c r="L14" s="292">
        <f>L101</f>
        <v>23.15109825</v>
      </c>
      <c r="M14" s="292">
        <f t="shared" ref="M14:Q14" si="8">M101</f>
        <v>120.21077150694002</v>
      </c>
      <c r="N14" s="292">
        <f t="shared" si="8"/>
        <v>182.47615391961739</v>
      </c>
      <c r="O14" s="292">
        <f t="shared" si="8"/>
        <v>184.23555386246863</v>
      </c>
      <c r="P14" s="292">
        <f t="shared" si="8"/>
        <v>186.01191760082085</v>
      </c>
      <c r="Q14" s="292">
        <f t="shared" si="8"/>
        <v>187.80540869632415</v>
      </c>
      <c r="R14" s="133"/>
      <c r="S14" s="133"/>
      <c r="T14" s="133"/>
      <c r="U14" s="133"/>
      <c r="V14" s="133"/>
      <c r="W14" s="133"/>
      <c r="X14" s="133"/>
      <c r="Y14" s="133"/>
      <c r="Z14" s="133"/>
      <c r="AJ14" s="285"/>
      <c r="AK14" s="285"/>
      <c r="AL14" s="285"/>
      <c r="AM14" s="285"/>
      <c r="AN14" s="285"/>
    </row>
    <row r="15" spans="1:40">
      <c r="A15" s="286"/>
      <c r="B15" s="444" t="str">
        <f>B104</f>
        <v>Post administration nursing time (hours)</v>
      </c>
      <c r="C15" s="450"/>
      <c r="D15" s="419">
        <f t="shared" ref="D15:I15" si="9">D111</f>
        <v>549.255</v>
      </c>
      <c r="E15" s="420">
        <f t="shared" si="9"/>
        <v>2851.9755992156588</v>
      </c>
      <c r="F15" s="419">
        <f t="shared" si="9"/>
        <v>4329.2088711653005</v>
      </c>
      <c r="G15" s="419">
        <f t="shared" si="9"/>
        <v>4370.9502695722094</v>
      </c>
      <c r="H15" s="419">
        <f t="shared" si="9"/>
        <v>4413.0941305058332</v>
      </c>
      <c r="I15" s="419">
        <f t="shared" si="9"/>
        <v>4455.6443344323643</v>
      </c>
      <c r="L15" s="292">
        <f>L111</f>
        <v>23.15109825</v>
      </c>
      <c r="M15" s="292">
        <f t="shared" ref="M15:Q15" si="10">M111</f>
        <v>120.21077150694002</v>
      </c>
      <c r="N15" s="292">
        <f t="shared" si="10"/>
        <v>182.47615391961739</v>
      </c>
      <c r="O15" s="292">
        <f t="shared" si="10"/>
        <v>184.23555386246863</v>
      </c>
      <c r="P15" s="292">
        <f t="shared" si="10"/>
        <v>186.01191760082085</v>
      </c>
      <c r="Q15" s="292">
        <f t="shared" si="10"/>
        <v>187.80540869632415</v>
      </c>
      <c r="R15" s="133"/>
      <c r="S15" s="133"/>
      <c r="T15" s="133"/>
      <c r="U15" s="133"/>
      <c r="V15" s="133"/>
      <c r="W15" s="133"/>
      <c r="X15" s="133"/>
      <c r="Y15" s="133"/>
      <c r="Z15" s="133"/>
      <c r="AJ15" s="285"/>
      <c r="AK15" s="285"/>
      <c r="AL15" s="285"/>
      <c r="AM15" s="285"/>
      <c r="AN15" s="285"/>
    </row>
    <row r="16" spans="1:40" hidden="1">
      <c r="A16" s="288"/>
      <c r="B16" s="445" t="str">
        <f>B115</f>
        <v>In-house aseptic unit preparations, number made</v>
      </c>
      <c r="C16" s="451"/>
      <c r="D16" s="421"/>
      <c r="E16" s="421"/>
      <c r="F16" s="421"/>
      <c r="G16" s="421"/>
      <c r="H16" s="421"/>
      <c r="I16" s="421"/>
      <c r="L16" s="207"/>
      <c r="M16" s="207"/>
      <c r="N16" s="207"/>
      <c r="O16" s="207"/>
      <c r="P16" s="416"/>
      <c r="Q16" s="416"/>
      <c r="R16" s="133"/>
      <c r="S16" s="133"/>
      <c r="T16" s="133"/>
      <c r="U16" s="133"/>
      <c r="V16" s="133"/>
      <c r="W16" s="133"/>
      <c r="X16" s="133"/>
      <c r="Y16" s="133"/>
      <c r="Z16" s="133"/>
      <c r="AJ16" s="285"/>
      <c r="AK16" s="285"/>
      <c r="AL16" s="285"/>
      <c r="AM16" s="285"/>
      <c r="AN16" s="285"/>
    </row>
    <row r="17" spans="1:40" hidden="1">
      <c r="A17" s="288"/>
      <c r="B17" s="445" t="str">
        <f>B123</f>
        <v>Bought-in aseptic unit preparations, number bought in</v>
      </c>
      <c r="C17" s="451"/>
      <c r="D17" s="421"/>
      <c r="E17" s="421"/>
      <c r="F17" s="421"/>
      <c r="G17" s="421"/>
      <c r="H17" s="421"/>
      <c r="I17" s="421"/>
      <c r="L17" s="207"/>
      <c r="M17" s="207"/>
      <c r="N17" s="207"/>
      <c r="O17" s="207"/>
      <c r="P17" s="416"/>
      <c r="Q17" s="416"/>
      <c r="R17" s="133"/>
      <c r="S17" s="133"/>
      <c r="T17" s="133"/>
      <c r="U17" s="133"/>
      <c r="V17" s="133"/>
      <c r="W17" s="133"/>
      <c r="X17" s="133"/>
      <c r="Y17" s="133"/>
      <c r="Z17" s="133"/>
      <c r="AJ17" s="285"/>
      <c r="AK17" s="285"/>
      <c r="AL17" s="285"/>
      <c r="AM17" s="285"/>
      <c r="AN17" s="285"/>
    </row>
    <row r="18" spans="1:40" hidden="1">
      <c r="A18" s="288"/>
      <c r="B18" s="445" t="str">
        <f>B131</f>
        <v>In-house aseptic unit preparations, pharmacy time (hours)</v>
      </c>
      <c r="C18" s="451"/>
      <c r="D18" s="421"/>
      <c r="E18" s="421"/>
      <c r="F18" s="421"/>
      <c r="G18" s="421"/>
      <c r="H18" s="421"/>
      <c r="I18" s="421"/>
      <c r="L18" s="207"/>
      <c r="M18" s="207"/>
      <c r="N18" s="207"/>
      <c r="O18" s="207"/>
      <c r="P18" s="416"/>
      <c r="Q18" s="416"/>
      <c r="R18" s="133"/>
      <c r="S18" s="133"/>
      <c r="T18" s="133"/>
      <c r="U18" s="133"/>
      <c r="V18" s="133"/>
      <c r="W18" s="133"/>
      <c r="X18" s="133"/>
      <c r="Y18" s="133"/>
      <c r="Z18" s="133"/>
      <c r="AJ18" s="285"/>
      <c r="AK18" s="285"/>
      <c r="AL18" s="285"/>
      <c r="AM18" s="285"/>
      <c r="AN18" s="285"/>
    </row>
    <row r="19" spans="1:40" hidden="1">
      <c r="A19" s="288"/>
      <c r="B19" s="445" t="str">
        <f>B139</f>
        <v>Bought-in aseptic unit preparations, pharmacy time (hours)</v>
      </c>
      <c r="C19" s="451"/>
      <c r="D19" s="421"/>
      <c r="E19" s="421"/>
      <c r="F19" s="421"/>
      <c r="G19" s="421"/>
      <c r="H19" s="421"/>
      <c r="I19" s="421"/>
      <c r="L19" s="207"/>
      <c r="M19" s="207"/>
      <c r="N19" s="207"/>
      <c r="O19" s="207"/>
      <c r="P19" s="416"/>
      <c r="Q19" s="416"/>
      <c r="R19" s="133"/>
      <c r="S19" s="133"/>
      <c r="T19" s="133"/>
      <c r="U19" s="133"/>
      <c r="V19" s="133"/>
      <c r="W19" s="133"/>
      <c r="X19" s="133"/>
      <c r="Y19" s="133"/>
      <c r="Z19" s="133"/>
      <c r="AJ19" s="285"/>
      <c r="AK19" s="285"/>
      <c r="AL19" s="285"/>
      <c r="AM19" s="285"/>
      <c r="AN19" s="285"/>
    </row>
    <row r="20" spans="1:40" hidden="1">
      <c r="A20" s="288"/>
      <c r="B20" s="445" t="str">
        <f>B147</f>
        <v>Drug regimen prep (hours)</v>
      </c>
      <c r="C20" s="451"/>
      <c r="D20" s="421"/>
      <c r="E20" s="421"/>
      <c r="F20" s="421"/>
      <c r="G20" s="421"/>
      <c r="H20" s="421"/>
      <c r="I20" s="421"/>
      <c r="L20" s="207"/>
      <c r="M20" s="207"/>
      <c r="N20" s="207"/>
      <c r="O20" s="207"/>
      <c r="P20" s="416"/>
      <c r="Q20" s="416"/>
      <c r="R20" s="133"/>
      <c r="S20" s="133"/>
      <c r="T20" s="133"/>
      <c r="U20" s="133"/>
      <c r="V20" s="133"/>
      <c r="W20" s="133"/>
      <c r="X20" s="133"/>
      <c r="Y20" s="133"/>
      <c r="Z20" s="133"/>
      <c r="AJ20" s="285"/>
      <c r="AK20" s="285"/>
      <c r="AL20" s="285"/>
      <c r="AM20" s="285"/>
      <c r="AN20" s="285"/>
    </row>
    <row r="21" spans="1:40">
      <c r="A21" s="331"/>
      <c r="B21" s="447" t="str">
        <f>B156</f>
        <v>Appointments with x specialty</v>
      </c>
      <c r="C21" s="452"/>
      <c r="D21" s="425">
        <f t="shared" ref="D21:I21" si="11">D163</f>
        <v>0</v>
      </c>
      <c r="E21" s="425">
        <f t="shared" si="11"/>
        <v>0</v>
      </c>
      <c r="F21" s="425">
        <f t="shared" si="11"/>
        <v>0</v>
      </c>
      <c r="G21" s="425">
        <f t="shared" si="11"/>
        <v>0</v>
      </c>
      <c r="H21" s="425">
        <f t="shared" si="11"/>
        <v>0</v>
      </c>
      <c r="I21" s="425">
        <f t="shared" si="11"/>
        <v>0</v>
      </c>
      <c r="L21" s="292">
        <f>L163</f>
        <v>0</v>
      </c>
      <c r="M21" s="292">
        <f t="shared" ref="M21:P21" si="12">M163</f>
        <v>0</v>
      </c>
      <c r="N21" s="292">
        <f t="shared" si="12"/>
        <v>0</v>
      </c>
      <c r="O21" s="292">
        <f t="shared" si="12"/>
        <v>0</v>
      </c>
      <c r="P21" s="292">
        <f t="shared" si="12"/>
        <v>0</v>
      </c>
      <c r="Q21" s="292">
        <f>Q163</f>
        <v>0</v>
      </c>
      <c r="R21" s="133"/>
      <c r="S21" s="133"/>
      <c r="T21" s="133"/>
      <c r="U21" s="133"/>
      <c r="V21" s="133"/>
      <c r="W21" s="133"/>
      <c r="X21" s="133"/>
      <c r="Y21" s="133"/>
      <c r="Z21" s="133"/>
      <c r="AJ21" s="285"/>
      <c r="AK21" s="285"/>
      <c r="AL21" s="285"/>
      <c r="AM21" s="285"/>
      <c r="AN21" s="285"/>
    </row>
    <row r="22" spans="1:40">
      <c r="A22" s="289"/>
      <c r="B22" s="448" t="s">
        <v>941</v>
      </c>
      <c r="C22" s="453"/>
      <c r="D22" s="426">
        <f t="shared" ref="D22:I22" si="13">D174</f>
        <v>3104.0754000000002</v>
      </c>
      <c r="E22" s="426">
        <f t="shared" si="13"/>
        <v>3937.3107578060617</v>
      </c>
      <c r="F22" s="426">
        <f t="shared" si="13"/>
        <v>4482.1809167284164</v>
      </c>
      <c r="G22" s="426">
        <f t="shared" si="13"/>
        <v>4525.3972421460085</v>
      </c>
      <c r="H22" s="426">
        <f t="shared" si="13"/>
        <v>4569.0302510525744</v>
      </c>
      <c r="I22" s="426">
        <f t="shared" si="13"/>
        <v>4613.08396103009</v>
      </c>
      <c r="L22" s="292">
        <f t="shared" ref="L22:Q22" si="14">L174</f>
        <v>0</v>
      </c>
      <c r="M22" s="292">
        <f t="shared" si="14"/>
        <v>0</v>
      </c>
      <c r="N22" s="292">
        <f t="shared" si="14"/>
        <v>0</v>
      </c>
      <c r="O22" s="292">
        <f t="shared" si="14"/>
        <v>0</v>
      </c>
      <c r="P22" s="292">
        <f t="shared" si="14"/>
        <v>0</v>
      </c>
      <c r="Q22" s="292">
        <f t="shared" si="14"/>
        <v>0</v>
      </c>
      <c r="R22" s="133"/>
      <c r="S22" s="133"/>
      <c r="T22" s="133"/>
      <c r="U22" s="133"/>
      <c r="V22" s="133"/>
      <c r="W22" s="133"/>
      <c r="X22" s="133"/>
      <c r="Y22" s="133"/>
      <c r="Z22" s="133"/>
      <c r="AJ22" s="285"/>
      <c r="AK22" s="285"/>
      <c r="AL22" s="285"/>
      <c r="AM22" s="285"/>
      <c r="AN22" s="285"/>
    </row>
    <row r="23" spans="1:40">
      <c r="A23" s="289"/>
      <c r="B23" s="448" t="s">
        <v>942</v>
      </c>
      <c r="C23" s="453"/>
      <c r="D23" s="426">
        <f t="shared" ref="D23:I23" si="15">D184</f>
        <v>3104.0754000000002</v>
      </c>
      <c r="E23" s="426">
        <f t="shared" si="15"/>
        <v>3829.5694573912488</v>
      </c>
      <c r="F23" s="426">
        <f t="shared" si="15"/>
        <v>4305.4132196332603</v>
      </c>
      <c r="G23" s="426">
        <f t="shared" si="15"/>
        <v>4346.9251849496186</v>
      </c>
      <c r="H23" s="426">
        <f t="shared" si="15"/>
        <v>4388.8374006430058</v>
      </c>
      <c r="I23" s="426">
        <f t="shared" si="15"/>
        <v>4431.1537258504959</v>
      </c>
      <c r="L23" s="292">
        <f t="shared" ref="L23:Q23" si="16">L184</f>
        <v>0</v>
      </c>
      <c r="M23" s="292">
        <f t="shared" si="16"/>
        <v>0</v>
      </c>
      <c r="N23" s="292">
        <f t="shared" si="16"/>
        <v>0</v>
      </c>
      <c r="O23" s="292">
        <f t="shared" si="16"/>
        <v>0</v>
      </c>
      <c r="P23" s="292">
        <f t="shared" si="16"/>
        <v>0</v>
      </c>
      <c r="Q23" s="292">
        <f t="shared" si="16"/>
        <v>0</v>
      </c>
      <c r="R23" s="133"/>
      <c r="S23" s="133"/>
      <c r="T23" s="133"/>
      <c r="U23" s="133"/>
      <c r="V23" s="133"/>
      <c r="W23" s="133"/>
      <c r="X23" s="133"/>
      <c r="Y23" s="133"/>
      <c r="Z23" s="133"/>
      <c r="AJ23" s="285"/>
      <c r="AK23" s="285"/>
      <c r="AL23" s="285"/>
      <c r="AM23" s="285"/>
      <c r="AN23" s="285"/>
    </row>
    <row r="24" spans="1:40">
      <c r="A24" s="290"/>
      <c r="B24" s="449" t="str">
        <f>B188</f>
        <v>Adverse events, various (cases)</v>
      </c>
      <c r="C24" s="432"/>
      <c r="D24" s="427">
        <f t="shared" ref="D24:I24" si="17">D204</f>
        <v>1091.4481500000002</v>
      </c>
      <c r="E24" s="427">
        <f t="shared" si="17"/>
        <v>1591.7501862646811</v>
      </c>
      <c r="F24" s="427">
        <f t="shared" si="17"/>
        <v>1916.1605684505353</v>
      </c>
      <c r="G24" s="427">
        <f t="shared" si="17"/>
        <v>1934.6358197215081</v>
      </c>
      <c r="H24" s="427">
        <f t="shared" si="17"/>
        <v>1953.2892058080831</v>
      </c>
      <c r="I24" s="427">
        <f t="shared" si="17"/>
        <v>1972.1224442518549</v>
      </c>
      <c r="J24" s="133"/>
      <c r="K24" s="133"/>
      <c r="L24" s="292">
        <f t="shared" ref="L24:P24" si="18">L204</f>
        <v>1108.2597470400001</v>
      </c>
      <c r="M24" s="292">
        <f t="shared" si="18"/>
        <v>1739.5572079139642</v>
      </c>
      <c r="N24" s="292">
        <f t="shared" si="18"/>
        <v>2147.9519670751956</v>
      </c>
      <c r="O24" s="292">
        <f t="shared" si="18"/>
        <v>2168.6621063835028</v>
      </c>
      <c r="P24" s="292">
        <f t="shared" si="18"/>
        <v>2189.5719288675705</v>
      </c>
      <c r="Q24" s="292">
        <f>Q204</f>
        <v>2210.6833598341345</v>
      </c>
      <c r="R24" s="133"/>
      <c r="S24" s="133"/>
      <c r="T24" s="133"/>
      <c r="U24" s="133"/>
      <c r="V24" s="133"/>
      <c r="W24" s="133"/>
      <c r="X24" s="133"/>
      <c r="Y24" s="133"/>
      <c r="Z24" s="133"/>
    </row>
    <row r="25" spans="1:40">
      <c r="B25" s="248"/>
      <c r="D25" s="285"/>
      <c r="F25" s="133"/>
      <c r="G25" s="133"/>
      <c r="H25" s="133"/>
      <c r="I25" s="133"/>
      <c r="J25" s="133"/>
      <c r="K25" s="133"/>
      <c r="L25" s="293">
        <f t="shared" ref="L25:Q25" si="19">SUM(L10:L24)</f>
        <v>1548.7509580800001</v>
      </c>
      <c r="M25" s="293">
        <f t="shared" si="19"/>
        <v>2442.526096600458</v>
      </c>
      <c r="N25" s="293">
        <f t="shared" si="19"/>
        <v>3020.6489685694492</v>
      </c>
      <c r="O25" s="293">
        <f t="shared" si="19"/>
        <v>3049.7734843405119</v>
      </c>
      <c r="P25" s="293">
        <f t="shared" si="19"/>
        <v>3079.1788130851182</v>
      </c>
      <c r="Q25" s="293">
        <f t="shared" si="19"/>
        <v>3108.8676623478932</v>
      </c>
      <c r="R25" s="133"/>
      <c r="S25" s="133"/>
      <c r="T25" s="133"/>
      <c r="U25" s="133"/>
      <c r="V25" s="133"/>
      <c r="W25" s="133"/>
      <c r="X25" s="133"/>
      <c r="Y25" s="133"/>
      <c r="Z25" s="133"/>
    </row>
    <row r="26" spans="1:40">
      <c r="B26" s="320"/>
      <c r="C26" s="320"/>
      <c r="D26" s="320"/>
      <c r="E26" s="320"/>
      <c r="F26" s="320"/>
      <c r="G26" s="320"/>
      <c r="H26" s="320"/>
      <c r="I26" s="320"/>
      <c r="J26" s="320"/>
      <c r="K26" s="320"/>
      <c r="L26" s="320"/>
      <c r="P26" s="133"/>
      <c r="Q26" s="133"/>
      <c r="R26" s="133"/>
      <c r="S26" s="133"/>
      <c r="V26" s="133"/>
      <c r="W26" s="133"/>
      <c r="X26" s="133"/>
      <c r="Y26" s="133"/>
      <c r="Z26" s="133"/>
      <c r="AJ26" s="285"/>
      <c r="AK26" s="285"/>
      <c r="AL26" s="285"/>
      <c r="AM26" s="285"/>
      <c r="AN26" s="285"/>
    </row>
    <row r="27" spans="1:40">
      <c r="B27" s="371" t="s">
        <v>744</v>
      </c>
      <c r="C27" s="372"/>
      <c r="D27" s="372"/>
      <c r="E27" s="373"/>
      <c r="F27" s="372"/>
      <c r="G27" s="374"/>
      <c r="H27" s="375"/>
      <c r="I27" s="375"/>
      <c r="J27" s="375"/>
      <c r="K27" s="375"/>
      <c r="L27" s="375"/>
      <c r="M27" s="375"/>
      <c r="N27" s="375"/>
      <c r="O27" s="375"/>
      <c r="P27" s="375"/>
      <c r="Q27" s="376"/>
      <c r="R27" s="133"/>
      <c r="S27" s="133"/>
      <c r="T27" s="133"/>
      <c r="U27" s="133"/>
      <c r="V27" s="133"/>
      <c r="W27" s="133"/>
      <c r="X27" s="133"/>
      <c r="Y27" s="133"/>
      <c r="Z27" s="133"/>
      <c r="AJ27" s="285"/>
      <c r="AK27" s="285"/>
      <c r="AL27" s="285"/>
      <c r="AM27" s="285"/>
      <c r="AN27" s="285"/>
    </row>
    <row r="28" spans="1:40" hidden="1">
      <c r="A28" s="287"/>
      <c r="B28" s="661"/>
      <c r="C28" s="656"/>
      <c r="D28" s="657"/>
      <c r="E28" s="658"/>
      <c r="F28" s="287"/>
      <c r="G28" s="287"/>
      <c r="H28" s="219"/>
      <c r="I28" s="219"/>
      <c r="J28" s="219"/>
      <c r="K28" s="219"/>
      <c r="L28" s="219"/>
      <c r="M28" s="219"/>
      <c r="N28" s="219"/>
      <c r="O28" s="219"/>
      <c r="P28" s="219"/>
      <c r="Q28" s="219"/>
      <c r="R28" s="133"/>
      <c r="S28" s="133"/>
      <c r="T28" s="133"/>
      <c r="U28" s="133"/>
      <c r="V28" s="133"/>
      <c r="W28" s="133"/>
      <c r="X28" s="133"/>
      <c r="Y28" s="133"/>
      <c r="Z28" s="133"/>
      <c r="AJ28" s="285"/>
      <c r="AK28" s="285"/>
      <c r="AL28" s="285"/>
      <c r="AM28" s="285"/>
      <c r="AN28" s="285"/>
    </row>
    <row r="29" spans="1:40" hidden="1">
      <c r="A29" s="287"/>
      <c r="B29" s="635" t="s">
        <v>943</v>
      </c>
      <c r="C29" s="666"/>
      <c r="D29" s="666"/>
      <c r="E29" s="636"/>
      <c r="F29" s="637"/>
      <c r="G29" s="306"/>
      <c r="H29" s="306"/>
      <c r="I29" s="384"/>
      <c r="J29" s="667"/>
      <c r="K29" s="287"/>
      <c r="L29" s="287"/>
      <c r="M29" s="287"/>
      <c r="N29" s="287"/>
      <c r="O29" s="287"/>
      <c r="P29" s="287"/>
      <c r="Q29" s="219"/>
      <c r="R29" s="133"/>
      <c r="S29" s="133"/>
      <c r="V29" s="133"/>
    </row>
    <row r="30" spans="1:40" hidden="1">
      <c r="A30" s="659"/>
      <c r="B30" s="660" t="s">
        <v>920</v>
      </c>
      <c r="C30" s="394"/>
      <c r="D30" s="394"/>
      <c r="E30" s="394"/>
      <c r="F30" s="394"/>
      <c r="G30" s="394"/>
      <c r="H30" s="394"/>
      <c r="I30" s="218"/>
      <c r="J30" s="219"/>
      <c r="K30" s="219"/>
      <c r="L30" s="219"/>
      <c r="M30" s="219"/>
      <c r="N30" s="219"/>
      <c r="O30" s="219"/>
      <c r="P30" s="219"/>
      <c r="Q30" s="219"/>
      <c r="R30" s="133"/>
      <c r="S30" s="133"/>
      <c r="T30" s="133"/>
      <c r="U30" s="133"/>
      <c r="V30" s="133"/>
      <c r="W30" s="133"/>
      <c r="X30" s="133"/>
      <c r="Y30" s="133"/>
      <c r="Z30" s="133"/>
      <c r="AJ30" s="285"/>
      <c r="AK30" s="285"/>
      <c r="AL30" s="285"/>
      <c r="AM30" s="285"/>
      <c r="AN30" s="285"/>
    </row>
    <row r="31" spans="1:40" ht="43.5" hidden="1">
      <c r="A31" s="659"/>
      <c r="B31" s="319" t="s">
        <v>125</v>
      </c>
      <c r="C31" s="165" t="s">
        <v>745</v>
      </c>
      <c r="D31" s="422" t="s">
        <v>736</v>
      </c>
      <c r="E31" s="256" t="s">
        <v>51</v>
      </c>
      <c r="F31" s="256" t="s">
        <v>52</v>
      </c>
      <c r="G31" s="164" t="s">
        <v>737</v>
      </c>
      <c r="H31" s="164" t="s">
        <v>738</v>
      </c>
      <c r="I31" s="256" t="s">
        <v>739</v>
      </c>
      <c r="J31" s="664"/>
      <c r="K31" s="668" t="s">
        <v>976</v>
      </c>
      <c r="L31" s="422" t="s">
        <v>736</v>
      </c>
      <c r="M31" s="256" t="s">
        <v>51</v>
      </c>
      <c r="N31" s="256" t="s">
        <v>52</v>
      </c>
      <c r="O31" s="164" t="s">
        <v>737</v>
      </c>
      <c r="P31" s="164" t="s">
        <v>738</v>
      </c>
      <c r="Q31" s="256" t="s">
        <v>739</v>
      </c>
      <c r="R31" s="133"/>
      <c r="S31" s="133"/>
      <c r="T31" s="133"/>
      <c r="U31" s="133"/>
      <c r="V31" s="133"/>
      <c r="W31" s="133"/>
      <c r="X31" s="133"/>
      <c r="Y31" s="133"/>
      <c r="Z31" s="133"/>
      <c r="AJ31" s="285"/>
      <c r="AK31" s="285"/>
      <c r="AL31" s="285"/>
      <c r="AM31" s="285"/>
      <c r="AN31" s="285"/>
    </row>
    <row r="32" spans="1:40" hidden="1">
      <c r="A32" s="659"/>
      <c r="B32" s="350" t="s">
        <v>1142</v>
      </c>
      <c r="C32" s="632" t="e">
        <f>'Inputs and eligible population'!#REF!</f>
        <v>#REF!</v>
      </c>
      <c r="D32" s="128" t="e">
        <f>'Financial impact (cash)'!D14*$C$32</f>
        <v>#REF!</v>
      </c>
      <c r="E32" s="128" t="e">
        <f>'Financial impact (cash)'!E14*$C$32</f>
        <v>#REF!</v>
      </c>
      <c r="F32" s="128" t="e">
        <f>'Financial impact (cash)'!F14*$C$32</f>
        <v>#REF!</v>
      </c>
      <c r="G32" s="128" t="e">
        <f>'Financial impact (cash)'!G14*$C$32</f>
        <v>#REF!</v>
      </c>
      <c r="H32" s="128" t="e">
        <f>'Financial impact (cash)'!H14*$C$32</f>
        <v>#REF!</v>
      </c>
      <c r="I32" s="128" t="e">
        <f>'Financial impact (cash)'!I14*$C$32</f>
        <v>#REF!</v>
      </c>
      <c r="J32" s="664"/>
      <c r="K32" s="669" t="e">
        <f>'Inputs and eligible population'!$M$79</f>
        <v>#REF!</v>
      </c>
      <c r="L32" s="292" t="e">
        <f>(D32*'Inputs and eligible population'!$G79/60*'Inputs and eligible population'!$M$79)/1000</f>
        <v>#REF!</v>
      </c>
      <c r="M32" s="292" t="e">
        <f>(E32*'Inputs and eligible population'!$G79/60*'Inputs and eligible population'!$M$79)/1000</f>
        <v>#REF!</v>
      </c>
      <c r="N32" s="292" t="e">
        <f>(F32*'Inputs and eligible population'!$G79/60*'Inputs and eligible population'!$M$79)/1000</f>
        <v>#REF!</v>
      </c>
      <c r="O32" s="292" t="e">
        <f>(G32*'Inputs and eligible population'!$G79/60*'Inputs and eligible population'!$M$79)/1000</f>
        <v>#REF!</v>
      </c>
      <c r="P32" s="292" t="e">
        <f>(H32*'Inputs and eligible population'!$G79/60*'Inputs and eligible population'!$M$79)/1000</f>
        <v>#REF!</v>
      </c>
      <c r="Q32" s="292" t="e">
        <f>(I32*'Inputs and eligible population'!$G79/60*'Inputs and eligible population'!$M$79)/1000</f>
        <v>#REF!</v>
      </c>
      <c r="R32" s="133"/>
      <c r="S32" s="133"/>
      <c r="T32" s="133"/>
      <c r="U32" s="133"/>
      <c r="V32" s="133"/>
      <c r="W32" s="133"/>
      <c r="X32" s="133"/>
      <c r="Y32" s="133"/>
      <c r="Z32" s="133"/>
      <c r="AJ32" s="285"/>
      <c r="AK32" s="285"/>
      <c r="AL32" s="285"/>
      <c r="AM32" s="285"/>
      <c r="AN32" s="285"/>
    </row>
    <row r="33" spans="1:40" hidden="1">
      <c r="A33" s="659"/>
      <c r="B33" s="350" t="s">
        <v>997</v>
      </c>
      <c r="C33" s="632" t="e">
        <f>'Inputs and eligible population'!#REF!</f>
        <v>#REF!</v>
      </c>
      <c r="D33" s="128" t="e">
        <f>'Financial impact (cash)'!D15*$C$32</f>
        <v>#REF!</v>
      </c>
      <c r="E33" s="128" t="e">
        <f>'Financial impact (cash)'!E15*$C$32</f>
        <v>#REF!</v>
      </c>
      <c r="F33" s="128" t="e">
        <f>'Financial impact (cash)'!F15*$C$32</f>
        <v>#REF!</v>
      </c>
      <c r="G33" s="128" t="e">
        <f>'Financial impact (cash)'!G15*$C$32</f>
        <v>#REF!</v>
      </c>
      <c r="H33" s="128" t="e">
        <f>'Financial impact (cash)'!H15*$C$32</f>
        <v>#REF!</v>
      </c>
      <c r="I33" s="128" t="e">
        <f>'Financial impact (cash)'!I15*$C$32</f>
        <v>#REF!</v>
      </c>
      <c r="J33" s="664"/>
      <c r="K33" s="669" t="e">
        <f>'Inputs and eligible population'!$M$79</f>
        <v>#REF!</v>
      </c>
      <c r="L33" s="292" t="e">
        <f>(D33*'Inputs and eligible population'!$H$79/60*'Inputs and eligible population'!$M$79)/1000</f>
        <v>#REF!</v>
      </c>
      <c r="M33" s="292" t="e">
        <f>(E33*'Inputs and eligible population'!$H$79/60*'Inputs and eligible population'!$M$79)/1000</f>
        <v>#REF!</v>
      </c>
      <c r="N33" s="292" t="e">
        <f>(F33*'Inputs and eligible population'!$H$79/60*'Inputs and eligible population'!$M$79)/1000</f>
        <v>#REF!</v>
      </c>
      <c r="O33" s="292" t="e">
        <f>(G33*'Inputs and eligible population'!$H$79/60*'Inputs and eligible population'!$M$79)/1000</f>
        <v>#REF!</v>
      </c>
      <c r="P33" s="292" t="e">
        <f>(H33*'Inputs and eligible population'!$H$79/60*'Inputs and eligible population'!$M$79)/1000</f>
        <v>#REF!</v>
      </c>
      <c r="Q33" s="292" t="e">
        <f>(I33*'Inputs and eligible population'!$H$79/60*'Inputs and eligible population'!$M$79)/1000</f>
        <v>#REF!</v>
      </c>
      <c r="R33" s="133"/>
      <c r="S33" s="133"/>
      <c r="T33" s="133"/>
      <c r="U33" s="133"/>
      <c r="V33" s="133"/>
      <c r="W33" s="133"/>
      <c r="X33" s="133"/>
      <c r="Y33" s="133"/>
      <c r="Z33" s="133"/>
      <c r="AJ33" s="285"/>
      <c r="AK33" s="285"/>
      <c r="AL33" s="285"/>
      <c r="AM33" s="285"/>
      <c r="AN33" s="285"/>
    </row>
    <row r="34" spans="1:40" hidden="1">
      <c r="A34" s="659"/>
      <c r="B34" s="350" t="s">
        <v>998</v>
      </c>
      <c r="C34" s="632">
        <f>'Inputs and eligible population'!N78</f>
        <v>0</v>
      </c>
      <c r="D34" s="128" t="e">
        <f>'Financial impact (cash)'!D16*$C$32</f>
        <v>#REF!</v>
      </c>
      <c r="E34" s="128" t="e">
        <f>'Financial impact (cash)'!E16*$C$32</f>
        <v>#REF!</v>
      </c>
      <c r="F34" s="128" t="e">
        <f>'Financial impact (cash)'!F16*$C$32</f>
        <v>#REF!</v>
      </c>
      <c r="G34" s="128" t="e">
        <f>'Financial impact (cash)'!G16*$C$32</f>
        <v>#REF!</v>
      </c>
      <c r="H34" s="128" t="e">
        <f>'Financial impact (cash)'!H16*$C$32</f>
        <v>#REF!</v>
      </c>
      <c r="I34" s="128" t="e">
        <f>'Financial impact (cash)'!I16*$C$32</f>
        <v>#REF!</v>
      </c>
      <c r="J34" s="664"/>
      <c r="K34" s="669" t="e">
        <f>'Inputs and eligible population'!$M$79</f>
        <v>#REF!</v>
      </c>
      <c r="L34" s="292" t="e">
        <f>(D34*'Inputs and eligible population'!$I$79/60*'Inputs and eligible population'!$M$79)/1000</f>
        <v>#REF!</v>
      </c>
      <c r="M34" s="292" t="e">
        <f>(E34*'Inputs and eligible population'!$I$79/60*'Inputs and eligible population'!$M$79)/1000</f>
        <v>#REF!</v>
      </c>
      <c r="N34" s="292" t="e">
        <f>(F34*'Inputs and eligible population'!$I$79/60*'Inputs and eligible population'!$M$79)/1000</f>
        <v>#REF!</v>
      </c>
      <c r="O34" s="292" t="e">
        <f>(G34*'Inputs and eligible population'!$I$79/60*'Inputs and eligible population'!$M$79)/1000</f>
        <v>#REF!</v>
      </c>
      <c r="P34" s="292" t="e">
        <f>(H34*'Inputs and eligible population'!$I$79/60*'Inputs and eligible population'!$M$79)/1000</f>
        <v>#REF!</v>
      </c>
      <c r="Q34" s="292" t="e">
        <f>(I34*'Inputs and eligible population'!$I$79/60*'Inputs and eligible population'!$M$79)/1000</f>
        <v>#REF!</v>
      </c>
      <c r="R34" s="133"/>
      <c r="S34" s="133"/>
      <c r="T34" s="133"/>
      <c r="U34" s="133"/>
      <c r="V34" s="133"/>
      <c r="W34" s="133"/>
      <c r="X34" s="133"/>
      <c r="Y34" s="133"/>
      <c r="Z34" s="133"/>
      <c r="AJ34" s="285"/>
      <c r="AK34" s="285"/>
      <c r="AL34" s="285"/>
      <c r="AM34" s="285"/>
      <c r="AN34" s="285"/>
    </row>
    <row r="35" spans="1:40" hidden="1">
      <c r="A35" s="659"/>
      <c r="B35" s="520"/>
      <c r="C35" s="282"/>
      <c r="D35" s="186" t="e">
        <f t="shared" ref="D35:I35" si="20">SUM(D32:D34)</f>
        <v>#REF!</v>
      </c>
      <c r="E35" s="186" t="e">
        <f t="shared" si="20"/>
        <v>#REF!</v>
      </c>
      <c r="F35" s="186" t="e">
        <f t="shared" si="20"/>
        <v>#REF!</v>
      </c>
      <c r="G35" s="186" t="e">
        <f t="shared" si="20"/>
        <v>#REF!</v>
      </c>
      <c r="H35" s="186" t="e">
        <f t="shared" si="20"/>
        <v>#REF!</v>
      </c>
      <c r="I35" s="186" t="e">
        <f t="shared" si="20"/>
        <v>#REF!</v>
      </c>
      <c r="J35" s="664"/>
      <c r="K35" s="219"/>
      <c r="L35" s="293" t="e">
        <f t="shared" ref="L35:Q35" si="21">SUM(L32:L34)</f>
        <v>#REF!</v>
      </c>
      <c r="M35" s="293" t="e">
        <f t="shared" si="21"/>
        <v>#REF!</v>
      </c>
      <c r="N35" s="293" t="e">
        <f t="shared" si="21"/>
        <v>#REF!</v>
      </c>
      <c r="O35" s="293" t="e">
        <f t="shared" si="21"/>
        <v>#REF!</v>
      </c>
      <c r="P35" s="293" t="e">
        <f t="shared" si="21"/>
        <v>#REF!</v>
      </c>
      <c r="Q35" s="293" t="e">
        <f t="shared" si="21"/>
        <v>#REF!</v>
      </c>
      <c r="R35" s="133"/>
      <c r="S35" s="133"/>
      <c r="T35" s="133"/>
      <c r="U35" s="133"/>
      <c r="V35" s="133"/>
      <c r="W35" s="133"/>
      <c r="X35" s="133"/>
      <c r="Y35" s="133"/>
      <c r="Z35" s="133"/>
      <c r="AJ35" s="285"/>
      <c r="AK35" s="285"/>
      <c r="AL35" s="285"/>
      <c r="AM35" s="285"/>
      <c r="AN35" s="285"/>
    </row>
    <row r="36" spans="1:40" hidden="1">
      <c r="A36" s="659"/>
      <c r="B36" s="257"/>
      <c r="C36" s="257"/>
      <c r="D36" s="284" t="s">
        <v>950</v>
      </c>
      <c r="E36" s="186" t="e">
        <f>E35-$D$35</f>
        <v>#REF!</v>
      </c>
      <c r="F36" s="186" t="e">
        <f>F35-$D$35</f>
        <v>#REF!</v>
      </c>
      <c r="G36" s="186" t="e">
        <f>G35-$D$35</f>
        <v>#REF!</v>
      </c>
      <c r="H36" s="186" t="e">
        <f>H35-$D$35</f>
        <v>#REF!</v>
      </c>
      <c r="I36" s="186" t="e">
        <f>I35-$D$35</f>
        <v>#REF!</v>
      </c>
      <c r="J36" s="664"/>
      <c r="K36" s="219"/>
      <c r="L36" s="219"/>
      <c r="M36" s="293" t="e">
        <f>M35-L35</f>
        <v>#REF!</v>
      </c>
      <c r="N36" s="293" t="e">
        <f t="shared" ref="N36:Q36" si="22">N35-M35</f>
        <v>#REF!</v>
      </c>
      <c r="O36" s="293" t="e">
        <f t="shared" si="22"/>
        <v>#REF!</v>
      </c>
      <c r="P36" s="293" t="e">
        <f t="shared" si="22"/>
        <v>#REF!</v>
      </c>
      <c r="Q36" s="293" t="e">
        <f t="shared" si="22"/>
        <v>#REF!</v>
      </c>
      <c r="R36" s="133"/>
      <c r="S36" s="133"/>
      <c r="T36" s="133"/>
      <c r="U36" s="133"/>
      <c r="V36" s="133"/>
      <c r="W36" s="133"/>
      <c r="X36" s="133"/>
      <c r="Y36" s="133"/>
      <c r="Z36" s="133"/>
      <c r="AJ36" s="285"/>
      <c r="AK36" s="285"/>
      <c r="AL36" s="285"/>
      <c r="AM36" s="285"/>
      <c r="AN36" s="285"/>
    </row>
    <row r="37" spans="1:40" hidden="1">
      <c r="A37" s="287"/>
      <c r="B37" s="661"/>
      <c r="C37" s="656"/>
      <c r="D37" s="657"/>
      <c r="E37" s="658"/>
      <c r="F37" s="287"/>
      <c r="G37" s="287"/>
      <c r="H37" s="287"/>
      <c r="I37" s="306"/>
      <c r="J37" s="219"/>
      <c r="K37" s="219"/>
      <c r="L37" s="219"/>
      <c r="M37" s="219"/>
      <c r="N37" s="219"/>
      <c r="O37" s="219"/>
      <c r="P37" s="219"/>
      <c r="Q37" s="219"/>
      <c r="R37" s="133"/>
      <c r="S37" s="133"/>
      <c r="T37" s="133"/>
      <c r="U37" s="133"/>
      <c r="V37" s="133"/>
      <c r="W37" s="133"/>
      <c r="X37" s="133"/>
      <c r="Y37" s="133"/>
      <c r="Z37" s="133"/>
      <c r="AJ37" s="285"/>
      <c r="AK37" s="285"/>
      <c r="AL37" s="285"/>
      <c r="AM37" s="285"/>
      <c r="AN37" s="285"/>
    </row>
    <row r="38" spans="1:40">
      <c r="A38" s="287"/>
      <c r="B38" s="393" t="s">
        <v>923</v>
      </c>
      <c r="C38" s="394"/>
      <c r="D38" s="394"/>
      <c r="E38" s="394"/>
      <c r="F38" s="394"/>
      <c r="G38" s="394"/>
      <c r="H38" s="394"/>
      <c r="I38" s="218"/>
      <c r="J38" s="219"/>
      <c r="K38" s="219"/>
      <c r="L38" s="219"/>
      <c r="M38" s="219"/>
      <c r="N38" s="219"/>
      <c r="O38" s="219"/>
      <c r="P38" s="219"/>
      <c r="Q38" s="219"/>
      <c r="R38" s="133"/>
      <c r="S38" s="133"/>
      <c r="T38" s="133"/>
      <c r="U38" s="133"/>
      <c r="V38" s="133"/>
      <c r="W38" s="133"/>
      <c r="X38" s="133"/>
      <c r="Y38" s="133"/>
      <c r="Z38" s="133"/>
      <c r="AJ38" s="285"/>
      <c r="AK38" s="285"/>
      <c r="AL38" s="285"/>
      <c r="AM38" s="285"/>
      <c r="AN38" s="285"/>
    </row>
    <row r="39" spans="1:40" ht="43.5">
      <c r="A39" s="287"/>
      <c r="B39" s="278" t="s">
        <v>125</v>
      </c>
      <c r="C39" s="165" t="s">
        <v>745</v>
      </c>
      <c r="D39" s="422" t="s">
        <v>736</v>
      </c>
      <c r="E39" s="256" t="s">
        <v>51</v>
      </c>
      <c r="F39" s="256" t="s">
        <v>52</v>
      </c>
      <c r="G39" s="164" t="s">
        <v>737</v>
      </c>
      <c r="H39" s="164" t="s">
        <v>738</v>
      </c>
      <c r="I39" s="256" t="s">
        <v>739</v>
      </c>
      <c r="J39" s="219"/>
      <c r="K39" s="668" t="s">
        <v>976</v>
      </c>
      <c r="L39" s="422" t="s">
        <v>736</v>
      </c>
      <c r="M39" s="256" t="s">
        <v>51</v>
      </c>
      <c r="N39" s="256" t="s">
        <v>52</v>
      </c>
      <c r="O39" s="164" t="s">
        <v>737</v>
      </c>
      <c r="P39" s="164" t="s">
        <v>738</v>
      </c>
      <c r="Q39" s="256" t="s">
        <v>739</v>
      </c>
      <c r="R39" s="133"/>
      <c r="S39" s="133"/>
      <c r="T39" s="133"/>
      <c r="U39" s="133"/>
      <c r="V39" s="133"/>
      <c r="W39" s="133"/>
      <c r="X39" s="133"/>
      <c r="Y39" s="133"/>
      <c r="Z39" s="133"/>
      <c r="AJ39" s="285"/>
      <c r="AK39" s="285"/>
      <c r="AL39" s="285"/>
      <c r="AM39" s="285"/>
      <c r="AN39" s="285"/>
    </row>
    <row r="40" spans="1:40">
      <c r="A40" s="287"/>
      <c r="B40" s="350" t="s">
        <v>1112</v>
      </c>
      <c r="C40" s="632">
        <f>'Inputs and eligible population'!F80</f>
        <v>11.96</v>
      </c>
      <c r="D40" s="128">
        <f>'Financial impact (cash)'!D13*$C$41</f>
        <v>0</v>
      </c>
      <c r="E40" s="128">
        <f>'Financial impact (cash)'!E13*$C$41</f>
        <v>1894.9793425899602</v>
      </c>
      <c r="F40" s="128">
        <f>'Financial impact (cash)'!F13*$C$41</f>
        <v>3109.0318489089186</v>
      </c>
      <c r="G40" s="128">
        <f>'Financial impact (cash)'!G13*$C$41</f>
        <v>3139.0085353953218</v>
      </c>
      <c r="H40" s="128">
        <f>'Financial impact (cash)'!H13*$C$41</f>
        <v>3169.2742513212329</v>
      </c>
      <c r="I40" s="128">
        <f>'Financial impact (cash)'!I13*$C$41</f>
        <v>3199.8317834528593</v>
      </c>
      <c r="J40" s="219"/>
      <c r="K40" s="669">
        <f>'Inputs and eligible population'!$M$81</f>
        <v>121.08</v>
      </c>
      <c r="L40" s="292">
        <f>(D40*'Inputs and eligible population'!$F81/60*'Inputs and eligible population'!$M$81)/1000</f>
        <v>0</v>
      </c>
      <c r="M40" s="292">
        <f>(E40*'Inputs and eligible population'!$F81/60*'Inputs and eligible population'!$M$81)/1000</f>
        <v>76.481366266930792</v>
      </c>
      <c r="N40" s="292">
        <f>(F40*'Inputs and eligible population'!$F81/60*'Inputs and eligible population'!$M$81)/1000</f>
        <v>125.48052542196395</v>
      </c>
      <c r="O40" s="292">
        <f>(G40*'Inputs and eligible population'!$F81/60*'Inputs and eligible population'!$M$81)/1000</f>
        <v>126.69038448855518</v>
      </c>
      <c r="P40" s="292">
        <f>(H40*'Inputs and eligible population'!$F81/60*'Inputs and eligible population'!$M$81)/1000</f>
        <v>127.91190878332495</v>
      </c>
      <c r="Q40" s="292">
        <f>(I40*'Inputs and eligible population'!$F81/60*'Inputs and eligible population'!$M$81)/1000</f>
        <v>129.14521078015738</v>
      </c>
      <c r="R40" s="133"/>
      <c r="S40" s="133"/>
      <c r="T40" s="133"/>
      <c r="U40" s="133"/>
      <c r="V40" s="133"/>
      <c r="W40" s="133"/>
      <c r="X40" s="133"/>
      <c r="Y40" s="133"/>
      <c r="Z40" s="133"/>
      <c r="AJ40" s="285"/>
      <c r="AK40" s="285"/>
      <c r="AL40" s="285"/>
      <c r="AM40" s="285"/>
      <c r="AN40" s="285"/>
    </row>
    <row r="41" spans="1:40">
      <c r="A41" s="287"/>
      <c r="B41" s="350" t="s">
        <v>1142</v>
      </c>
      <c r="C41" s="632">
        <f>'Inputs and eligible population'!G80</f>
        <v>11.96</v>
      </c>
      <c r="D41" s="128">
        <f>'Financial impact (cash)'!D14*$C$41</f>
        <v>0</v>
      </c>
      <c r="E41" s="128">
        <f>'Financial impact (cash)'!E14*$C$41</f>
        <v>1894.9793425899602</v>
      </c>
      <c r="F41" s="128">
        <f>'Financial impact (cash)'!F14*$C$41</f>
        <v>3109.0318489089186</v>
      </c>
      <c r="G41" s="128">
        <f>'Financial impact (cash)'!G14*$C$41</f>
        <v>3139.0085353953218</v>
      </c>
      <c r="H41" s="128">
        <f>'Financial impact (cash)'!H14*$C$41</f>
        <v>3169.2742513212329</v>
      </c>
      <c r="I41" s="128">
        <f>'Financial impact (cash)'!I14*$C$41</f>
        <v>3199.8317834528593</v>
      </c>
      <c r="J41" s="219"/>
      <c r="K41" s="669">
        <f>'Inputs and eligible population'!$M$81</f>
        <v>121.08</v>
      </c>
      <c r="L41" s="292">
        <f>(D41*'Inputs and eligible population'!$G81/60*'Inputs and eligible population'!$M$81)/1000</f>
        <v>0</v>
      </c>
      <c r="M41" s="292">
        <f>(E41*'Inputs and eligible population'!$G81/60*'Inputs and eligible population'!$M$81)/1000</f>
        <v>76.481366266930792</v>
      </c>
      <c r="N41" s="292">
        <f>(F41*'Inputs and eligible population'!$G81/60*'Inputs and eligible population'!$M$81)/1000</f>
        <v>125.48052542196395</v>
      </c>
      <c r="O41" s="292">
        <f>(G41*'Inputs and eligible population'!$G81/60*'Inputs and eligible population'!$M$81)/1000</f>
        <v>126.69038448855518</v>
      </c>
      <c r="P41" s="292">
        <f>(H41*'Inputs and eligible population'!$G81/60*'Inputs and eligible population'!$M$81)/1000</f>
        <v>127.91190878332495</v>
      </c>
      <c r="Q41" s="292">
        <f>(I41*'Inputs and eligible population'!$G81/60*'Inputs and eligible population'!$M$81)/1000</f>
        <v>129.14521078015738</v>
      </c>
      <c r="R41" s="133"/>
      <c r="S41" s="133"/>
      <c r="T41" s="133"/>
      <c r="U41" s="133"/>
      <c r="V41" s="133"/>
      <c r="W41" s="133"/>
      <c r="X41" s="133"/>
      <c r="Y41" s="133"/>
      <c r="Z41" s="133"/>
      <c r="AJ41" s="285"/>
      <c r="AK41" s="285"/>
      <c r="AL41" s="285"/>
      <c r="AM41" s="285"/>
      <c r="AN41" s="285"/>
    </row>
    <row r="42" spans="1:40">
      <c r="A42" s="287"/>
      <c r="B42" s="350" t="s">
        <v>997</v>
      </c>
      <c r="C42" s="632">
        <f>'Inputs and eligible population'!H80</f>
        <v>11.96</v>
      </c>
      <c r="D42" s="128">
        <f>'Financial impact (cash)'!D15*$C$42</f>
        <v>938.44140000000016</v>
      </c>
      <c r="E42" s="128">
        <f>'Financial impact (cash)'!E15*$C$42</f>
        <v>947.4896712949801</v>
      </c>
      <c r="F42" s="128">
        <f>'Financial impact (cash)'!F15*$C$42</f>
        <v>956.62518427966734</v>
      </c>
      <c r="G42" s="128">
        <f>'Financial impact (cash)'!G15*$C$42</f>
        <v>965.84878012163756</v>
      </c>
      <c r="H42" s="128">
        <f>'Financial impact (cash)'!H15*$C$42</f>
        <v>975.16130809884089</v>
      </c>
      <c r="I42" s="128">
        <f>'Financial impact (cash)'!I15*$C$42</f>
        <v>984.56362567780275</v>
      </c>
      <c r="J42" s="219"/>
      <c r="K42" s="669">
        <f>'Inputs and eligible population'!$M$81</f>
        <v>121.08</v>
      </c>
      <c r="L42" s="292">
        <f>(D42*'Inputs and eligible population'!$H$81/60*'Inputs and eligible population'!$M$81)/1000</f>
        <v>37.875494904</v>
      </c>
      <c r="M42" s="292">
        <f>(E42*'Inputs and eligible population'!$H$81/60*'Inputs and eligible population'!$M$81)/1000</f>
        <v>38.240683133465396</v>
      </c>
      <c r="N42" s="292">
        <f>(F42*'Inputs and eligible population'!$H$81/60*'Inputs and eligible population'!$M$81)/1000</f>
        <v>38.609392437527369</v>
      </c>
      <c r="O42" s="292">
        <f>(G42*'Inputs and eligible population'!$H$81/60*'Inputs and eligible population'!$M$81)/1000</f>
        <v>38.981656765709289</v>
      </c>
      <c r="P42" s="292">
        <f>(H42*'Inputs and eligible population'!$H$81/60*'Inputs and eligible population'!$M$81)/1000</f>
        <v>39.357510394869209</v>
      </c>
      <c r="Q42" s="292">
        <f>(I42*'Inputs and eligible population'!$H$81/60*'Inputs and eligible population'!$M$81)/1000</f>
        <v>39.736987932356115</v>
      </c>
      <c r="R42" s="133"/>
      <c r="S42" s="133"/>
      <c r="T42" s="133"/>
      <c r="U42" s="133"/>
      <c r="V42" s="133"/>
      <c r="W42" s="133"/>
      <c r="X42" s="133"/>
      <c r="Y42" s="133"/>
      <c r="Z42" s="133"/>
      <c r="AJ42" s="285"/>
      <c r="AK42" s="285"/>
      <c r="AL42" s="285"/>
      <c r="AM42" s="285"/>
      <c r="AN42" s="285"/>
    </row>
    <row r="43" spans="1:40">
      <c r="A43" s="287"/>
      <c r="B43" s="350" t="s">
        <v>998</v>
      </c>
      <c r="C43" s="632">
        <f>'Inputs and eligible population'!I80</f>
        <v>11.96</v>
      </c>
      <c r="D43" s="128">
        <f>'Financial impact (cash)'!D16*$C$43</f>
        <v>8445.9725999999991</v>
      </c>
      <c r="E43" s="128">
        <f>'Financial impact (cash)'!E16*$C$43</f>
        <v>4737.4483564748998</v>
      </c>
      <c r="F43" s="128">
        <f>'Financial impact (cash)'!F16*$C$43</f>
        <v>2391.5629606991683</v>
      </c>
      <c r="G43" s="128">
        <f>'Financial impact (cash)'!G16*$C$43</f>
        <v>2414.6219503040938</v>
      </c>
      <c r="H43" s="128">
        <f>'Financial impact (cash)'!H16*$C$43</f>
        <v>2437.9032702471018</v>
      </c>
      <c r="I43" s="128">
        <f>'Financial impact (cash)'!I16*$C$43</f>
        <v>2461.4090641945068</v>
      </c>
      <c r="J43" s="219"/>
      <c r="K43" s="669">
        <f>'Inputs and eligible population'!$M$81</f>
        <v>121.08</v>
      </c>
      <c r="L43" s="292">
        <f>(D43*'Inputs and eligible population'!$I$81/60*'Inputs and eligible population'!$M$81)/1000</f>
        <v>340.87945413599999</v>
      </c>
      <c r="M43" s="292">
        <f>(E43*'Inputs and eligible population'!$I$81/60*'Inputs and eligible population'!$M$81)/1000</f>
        <v>191.20341566732694</v>
      </c>
      <c r="N43" s="292">
        <f>(F43*'Inputs and eligible population'!$I$81/60*'Inputs and eligible population'!$M$81)/1000</f>
        <v>96.523481093818418</v>
      </c>
      <c r="O43" s="292">
        <f>(G43*'Inputs and eligible population'!$I$81/60*'Inputs and eligible population'!$M$81)/1000</f>
        <v>97.454141914273222</v>
      </c>
      <c r="P43" s="292">
        <f>(H43*'Inputs and eligible population'!$I$81/60*'Inputs and eligible population'!$M$81)/1000</f>
        <v>98.393775987173029</v>
      </c>
      <c r="Q43" s="292">
        <f>(I43*'Inputs and eligible population'!$I$81/60*'Inputs and eligible population'!$M$81)/1000</f>
        <v>99.342469830890309</v>
      </c>
      <c r="R43" s="133"/>
      <c r="S43" s="133"/>
      <c r="T43" s="133"/>
      <c r="U43" s="133"/>
      <c r="V43" s="133"/>
      <c r="W43" s="133"/>
      <c r="X43" s="133"/>
      <c r="Y43" s="133"/>
      <c r="Z43" s="133"/>
      <c r="AJ43" s="285"/>
      <c r="AK43" s="285"/>
      <c r="AL43" s="285"/>
      <c r="AM43" s="285"/>
      <c r="AN43" s="285"/>
    </row>
    <row r="44" spans="1:40">
      <c r="A44" s="287"/>
      <c r="B44" s="350" t="s">
        <v>1095</v>
      </c>
      <c r="C44" s="632">
        <f>'Inputs and eligible population'!J80</f>
        <v>11.96</v>
      </c>
      <c r="D44" s="128">
        <f>'Financial impact (cash)'!D17*$C$43</f>
        <v>0</v>
      </c>
      <c r="E44" s="128">
        <f>'Financial impact (cash)'!E17*$C$43</f>
        <v>0</v>
      </c>
      <c r="F44" s="128">
        <f>'Financial impact (cash)'!F17*$C$43</f>
        <v>0</v>
      </c>
      <c r="G44" s="128">
        <f>'Financial impact (cash)'!G17*$C$43</f>
        <v>0</v>
      </c>
      <c r="H44" s="128">
        <f>'Financial impact (cash)'!H17*$C$43</f>
        <v>0</v>
      </c>
      <c r="I44" s="128">
        <f>'Financial impact (cash)'!I17*$C$43</f>
        <v>0</v>
      </c>
      <c r="J44" s="219"/>
      <c r="K44" s="669">
        <f>'Inputs and eligible population'!$M$81</f>
        <v>121.08</v>
      </c>
      <c r="L44" s="292">
        <f>(D44*'Inputs and eligible population'!$J$81/60*'Inputs and eligible population'!$J$81)/1000</f>
        <v>0</v>
      </c>
      <c r="M44" s="292">
        <f>(E44*'Inputs and eligible population'!$J$81/60*'Inputs and eligible population'!$J$81)/1000</f>
        <v>0</v>
      </c>
      <c r="N44" s="292">
        <f>(F44*'Inputs and eligible population'!$J$81/60*'Inputs and eligible population'!$J$81)/1000</f>
        <v>0</v>
      </c>
      <c r="O44" s="292">
        <f>(G44*'Inputs and eligible population'!$J$81/60*'Inputs and eligible population'!$J$81)/1000</f>
        <v>0</v>
      </c>
      <c r="P44" s="292">
        <f>(H44*'Inputs and eligible population'!$J$81/60*'Inputs and eligible population'!$J$81)/1000</f>
        <v>0</v>
      </c>
      <c r="Q44" s="292">
        <f>(I44*'Inputs and eligible population'!$J$81/60*'Inputs and eligible population'!$J$81)/1000</f>
        <v>0</v>
      </c>
      <c r="R44" s="133"/>
      <c r="S44" s="133"/>
      <c r="T44" s="133"/>
      <c r="U44" s="133"/>
      <c r="V44" s="133"/>
      <c r="W44" s="133"/>
      <c r="X44" s="133"/>
      <c r="Y44" s="133"/>
      <c r="Z44" s="133"/>
      <c r="AJ44" s="285"/>
      <c r="AK44" s="285"/>
      <c r="AL44" s="285"/>
      <c r="AM44" s="285"/>
      <c r="AN44" s="285"/>
    </row>
    <row r="45" spans="1:40">
      <c r="A45" s="287"/>
      <c r="B45" s="279"/>
      <c r="C45" s="282"/>
      <c r="D45" s="186">
        <f>SUM(D40:D44)</f>
        <v>9384.4139999999989</v>
      </c>
      <c r="E45" s="186">
        <f t="shared" ref="E45:I45" si="23">SUM(E40:E44)</f>
        <v>9474.8967129498014</v>
      </c>
      <c r="F45" s="186">
        <f t="shared" si="23"/>
        <v>9566.2518427966734</v>
      </c>
      <c r="G45" s="186">
        <f t="shared" si="23"/>
        <v>9658.4878012163754</v>
      </c>
      <c r="H45" s="186">
        <f t="shared" si="23"/>
        <v>9751.6130809884089</v>
      </c>
      <c r="I45" s="186">
        <f t="shared" si="23"/>
        <v>9845.636256778027</v>
      </c>
      <c r="J45" s="219"/>
      <c r="K45" s="219"/>
      <c r="L45" s="293">
        <f>SUM(L40:L44)</f>
        <v>378.75494903999999</v>
      </c>
      <c r="M45" s="293">
        <f t="shared" ref="M45:Q45" si="24">SUM(M40:M44)</f>
        <v>382.40683133465393</v>
      </c>
      <c r="N45" s="293">
        <f t="shared" si="24"/>
        <v>386.09392437527367</v>
      </c>
      <c r="O45" s="293">
        <f t="shared" si="24"/>
        <v>389.81656765709289</v>
      </c>
      <c r="P45" s="293">
        <f t="shared" si="24"/>
        <v>393.57510394869212</v>
      </c>
      <c r="Q45" s="293">
        <f t="shared" si="24"/>
        <v>397.36987932356118</v>
      </c>
      <c r="R45" s="133"/>
      <c r="S45" s="133"/>
      <c r="T45" s="133"/>
      <c r="U45" s="133"/>
      <c r="V45" s="133"/>
      <c r="W45" s="133"/>
      <c r="X45" s="133"/>
      <c r="Y45" s="133"/>
      <c r="Z45" s="133"/>
      <c r="AJ45" s="285"/>
      <c r="AK45" s="285"/>
      <c r="AL45" s="285"/>
      <c r="AM45" s="285"/>
      <c r="AN45" s="285"/>
    </row>
    <row r="46" spans="1:40">
      <c r="A46" s="287"/>
      <c r="B46" s="305"/>
      <c r="C46" s="257"/>
      <c r="D46" s="284" t="s">
        <v>950</v>
      </c>
      <c r="E46" s="186">
        <f>E45-$D$45</f>
        <v>90.48271294980259</v>
      </c>
      <c r="F46" s="186">
        <f>F45-$D$45</f>
        <v>181.83784279667452</v>
      </c>
      <c r="G46" s="186">
        <f>G45-$D$45</f>
        <v>274.07380121637652</v>
      </c>
      <c r="H46" s="186">
        <f>H45-$D$45</f>
        <v>367.19908098841006</v>
      </c>
      <c r="I46" s="186">
        <f>I45-$D$45</f>
        <v>461.22225677802817</v>
      </c>
      <c r="J46" s="219"/>
      <c r="K46" s="219"/>
      <c r="L46" s="219"/>
      <c r="M46" s="293">
        <f>M45-$L$45</f>
        <v>3.6518822946539444</v>
      </c>
      <c r="N46" s="293">
        <f t="shared" ref="N46:Q46" si="25">N45-$L$45</f>
        <v>7.3389753352736875</v>
      </c>
      <c r="O46" s="293">
        <f t="shared" si="25"/>
        <v>11.061618617092904</v>
      </c>
      <c r="P46" s="293">
        <f t="shared" si="25"/>
        <v>14.820154908692132</v>
      </c>
      <c r="Q46" s="293">
        <f t="shared" si="25"/>
        <v>18.614930283561193</v>
      </c>
      <c r="R46" s="133"/>
      <c r="S46" s="133"/>
      <c r="T46" s="133"/>
      <c r="U46" s="133"/>
      <c r="V46" s="133"/>
      <c r="W46" s="133"/>
      <c r="X46" s="133"/>
      <c r="Y46" s="133"/>
      <c r="Z46" s="133"/>
      <c r="AJ46" s="285"/>
      <c r="AK46" s="285"/>
      <c r="AL46" s="285"/>
      <c r="AM46" s="285"/>
      <c r="AN46" s="285"/>
    </row>
    <row r="47" spans="1:40">
      <c r="A47" s="287"/>
      <c r="B47" s="287"/>
      <c r="C47" s="287"/>
      <c r="D47" s="662"/>
      <c r="E47" s="663"/>
      <c r="F47" s="663"/>
      <c r="G47" s="663"/>
      <c r="H47" s="663"/>
      <c r="I47" s="663"/>
      <c r="J47" s="219"/>
      <c r="K47" s="219"/>
      <c r="L47" s="219"/>
      <c r="M47" s="219"/>
      <c r="N47" s="219"/>
      <c r="O47" s="219"/>
      <c r="P47" s="219"/>
      <c r="Q47" s="219"/>
      <c r="R47" s="133"/>
      <c r="S47" s="133"/>
      <c r="T47" s="133"/>
      <c r="U47" s="133"/>
      <c r="V47" s="133"/>
      <c r="W47" s="133"/>
      <c r="X47" s="133"/>
      <c r="Y47" s="133"/>
      <c r="Z47" s="133"/>
      <c r="AJ47" s="285"/>
      <c r="AK47" s="285"/>
      <c r="AL47" s="285"/>
      <c r="AM47" s="285"/>
      <c r="AN47" s="285"/>
    </row>
    <row r="48" spans="1:40">
      <c r="A48" s="287"/>
      <c r="B48" s="393" t="s">
        <v>1021</v>
      </c>
      <c r="C48" s="394"/>
      <c r="D48" s="394"/>
      <c r="E48" s="394"/>
      <c r="F48" s="394"/>
      <c r="G48" s="394"/>
      <c r="H48" s="394"/>
      <c r="I48" s="218"/>
      <c r="J48" s="219"/>
      <c r="K48" s="219"/>
      <c r="L48" s="219"/>
      <c r="M48" s="219"/>
      <c r="N48" s="219"/>
      <c r="O48" s="219"/>
      <c r="P48" s="219"/>
      <c r="Q48" s="219"/>
      <c r="R48" s="133"/>
      <c r="S48" s="133"/>
      <c r="T48" s="133"/>
      <c r="U48" s="133"/>
      <c r="V48" s="133"/>
      <c r="W48" s="133"/>
      <c r="X48" s="133"/>
      <c r="Y48" s="133"/>
      <c r="Z48" s="133"/>
      <c r="AJ48" s="285"/>
      <c r="AK48" s="285"/>
      <c r="AL48" s="285"/>
      <c r="AM48" s="285"/>
      <c r="AN48" s="285"/>
    </row>
    <row r="49" spans="1:40" ht="43.5">
      <c r="A49" s="287"/>
      <c r="B49" s="278" t="s">
        <v>125</v>
      </c>
      <c r="C49" s="165" t="s">
        <v>1021</v>
      </c>
      <c r="D49" s="422" t="s">
        <v>736</v>
      </c>
      <c r="E49" s="256" t="s">
        <v>51</v>
      </c>
      <c r="F49" s="256" t="s">
        <v>52</v>
      </c>
      <c r="G49" s="164" t="s">
        <v>737</v>
      </c>
      <c r="H49" s="164" t="s">
        <v>738</v>
      </c>
      <c r="I49" s="256" t="s">
        <v>739</v>
      </c>
      <c r="J49" s="219"/>
      <c r="K49" s="668" t="s">
        <v>976</v>
      </c>
      <c r="L49" s="422" t="s">
        <v>736</v>
      </c>
      <c r="M49" s="256" t="s">
        <v>51</v>
      </c>
      <c r="N49" s="256" t="s">
        <v>52</v>
      </c>
      <c r="O49" s="164" t="s">
        <v>737</v>
      </c>
      <c r="P49" s="164" t="s">
        <v>738</v>
      </c>
      <c r="Q49" s="256" t="s">
        <v>739</v>
      </c>
      <c r="R49" s="133"/>
      <c r="S49" s="133"/>
      <c r="T49" s="133"/>
      <c r="U49" s="133"/>
      <c r="V49" s="133"/>
      <c r="W49" s="133"/>
      <c r="X49" s="133"/>
      <c r="Y49" s="133"/>
      <c r="Z49" s="133"/>
      <c r="AJ49" s="285"/>
      <c r="AK49" s="285"/>
      <c r="AL49" s="285"/>
      <c r="AM49" s="285"/>
      <c r="AN49" s="285"/>
    </row>
    <row r="50" spans="1:40">
      <c r="A50" s="287"/>
      <c r="B50" s="350" t="s">
        <v>1112</v>
      </c>
      <c r="C50" s="632">
        <f>'Unit costs'!L77</f>
        <v>5</v>
      </c>
      <c r="D50" s="128">
        <f>'Financial impact (cash)'!D13*$C$50</f>
        <v>0</v>
      </c>
      <c r="E50" s="128">
        <f>'Financial impact (cash)'!E13*$C$50</f>
        <v>792.21544422657189</v>
      </c>
      <c r="F50" s="128">
        <f>'Financial impact (cash)'!F13*$C$50</f>
        <v>1299.7624786408524</v>
      </c>
      <c r="G50" s="128">
        <f>'Financial impact (cash)'!G13*$C$50</f>
        <v>1312.2945382087464</v>
      </c>
      <c r="H50" s="128">
        <f>'Financial impact (cash)'!H13*$C$50</f>
        <v>1324.9474294821207</v>
      </c>
      <c r="I50" s="128">
        <f>'Financial impact (cash)'!I13*$C$50</f>
        <v>1337.7223174970145</v>
      </c>
      <c r="J50" s="219"/>
      <c r="K50" s="669">
        <f>'Unit costs'!K77</f>
        <v>0</v>
      </c>
      <c r="L50" s="292">
        <f>$K$51*D50</f>
        <v>0</v>
      </c>
      <c r="M50" s="292">
        <f t="shared" ref="M50" si="26">$K$51*E50</f>
        <v>0</v>
      </c>
      <c r="N50" s="292">
        <f t="shared" ref="N50" si="27">$K$51*F50</f>
        <v>0</v>
      </c>
      <c r="O50" s="292">
        <f t="shared" ref="O50" si="28">$K$51*G50</f>
        <v>0</v>
      </c>
      <c r="P50" s="292">
        <f t="shared" ref="P50" si="29">$K$51*H50</f>
        <v>0</v>
      </c>
      <c r="Q50" s="292">
        <f t="shared" ref="Q50" si="30">$K$51*I50</f>
        <v>0</v>
      </c>
      <c r="R50" s="133"/>
      <c r="S50" s="133"/>
      <c r="T50" s="133"/>
      <c r="U50" s="133"/>
      <c r="V50" s="133"/>
      <c r="W50" s="133"/>
      <c r="X50" s="133"/>
      <c r="Y50" s="133"/>
      <c r="Z50" s="133"/>
      <c r="AJ50" s="285"/>
      <c r="AK50" s="285"/>
      <c r="AL50" s="285"/>
      <c r="AM50" s="285"/>
      <c r="AN50" s="285"/>
    </row>
    <row r="51" spans="1:40">
      <c r="A51" s="287"/>
      <c r="B51" s="350" t="s">
        <v>1142</v>
      </c>
      <c r="C51" s="632">
        <f>'Unit costs'!L78</f>
        <v>5</v>
      </c>
      <c r="D51" s="128">
        <f>'Financial impact (cash)'!D14*$C$51</f>
        <v>0</v>
      </c>
      <c r="E51" s="128">
        <f>'Financial impact (cash)'!E14*$C$51</f>
        <v>792.21544422657189</v>
      </c>
      <c r="F51" s="128">
        <f>'Financial impact (cash)'!F14*$C$51</f>
        <v>1299.7624786408524</v>
      </c>
      <c r="G51" s="128">
        <f>'Financial impact (cash)'!G14*$C$51</f>
        <v>1312.2945382087464</v>
      </c>
      <c r="H51" s="128">
        <f>'Financial impact (cash)'!H14*$C$51</f>
        <v>1324.9474294821207</v>
      </c>
      <c r="I51" s="128">
        <f>'Financial impact (cash)'!I14*$C$51</f>
        <v>1337.7223174970145</v>
      </c>
      <c r="J51" s="219"/>
      <c r="K51" s="669">
        <f>'Unit costs'!K78</f>
        <v>0</v>
      </c>
      <c r="L51" s="292">
        <f>$K$51*D51</f>
        <v>0</v>
      </c>
      <c r="M51" s="292">
        <f t="shared" ref="M51:Q51" si="31">$K$51*E51</f>
        <v>0</v>
      </c>
      <c r="N51" s="292">
        <f t="shared" si="31"/>
        <v>0</v>
      </c>
      <c r="O51" s="292">
        <f t="shared" si="31"/>
        <v>0</v>
      </c>
      <c r="P51" s="292">
        <f t="shared" si="31"/>
        <v>0</v>
      </c>
      <c r="Q51" s="292">
        <f t="shared" si="31"/>
        <v>0</v>
      </c>
      <c r="R51" s="133"/>
      <c r="S51" s="133"/>
      <c r="T51" s="133"/>
      <c r="U51" s="133"/>
      <c r="V51" s="133"/>
      <c r="W51" s="133"/>
      <c r="X51" s="133"/>
      <c r="Y51" s="133"/>
      <c r="Z51" s="133"/>
      <c r="AJ51" s="285"/>
      <c r="AK51" s="285"/>
      <c r="AL51" s="285"/>
      <c r="AM51" s="285"/>
      <c r="AN51" s="285"/>
    </row>
    <row r="52" spans="1:40">
      <c r="A52" s="287"/>
      <c r="B52" s="350" t="s">
        <v>997</v>
      </c>
      <c r="C52" s="632">
        <f>'Unit costs'!L79</f>
        <v>0</v>
      </c>
      <c r="D52" s="128">
        <f>'Financial impact (cash)'!D15*$C$52</f>
        <v>0</v>
      </c>
      <c r="E52" s="128">
        <f>'Financial impact (cash)'!E15*$C$52</f>
        <v>0</v>
      </c>
      <c r="F52" s="128">
        <f>'Financial impact (cash)'!F15*$C$52</f>
        <v>0</v>
      </c>
      <c r="G52" s="128">
        <f>'Financial impact (cash)'!G15*$C$52</f>
        <v>0</v>
      </c>
      <c r="H52" s="128">
        <f>'Financial impact (cash)'!H15*$C$52</f>
        <v>0</v>
      </c>
      <c r="I52" s="128">
        <f>'Financial impact (cash)'!I15*$C$52</f>
        <v>0</v>
      </c>
      <c r="J52" s="219"/>
      <c r="K52" s="669">
        <f>'Unit costs'!K79</f>
        <v>0</v>
      </c>
      <c r="L52" s="292">
        <f>$K$52*D52</f>
        <v>0</v>
      </c>
      <c r="M52" s="292">
        <f t="shared" ref="M52:Q52" si="32">$K$52*E52</f>
        <v>0</v>
      </c>
      <c r="N52" s="292">
        <f t="shared" si="32"/>
        <v>0</v>
      </c>
      <c r="O52" s="292">
        <f t="shared" si="32"/>
        <v>0</v>
      </c>
      <c r="P52" s="292">
        <f t="shared" si="32"/>
        <v>0</v>
      </c>
      <c r="Q52" s="292">
        <f t="shared" si="32"/>
        <v>0</v>
      </c>
      <c r="R52" s="133"/>
      <c r="S52" s="133"/>
      <c r="T52" s="133"/>
      <c r="U52" s="133"/>
      <c r="V52" s="133"/>
      <c r="W52" s="133"/>
      <c r="X52" s="133"/>
      <c r="Y52" s="133"/>
      <c r="Z52" s="133"/>
      <c r="AJ52" s="285"/>
      <c r="AK52" s="285"/>
      <c r="AL52" s="285"/>
      <c r="AM52" s="285"/>
      <c r="AN52" s="285"/>
    </row>
    <row r="53" spans="1:40">
      <c r="A53" s="287"/>
      <c r="B53" s="350" t="s">
        <v>998</v>
      </c>
      <c r="C53" s="632">
        <f>'Unit costs'!L80</f>
        <v>0</v>
      </c>
      <c r="D53" s="128">
        <f>'Financial impact (cash)'!D16*$C$53</f>
        <v>0</v>
      </c>
      <c r="E53" s="128">
        <f>'Financial impact (cash)'!E16*$C$53</f>
        <v>0</v>
      </c>
      <c r="F53" s="128">
        <f>'Financial impact (cash)'!F16*$C$53</f>
        <v>0</v>
      </c>
      <c r="G53" s="128">
        <f>'Financial impact (cash)'!G16*$C$53</f>
        <v>0</v>
      </c>
      <c r="H53" s="128">
        <f>'Financial impact (cash)'!H16*$C$53</f>
        <v>0</v>
      </c>
      <c r="I53" s="128">
        <f>'Financial impact (cash)'!I16*$C$53</f>
        <v>0</v>
      </c>
      <c r="J53" s="219"/>
      <c r="K53" s="669">
        <f>'Unit costs'!K80</f>
        <v>0</v>
      </c>
      <c r="L53" s="292">
        <f>$K$53*D53</f>
        <v>0</v>
      </c>
      <c r="M53" s="292">
        <f t="shared" ref="M53:Q53" si="33">$K$53*E53</f>
        <v>0</v>
      </c>
      <c r="N53" s="292">
        <f t="shared" si="33"/>
        <v>0</v>
      </c>
      <c r="O53" s="292">
        <f t="shared" si="33"/>
        <v>0</v>
      </c>
      <c r="P53" s="292">
        <f t="shared" si="33"/>
        <v>0</v>
      </c>
      <c r="Q53" s="292">
        <f t="shared" si="33"/>
        <v>0</v>
      </c>
      <c r="R53" s="133"/>
      <c r="S53" s="133"/>
      <c r="T53" s="133"/>
      <c r="U53" s="133"/>
      <c r="V53" s="133"/>
      <c r="W53" s="133"/>
      <c r="X53" s="133"/>
      <c r="Y53" s="133"/>
      <c r="Z53" s="133"/>
      <c r="AJ53" s="285"/>
      <c r="AK53" s="285"/>
      <c r="AL53" s="285"/>
      <c r="AM53" s="285"/>
      <c r="AN53" s="285"/>
    </row>
    <row r="54" spans="1:40">
      <c r="A54" s="287"/>
      <c r="B54" s="350" t="s">
        <v>1095</v>
      </c>
      <c r="C54" s="632">
        <f>'Unit costs'!L81</f>
        <v>0</v>
      </c>
      <c r="D54" s="128">
        <f>'Financial impact (cash)'!D17*$C$54</f>
        <v>0</v>
      </c>
      <c r="E54" s="128">
        <f>'Financial impact (cash)'!E17*$C$54</f>
        <v>0</v>
      </c>
      <c r="F54" s="128">
        <f>'Financial impact (cash)'!F17*$C$54</f>
        <v>0</v>
      </c>
      <c r="G54" s="128">
        <f>'Financial impact (cash)'!G17*$C$54</f>
        <v>0</v>
      </c>
      <c r="H54" s="128">
        <f>'Financial impact (cash)'!H17*$C$54</f>
        <v>0</v>
      </c>
      <c r="I54" s="128">
        <f>'Financial impact (cash)'!I17*$C$54</f>
        <v>0</v>
      </c>
      <c r="J54" s="219"/>
      <c r="K54" s="669">
        <f>'Unit costs'!K81</f>
        <v>0</v>
      </c>
      <c r="L54" s="292">
        <f>$K$53*D54</f>
        <v>0</v>
      </c>
      <c r="M54" s="292">
        <f t="shared" ref="M54" si="34">$K$53*E54</f>
        <v>0</v>
      </c>
      <c r="N54" s="292">
        <f t="shared" ref="N54" si="35">$K$53*F54</f>
        <v>0</v>
      </c>
      <c r="O54" s="292">
        <f t="shared" ref="O54" si="36">$K$53*G54</f>
        <v>0</v>
      </c>
      <c r="P54" s="292">
        <f t="shared" ref="P54" si="37">$K$53*H54</f>
        <v>0</v>
      </c>
      <c r="Q54" s="292">
        <f t="shared" ref="Q54" si="38">$K$53*I54</f>
        <v>0</v>
      </c>
      <c r="R54" s="133"/>
      <c r="S54" s="133"/>
      <c r="T54" s="133"/>
      <c r="U54" s="133"/>
      <c r="V54" s="133"/>
      <c r="W54" s="133"/>
      <c r="X54" s="133"/>
      <c r="Y54" s="133"/>
      <c r="Z54" s="133"/>
      <c r="AJ54" s="285"/>
      <c r="AK54" s="285"/>
      <c r="AL54" s="285"/>
      <c r="AM54" s="285"/>
      <c r="AN54" s="285"/>
    </row>
    <row r="55" spans="1:40">
      <c r="A55" s="287"/>
      <c r="B55" s="279"/>
      <c r="C55" s="282"/>
      <c r="D55" s="186">
        <f>SUM(D50:D54)</f>
        <v>0</v>
      </c>
      <c r="E55" s="186">
        <f t="shared" ref="E55:I55" si="39">SUM(E50:E54)</f>
        <v>1584.4308884531438</v>
      </c>
      <c r="F55" s="186">
        <f t="shared" si="39"/>
        <v>2599.5249572817047</v>
      </c>
      <c r="G55" s="186">
        <f t="shared" si="39"/>
        <v>2624.5890764174928</v>
      </c>
      <c r="H55" s="186">
        <f t="shared" si="39"/>
        <v>2649.8948589642414</v>
      </c>
      <c r="I55" s="186">
        <f t="shared" si="39"/>
        <v>2675.444634994029</v>
      </c>
      <c r="J55" s="219"/>
      <c r="K55" s="219"/>
      <c r="L55" s="293">
        <f>SUM(L50:L54)</f>
        <v>0</v>
      </c>
      <c r="M55" s="293">
        <f t="shared" ref="M55:Q55" si="40">SUM(M50:M54)</f>
        <v>0</v>
      </c>
      <c r="N55" s="293">
        <f t="shared" si="40"/>
        <v>0</v>
      </c>
      <c r="O55" s="293">
        <f t="shared" si="40"/>
        <v>0</v>
      </c>
      <c r="P55" s="293">
        <f t="shared" si="40"/>
        <v>0</v>
      </c>
      <c r="Q55" s="293">
        <f t="shared" si="40"/>
        <v>0</v>
      </c>
      <c r="R55" s="133"/>
      <c r="S55" s="133"/>
      <c r="T55" s="133"/>
      <c r="U55" s="133"/>
      <c r="V55" s="133"/>
      <c r="W55" s="133"/>
      <c r="X55" s="133"/>
      <c r="Y55" s="133"/>
      <c r="Z55" s="133"/>
      <c r="AJ55" s="285"/>
      <c r="AK55" s="285"/>
      <c r="AL55" s="285"/>
      <c r="AM55" s="285"/>
      <c r="AN55" s="285"/>
    </row>
    <row r="56" spans="1:40">
      <c r="A56" s="287"/>
      <c r="B56" s="305"/>
      <c r="C56" s="257"/>
      <c r="D56" s="284" t="s">
        <v>950</v>
      </c>
      <c r="E56" s="186">
        <f>E55-$D$55</f>
        <v>1584.4308884531438</v>
      </c>
      <c r="F56" s="186">
        <f t="shared" ref="F56:I56" si="41">F55-$D$55</f>
        <v>2599.5249572817047</v>
      </c>
      <c r="G56" s="186">
        <f t="shared" si="41"/>
        <v>2624.5890764174928</v>
      </c>
      <c r="H56" s="186">
        <f t="shared" si="41"/>
        <v>2649.8948589642414</v>
      </c>
      <c r="I56" s="186">
        <f t="shared" si="41"/>
        <v>2675.444634994029</v>
      </c>
      <c r="J56" s="219"/>
      <c r="K56" s="219"/>
      <c r="L56" s="219"/>
      <c r="M56" s="293">
        <f>M55-$L$55</f>
        <v>0</v>
      </c>
      <c r="N56" s="293">
        <f>N55-$L$55</f>
        <v>0</v>
      </c>
      <c r="O56" s="293">
        <f t="shared" ref="O56:P56" si="42">O55-$L$55</f>
        <v>0</v>
      </c>
      <c r="P56" s="293">
        <f t="shared" si="42"/>
        <v>0</v>
      </c>
      <c r="Q56" s="293">
        <f>Q55-$L$55</f>
        <v>0</v>
      </c>
      <c r="R56" s="133"/>
      <c r="S56" s="133"/>
      <c r="T56" s="133"/>
      <c r="U56" s="133"/>
      <c r="V56" s="133"/>
      <c r="W56" s="133"/>
      <c r="X56" s="133"/>
      <c r="Y56" s="133"/>
      <c r="Z56" s="133"/>
      <c r="AJ56" s="285"/>
      <c r="AK56" s="285"/>
      <c r="AL56" s="285"/>
      <c r="AM56" s="285"/>
      <c r="AN56" s="285"/>
    </row>
    <row r="57" spans="1:40">
      <c r="A57" s="287"/>
      <c r="B57" s="287"/>
      <c r="C57" s="287"/>
      <c r="D57" s="662"/>
      <c r="E57" s="663"/>
      <c r="F57" s="663"/>
      <c r="G57" s="663"/>
      <c r="H57" s="663"/>
      <c r="I57" s="663"/>
      <c r="J57" s="219"/>
      <c r="K57" s="219"/>
      <c r="L57" s="219"/>
      <c r="M57" s="219"/>
      <c r="N57" s="219"/>
      <c r="O57" s="219"/>
      <c r="P57" s="219"/>
      <c r="Q57" s="219"/>
      <c r="R57" s="133"/>
      <c r="S57" s="133"/>
      <c r="T57" s="133"/>
      <c r="U57" s="133"/>
      <c r="V57" s="133"/>
      <c r="W57" s="133"/>
      <c r="X57" s="133"/>
      <c r="Y57" s="133"/>
      <c r="Z57" s="133"/>
      <c r="AJ57" s="285"/>
      <c r="AK57" s="285"/>
      <c r="AL57" s="285"/>
      <c r="AM57" s="285"/>
      <c r="AN57" s="285"/>
    </row>
    <row r="58" spans="1:40">
      <c r="A58" s="300"/>
      <c r="B58" s="386" t="s">
        <v>124</v>
      </c>
      <c r="C58" s="387"/>
      <c r="D58" s="387"/>
      <c r="E58" s="387"/>
      <c r="F58" s="387"/>
      <c r="G58" s="387"/>
      <c r="H58" s="387"/>
      <c r="I58" s="387"/>
      <c r="J58" s="428"/>
      <c r="K58" s="215"/>
      <c r="L58" s="215"/>
      <c r="M58" s="215"/>
      <c r="N58" s="215"/>
      <c r="O58" s="215"/>
      <c r="P58" s="215"/>
      <c r="Q58" s="215"/>
      <c r="R58" s="133"/>
      <c r="S58" s="133"/>
      <c r="T58" s="133"/>
      <c r="U58" s="133"/>
      <c r="V58" s="133"/>
      <c r="W58" s="133"/>
      <c r="X58" s="133"/>
      <c r="Y58" s="133"/>
      <c r="Z58" s="133"/>
      <c r="AJ58" s="285"/>
      <c r="AK58" s="285"/>
      <c r="AL58" s="285"/>
      <c r="AM58" s="285"/>
      <c r="AN58" s="285"/>
    </row>
    <row r="59" spans="1:40" ht="43.5">
      <c r="A59" s="300"/>
      <c r="B59" s="319" t="s">
        <v>125</v>
      </c>
      <c r="C59" s="165" t="s">
        <v>128</v>
      </c>
      <c r="D59" s="422" t="s">
        <v>736</v>
      </c>
      <c r="E59" s="256" t="s">
        <v>51</v>
      </c>
      <c r="F59" s="256" t="s">
        <v>52</v>
      </c>
      <c r="G59" s="164" t="s">
        <v>737</v>
      </c>
      <c r="H59" s="164" t="s">
        <v>738</v>
      </c>
      <c r="I59" s="256" t="s">
        <v>739</v>
      </c>
      <c r="J59" s="428"/>
      <c r="K59" s="215"/>
      <c r="L59" s="215"/>
      <c r="M59" s="215"/>
      <c r="N59" s="215"/>
      <c r="O59" s="215"/>
      <c r="P59" s="215"/>
      <c r="Q59" s="215"/>
      <c r="R59" s="133"/>
      <c r="S59" s="133"/>
      <c r="T59" s="133"/>
      <c r="U59" s="133"/>
      <c r="V59" s="133"/>
      <c r="W59" s="133"/>
      <c r="X59" s="133"/>
      <c r="Y59" s="133"/>
      <c r="Z59" s="133"/>
      <c r="AJ59" s="285"/>
      <c r="AK59" s="285"/>
      <c r="AL59" s="285"/>
      <c r="AM59" s="285"/>
      <c r="AN59" s="285"/>
    </row>
    <row r="60" spans="1:40">
      <c r="A60" s="300"/>
      <c r="B60" s="633" t="s">
        <v>1114</v>
      </c>
      <c r="C60" s="292">
        <f>'Unit costs'!O50</f>
        <v>555</v>
      </c>
      <c r="D60" s="128">
        <f>D72+D69</f>
        <v>0</v>
      </c>
      <c r="E60" s="128">
        <f t="shared" ref="E60:I60" si="43">E72+E69</f>
        <v>316.88617769062876</v>
      </c>
      <c r="F60" s="128">
        <f t="shared" si="43"/>
        <v>519.90499145634089</v>
      </c>
      <c r="G60" s="128">
        <f t="shared" si="43"/>
        <v>524.91781528349861</v>
      </c>
      <c r="H60" s="128">
        <f t="shared" si="43"/>
        <v>529.97897179284826</v>
      </c>
      <c r="I60" s="128">
        <f t="shared" si="43"/>
        <v>535.08892699880585</v>
      </c>
      <c r="J60" s="428"/>
      <c r="K60" s="215"/>
      <c r="L60" s="215"/>
      <c r="M60" s="215"/>
      <c r="N60" s="215"/>
      <c r="O60" s="215"/>
      <c r="P60" s="215"/>
      <c r="Q60" s="215"/>
      <c r="R60" s="133"/>
      <c r="S60" s="133"/>
      <c r="T60" s="133"/>
      <c r="U60" s="133"/>
      <c r="V60" s="133"/>
      <c r="W60" s="133"/>
      <c r="X60" s="133"/>
      <c r="Y60" s="133"/>
      <c r="Z60" s="133"/>
      <c r="AJ60" s="285"/>
      <c r="AK60" s="285"/>
      <c r="AL60" s="285"/>
      <c r="AM60" s="285"/>
      <c r="AN60" s="285"/>
    </row>
    <row r="61" spans="1:40">
      <c r="A61" s="300"/>
      <c r="B61" s="633" t="s">
        <v>918</v>
      </c>
      <c r="C61" s="292">
        <f>'Unit costs'!O57</f>
        <v>138</v>
      </c>
      <c r="D61" s="128">
        <f>D77</f>
        <v>2824.74</v>
      </c>
      <c r="E61" s="128">
        <f t="shared" ref="E61:I61" si="44">E77</f>
        <v>1584.4308884531436</v>
      </c>
      <c r="F61" s="128">
        <f t="shared" si="44"/>
        <v>799.85383300975525</v>
      </c>
      <c r="G61" s="128">
        <f t="shared" si="44"/>
        <v>807.56586966692089</v>
      </c>
      <c r="H61" s="128">
        <f t="shared" si="44"/>
        <v>815.35226429668955</v>
      </c>
      <c r="I61" s="128">
        <f t="shared" si="44"/>
        <v>823.21373384431661</v>
      </c>
      <c r="J61" s="428"/>
      <c r="K61" s="215"/>
      <c r="L61" s="215"/>
      <c r="M61" s="215"/>
      <c r="N61" s="215"/>
      <c r="O61" s="215"/>
      <c r="P61" s="215"/>
      <c r="Q61" s="215"/>
      <c r="R61" s="133"/>
      <c r="S61" s="133"/>
      <c r="T61" s="133"/>
      <c r="U61" s="133"/>
      <c r="V61" s="133"/>
      <c r="W61" s="133"/>
      <c r="X61" s="133"/>
      <c r="Y61" s="133"/>
      <c r="Z61" s="133"/>
      <c r="AJ61" s="285"/>
      <c r="AK61" s="285"/>
      <c r="AL61" s="285"/>
      <c r="AM61" s="285"/>
      <c r="AN61" s="285"/>
    </row>
    <row r="62" spans="1:40">
      <c r="A62" s="300"/>
      <c r="B62" s="633" t="s">
        <v>1129</v>
      </c>
      <c r="C62" s="292">
        <f>'Unit costs'!O54</f>
        <v>172</v>
      </c>
      <c r="D62" s="128">
        <f>D75+D78+D70+D73</f>
        <v>549.255</v>
      </c>
      <c r="E62" s="128">
        <f t="shared" ref="E62:I62" si="45">E75+E78+E70+E73</f>
        <v>2772.7540547930016</v>
      </c>
      <c r="F62" s="128">
        <f t="shared" si="45"/>
        <v>4199.2326233012145</v>
      </c>
      <c r="G62" s="128">
        <f t="shared" si="45"/>
        <v>4239.7208157513351</v>
      </c>
      <c r="H62" s="128">
        <f t="shared" si="45"/>
        <v>4280.5993875576205</v>
      </c>
      <c r="I62" s="128">
        <f t="shared" si="45"/>
        <v>4321.8721026826624</v>
      </c>
      <c r="J62" s="428"/>
      <c r="K62" s="215"/>
      <c r="L62" s="215"/>
      <c r="M62" s="215"/>
      <c r="N62" s="215"/>
      <c r="O62" s="215"/>
      <c r="P62" s="215"/>
      <c r="Q62" s="215"/>
      <c r="R62" s="133"/>
      <c r="S62" s="133"/>
      <c r="T62" s="133"/>
      <c r="U62" s="133"/>
      <c r="V62" s="133"/>
      <c r="W62" s="133"/>
      <c r="X62" s="133"/>
      <c r="Y62" s="133"/>
      <c r="Z62" s="133"/>
      <c r="AJ62" s="285"/>
      <c r="AK62" s="285"/>
      <c r="AL62" s="285"/>
      <c r="AM62" s="285"/>
      <c r="AN62" s="285"/>
    </row>
    <row r="63" spans="1:40">
      <c r="A63" s="300"/>
      <c r="B63" s="633" t="s">
        <v>916</v>
      </c>
      <c r="C63" s="292">
        <f>'Unit costs'!O55</f>
        <v>345</v>
      </c>
      <c r="D63" s="128">
        <f>D74+D76+D79+D71</f>
        <v>1647.7650000000001</v>
      </c>
      <c r="E63" s="128">
        <f t="shared" ref="E63:I63" si="46">E74+E76+E79+E71</f>
        <v>8318.2621643790044</v>
      </c>
      <c r="F63" s="128">
        <f t="shared" si="46"/>
        <v>12597.697869903644</v>
      </c>
      <c r="G63" s="128">
        <f t="shared" si="46"/>
        <v>12719.162447254006</v>
      </c>
      <c r="H63" s="128">
        <f t="shared" si="46"/>
        <v>12841.798162672862</v>
      </c>
      <c r="I63" s="128">
        <f t="shared" si="46"/>
        <v>12965.616308047989</v>
      </c>
      <c r="J63" s="428"/>
      <c r="K63" s="215"/>
      <c r="L63" s="215"/>
      <c r="M63" s="215"/>
      <c r="N63" s="215"/>
      <c r="O63" s="215"/>
      <c r="P63" s="215"/>
      <c r="Q63" s="215"/>
      <c r="R63" s="133"/>
      <c r="S63" s="133"/>
      <c r="T63" s="133"/>
      <c r="U63" s="133"/>
      <c r="V63" s="133"/>
      <c r="W63" s="133"/>
      <c r="X63" s="133"/>
      <c r="Y63" s="133"/>
      <c r="Z63" s="133"/>
      <c r="AJ63" s="285"/>
      <c r="AK63" s="285"/>
      <c r="AL63" s="285"/>
      <c r="AM63" s="285"/>
      <c r="AN63" s="285"/>
    </row>
    <row r="64" spans="1:40">
      <c r="A64" s="300"/>
      <c r="B64" s="322"/>
      <c r="C64" s="322"/>
      <c r="D64" s="186">
        <f t="shared" ref="D64:I64" si="47">SUM(D60:D63)</f>
        <v>5021.76</v>
      </c>
      <c r="E64" s="186">
        <f t="shared" si="47"/>
        <v>12992.333285315777</v>
      </c>
      <c r="F64" s="186">
        <f t="shared" si="47"/>
        <v>18116.689317670956</v>
      </c>
      <c r="G64" s="186">
        <f t="shared" si="47"/>
        <v>18291.366947955761</v>
      </c>
      <c r="H64" s="186">
        <f t="shared" si="47"/>
        <v>18467.728786320018</v>
      </c>
      <c r="I64" s="186">
        <f t="shared" si="47"/>
        <v>18645.791071573774</v>
      </c>
      <c r="J64" s="428"/>
      <c r="K64" s="215"/>
      <c r="L64" s="215"/>
      <c r="M64" s="215"/>
      <c r="N64" s="215"/>
      <c r="O64" s="215"/>
      <c r="P64" s="215"/>
      <c r="Q64" s="215"/>
      <c r="R64" s="133"/>
      <c r="S64" s="133"/>
      <c r="T64" s="133"/>
      <c r="U64" s="133"/>
      <c r="V64" s="133"/>
      <c r="W64" s="133"/>
      <c r="X64" s="133"/>
      <c r="Y64" s="133"/>
      <c r="Z64" s="133"/>
      <c r="AJ64" s="285"/>
      <c r="AK64" s="285"/>
      <c r="AL64" s="285"/>
      <c r="AM64" s="285"/>
      <c r="AN64" s="285"/>
    </row>
    <row r="65" spans="1:40">
      <c r="A65" s="300"/>
      <c r="B65" s="257"/>
      <c r="C65" s="257"/>
      <c r="D65" s="284" t="s">
        <v>746</v>
      </c>
      <c r="E65" s="186">
        <f>E64-D64</f>
        <v>7970.573285315777</v>
      </c>
      <c r="F65" s="186">
        <f>F64-$D$64</f>
        <v>13094.929317670956</v>
      </c>
      <c r="G65" s="186">
        <f>G64-$D$64</f>
        <v>13269.606947955761</v>
      </c>
      <c r="H65" s="186">
        <f>H64-$D$64</f>
        <v>13445.968786320018</v>
      </c>
      <c r="I65" s="186">
        <f>I64-$D$64</f>
        <v>13624.031071573774</v>
      </c>
      <c r="J65" s="428"/>
      <c r="K65" s="215"/>
      <c r="L65" s="215"/>
      <c r="M65" s="215"/>
      <c r="N65" s="215"/>
      <c r="O65" s="215"/>
      <c r="P65" s="215"/>
      <c r="Q65" s="215"/>
      <c r="R65" s="133"/>
      <c r="S65" s="133"/>
      <c r="T65" s="133"/>
      <c r="U65" s="133"/>
      <c r="V65" s="133"/>
      <c r="W65" s="133"/>
      <c r="X65" s="133"/>
      <c r="Y65" s="133"/>
      <c r="Z65" s="133"/>
      <c r="AJ65" s="285"/>
      <c r="AK65" s="285"/>
      <c r="AL65" s="285"/>
      <c r="AM65" s="285"/>
      <c r="AN65" s="285"/>
    </row>
    <row r="66" spans="1:40">
      <c r="A66" s="295"/>
      <c r="B66" s="321"/>
      <c r="C66" s="298"/>
      <c r="D66" s="297"/>
      <c r="E66" s="298"/>
      <c r="F66" s="299"/>
      <c r="G66" s="295"/>
      <c r="H66" s="215"/>
      <c r="I66" s="215"/>
      <c r="J66" s="215"/>
      <c r="K66" s="215"/>
      <c r="L66" s="215"/>
      <c r="M66" s="215"/>
      <c r="N66" s="215"/>
      <c r="O66" s="215"/>
      <c r="P66" s="215"/>
      <c r="Q66" s="215"/>
      <c r="R66" s="133"/>
      <c r="S66" s="133"/>
      <c r="T66" s="133"/>
      <c r="U66" s="133"/>
      <c r="V66" s="133"/>
      <c r="W66" s="133"/>
      <c r="X66" s="133"/>
      <c r="Y66" s="133"/>
      <c r="Z66" s="133"/>
      <c r="AJ66" s="285"/>
      <c r="AK66" s="285"/>
      <c r="AL66" s="285"/>
      <c r="AM66" s="285"/>
      <c r="AN66" s="285"/>
    </row>
    <row r="67" spans="1:40">
      <c r="A67" s="300"/>
      <c r="B67" s="386" t="s">
        <v>747</v>
      </c>
      <c r="C67" s="387"/>
      <c r="D67" s="387"/>
      <c r="E67" s="387"/>
      <c r="F67" s="387"/>
      <c r="G67" s="387"/>
      <c r="H67" s="387"/>
      <c r="I67" s="387"/>
      <c r="J67" s="428"/>
      <c r="K67" s="215"/>
      <c r="L67" s="215"/>
      <c r="M67" s="215"/>
      <c r="N67" s="215"/>
      <c r="O67" s="215"/>
      <c r="P67" s="215"/>
      <c r="Q67" s="215"/>
      <c r="R67" s="133"/>
      <c r="S67" s="133"/>
      <c r="T67" s="133"/>
      <c r="U67" s="133"/>
      <c r="V67" s="133"/>
      <c r="W67" s="133"/>
      <c r="X67" s="133"/>
      <c r="Y67" s="133"/>
      <c r="Z67" s="133"/>
      <c r="AJ67" s="285"/>
      <c r="AK67" s="285"/>
      <c r="AL67" s="285"/>
      <c r="AM67" s="285"/>
      <c r="AN67" s="285"/>
    </row>
    <row r="68" spans="1:40" ht="43.5">
      <c r="A68" s="300"/>
      <c r="B68" s="319" t="s">
        <v>125</v>
      </c>
      <c r="C68" s="165" t="s">
        <v>748</v>
      </c>
      <c r="D68" s="422" t="s">
        <v>736</v>
      </c>
      <c r="E68" s="256" t="s">
        <v>51</v>
      </c>
      <c r="F68" s="256" t="s">
        <v>52</v>
      </c>
      <c r="G68" s="164" t="s">
        <v>737</v>
      </c>
      <c r="H68" s="164" t="s">
        <v>738</v>
      </c>
      <c r="I68" s="256" t="s">
        <v>739</v>
      </c>
      <c r="J68" s="428"/>
      <c r="K68" s="215"/>
      <c r="L68" s="215"/>
      <c r="M68" s="215"/>
      <c r="N68" s="215"/>
      <c r="O68" s="215"/>
      <c r="P68" s="215"/>
      <c r="Q68" s="215"/>
      <c r="R68" s="133"/>
      <c r="V68" s="133"/>
      <c r="AJ68" s="285"/>
      <c r="AK68" s="285"/>
      <c r="AL68" s="285"/>
      <c r="AM68" s="285"/>
      <c r="AN68" s="285"/>
    </row>
    <row r="69" spans="1:40" ht="13.9" customHeight="1">
      <c r="A69" s="300"/>
      <c r="B69" s="350" t="s">
        <v>1125</v>
      </c>
      <c r="C69" s="805">
        <f>'Unit costs'!D46</f>
        <v>1</v>
      </c>
      <c r="D69" s="128">
        <f>D$7*'Inputs and eligible population'!E64*$C$69</f>
        <v>0</v>
      </c>
      <c r="E69" s="128">
        <f>E$7*'Inputs and eligible population'!F64*$C$69</f>
        <v>158.44308884531438</v>
      </c>
      <c r="F69" s="128">
        <f>F$7*'Inputs and eligible population'!G64*$C$69</f>
        <v>259.95249572817045</v>
      </c>
      <c r="G69" s="128">
        <f>G$7*'Inputs and eligible population'!H64*$C$69</f>
        <v>262.45890764174931</v>
      </c>
      <c r="H69" s="128">
        <f>H$7*'Inputs and eligible population'!I64*$C$69</f>
        <v>264.98948589642413</v>
      </c>
      <c r="I69" s="128">
        <f>I$7*'Inputs and eligible population'!J64*$C$69</f>
        <v>267.54446349940292</v>
      </c>
      <c r="J69" s="428"/>
      <c r="K69" s="215"/>
      <c r="L69" s="215"/>
      <c r="M69" s="215"/>
      <c r="N69" s="215"/>
      <c r="O69" s="215"/>
      <c r="P69" s="215"/>
      <c r="Q69" s="215"/>
      <c r="R69" s="133"/>
      <c r="V69" s="133"/>
      <c r="AJ69" s="285"/>
      <c r="AK69" s="285"/>
      <c r="AL69" s="285"/>
      <c r="AM69" s="285"/>
      <c r="AN69" s="285"/>
    </row>
    <row r="70" spans="1:40">
      <c r="A70" s="300"/>
      <c r="B70" s="350" t="s">
        <v>1126</v>
      </c>
      <c r="C70" s="806">
        <f>'Unit costs'!D47</f>
        <v>8.5</v>
      </c>
      <c r="D70" s="799">
        <f>D$7*'Inputs and eligible population'!E64*$C$70</f>
        <v>0</v>
      </c>
      <c r="E70" s="128">
        <f>E$7*'Inputs and eligible population'!F64*$C$70</f>
        <v>1346.7662551851722</v>
      </c>
      <c r="F70" s="128">
        <f>F$7*'Inputs and eligible population'!G64*$C$70</f>
        <v>2209.5962136894486</v>
      </c>
      <c r="G70" s="128">
        <f>G$7*'Inputs and eligible population'!H64*$C$70</f>
        <v>2230.9007149548693</v>
      </c>
      <c r="H70" s="128">
        <f>H$7*'Inputs and eligible population'!I64*$C$70</f>
        <v>2252.4106301196052</v>
      </c>
      <c r="I70" s="128">
        <f>I$7*'Inputs and eligible population'!J64*$C$70</f>
        <v>2274.1279397449248</v>
      </c>
      <c r="J70" s="428"/>
      <c r="K70" s="215"/>
      <c r="L70" s="215"/>
      <c r="M70" s="215"/>
      <c r="N70" s="215"/>
      <c r="O70" s="215"/>
      <c r="P70" s="215"/>
      <c r="Q70" s="215"/>
      <c r="R70" s="133"/>
      <c r="V70" s="133"/>
      <c r="AJ70" s="285"/>
      <c r="AK70" s="285"/>
      <c r="AL70" s="285"/>
      <c r="AM70" s="285"/>
      <c r="AN70" s="285"/>
    </row>
    <row r="71" spans="1:40">
      <c r="A71" s="300"/>
      <c r="B71" s="350" t="s">
        <v>1191</v>
      </c>
      <c r="C71" s="806">
        <f>'Unit costs'!D48</f>
        <v>25.5</v>
      </c>
      <c r="D71" s="128">
        <f>D$7*'Inputs and eligible population'!E64*$C$71</f>
        <v>0</v>
      </c>
      <c r="E71" s="128">
        <f>E$7*'Inputs and eligible population'!F64*$C$71</f>
        <v>4040.2987655555166</v>
      </c>
      <c r="F71" s="128">
        <f>F$7*'Inputs and eligible population'!G64*$C$71</f>
        <v>6628.7886410683468</v>
      </c>
      <c r="G71" s="128">
        <f>G$7*'Inputs and eligible population'!H64*$C$71</f>
        <v>6692.7021448646074</v>
      </c>
      <c r="H71" s="128">
        <f>H$7*'Inputs and eligible population'!I64*$C$71</f>
        <v>6757.2318903588157</v>
      </c>
      <c r="I71" s="128">
        <f>I$7*'Inputs and eligible population'!J64*$C$71</f>
        <v>6822.3838192347748</v>
      </c>
      <c r="J71" s="428"/>
      <c r="K71" s="215"/>
      <c r="L71" s="215"/>
      <c r="M71" s="215"/>
      <c r="N71" s="215"/>
      <c r="O71" s="215"/>
      <c r="P71" s="215"/>
      <c r="Q71" s="215"/>
      <c r="R71" s="133"/>
      <c r="V71" s="133"/>
      <c r="AJ71" s="285"/>
      <c r="AK71" s="285"/>
      <c r="AL71" s="285"/>
      <c r="AM71" s="285"/>
      <c r="AN71" s="285"/>
    </row>
    <row r="72" spans="1:40">
      <c r="A72" s="300"/>
      <c r="B72" s="350" t="s">
        <v>1093</v>
      </c>
      <c r="C72" s="806">
        <f>'Unit costs'!K16</f>
        <v>1</v>
      </c>
      <c r="D72" s="128">
        <f>D$7*'Inputs and eligible population'!E65*$C$72</f>
        <v>0</v>
      </c>
      <c r="E72" s="128">
        <f>E$7*'Inputs and eligible population'!F65*$C$72</f>
        <v>158.44308884531438</v>
      </c>
      <c r="F72" s="128">
        <f>F$7*'Inputs and eligible population'!G65*$C$72</f>
        <v>259.95249572817045</v>
      </c>
      <c r="G72" s="128">
        <f>G$7*'Inputs and eligible population'!H65*$C$72</f>
        <v>262.45890764174931</v>
      </c>
      <c r="H72" s="128">
        <f>H$7*'Inputs and eligible population'!I65*$C$72</f>
        <v>264.98948589642413</v>
      </c>
      <c r="I72" s="128">
        <f>I$7*'Inputs and eligible population'!J65*$C$72</f>
        <v>267.54446349940292</v>
      </c>
      <c r="J72" s="428"/>
      <c r="K72" s="215"/>
      <c r="L72" s="215"/>
      <c r="M72" s="215"/>
      <c r="N72" s="215"/>
      <c r="O72" s="215"/>
      <c r="P72" s="215"/>
      <c r="Q72" s="215"/>
      <c r="R72" s="133"/>
      <c r="V72" s="133"/>
      <c r="AJ72" s="285"/>
      <c r="AK72" s="285"/>
      <c r="AL72" s="285"/>
      <c r="AM72" s="285"/>
      <c r="AN72" s="285"/>
    </row>
    <row r="73" spans="1:40">
      <c r="A73" s="300"/>
      <c r="B73" s="350" t="s">
        <v>1190</v>
      </c>
      <c r="C73" s="806">
        <f>'Unit costs'!K18</f>
        <v>5.5</v>
      </c>
      <c r="D73" s="128">
        <f>D$7*'Inputs and eligible population'!E65*$C$73</f>
        <v>0</v>
      </c>
      <c r="E73" s="128">
        <f>E$7*'Inputs and eligible population'!F65*$C$73</f>
        <v>871.43698864922908</v>
      </c>
      <c r="F73" s="128">
        <f>F$7*'Inputs and eligible population'!G65*$C$73</f>
        <v>1429.7387265049374</v>
      </c>
      <c r="G73" s="128">
        <f>G$7*'Inputs and eligible population'!H65*$C$73</f>
        <v>1443.5239920296212</v>
      </c>
      <c r="H73" s="128">
        <f>H$7*'Inputs and eligible population'!I65*$C$73</f>
        <v>1457.4421724303327</v>
      </c>
      <c r="I73" s="128">
        <f>I$7*'Inputs and eligible population'!J65*$C$73</f>
        <v>1471.4945492467161</v>
      </c>
      <c r="J73" s="428"/>
      <c r="K73" s="215"/>
      <c r="L73" s="215"/>
      <c r="M73" s="215"/>
      <c r="N73" s="215"/>
      <c r="O73" s="215"/>
      <c r="P73" s="215"/>
      <c r="Q73" s="215"/>
      <c r="R73" s="133"/>
      <c r="V73" s="133"/>
      <c r="AJ73" s="285"/>
      <c r="AK73" s="285"/>
      <c r="AL73" s="285"/>
      <c r="AM73" s="285"/>
      <c r="AN73" s="285"/>
    </row>
    <row r="74" spans="1:40">
      <c r="A74" s="300"/>
      <c r="B74" s="350" t="s">
        <v>1094</v>
      </c>
      <c r="C74" s="806">
        <f>'Unit costs'!K18*'Unit costs'!J18-'Capacity (local prices)'!C73</f>
        <v>16.5</v>
      </c>
      <c r="D74" s="128">
        <f>D$7*'Inputs and eligible population'!E65*$C$74</f>
        <v>0</v>
      </c>
      <c r="E74" s="128">
        <f>E$7*'Inputs and eligible population'!F65*$C$74</f>
        <v>2614.3109659476872</v>
      </c>
      <c r="F74" s="128">
        <f>F$7*'Inputs and eligible population'!G65*$C$74</f>
        <v>4289.2161795148122</v>
      </c>
      <c r="G74" s="128">
        <f>G$7*'Inputs and eligible population'!H65*$C$74</f>
        <v>4330.5719760888633</v>
      </c>
      <c r="H74" s="128">
        <f>H$7*'Inputs and eligible population'!I65*$C$74</f>
        <v>4372.3265172909978</v>
      </c>
      <c r="I74" s="128">
        <f>I$7*'Inputs and eligible population'!J65*$C$74</f>
        <v>4414.4836477401486</v>
      </c>
      <c r="J74" s="428"/>
      <c r="K74" s="215"/>
      <c r="L74" s="215"/>
      <c r="M74" s="215"/>
      <c r="N74" s="215"/>
      <c r="O74" s="215"/>
      <c r="P74" s="215"/>
      <c r="Q74" s="215"/>
      <c r="R74" s="133"/>
      <c r="V74" s="133"/>
      <c r="AJ74" s="285"/>
      <c r="AK74" s="285"/>
      <c r="AL74" s="285"/>
      <c r="AM74" s="285"/>
      <c r="AN74" s="285"/>
    </row>
    <row r="75" spans="1:40">
      <c r="A75" s="300"/>
      <c r="B75" s="349" t="s">
        <v>1010</v>
      </c>
      <c r="C75" s="806">
        <f>'Unit costs'!K24</f>
        <v>7</v>
      </c>
      <c r="D75" s="128">
        <f>D$7*'Inputs and eligible population'!$E$66*$C$75</f>
        <v>549.255</v>
      </c>
      <c r="E75" s="128">
        <f>E$7*'Inputs and eligible population'!$E$66*$C$75</f>
        <v>554.55081095860032</v>
      </c>
      <c r="F75" s="128">
        <f>F$7*'Inputs and eligible population'!$E$66*$C$75</f>
        <v>559.89768310682871</v>
      </c>
      <c r="G75" s="128">
        <f>G$7*'Inputs and eligible population'!$E$66*$C$75</f>
        <v>565.29610876684467</v>
      </c>
      <c r="H75" s="128">
        <f>H$7*'Inputs and eligible population'!$E$66*$C$75</f>
        <v>570.74658500768282</v>
      </c>
      <c r="I75" s="128">
        <f>I$7*'Inputs and eligible population'!$E$66*$C$75</f>
        <v>576.24961369102164</v>
      </c>
      <c r="J75" s="428"/>
      <c r="K75" s="215"/>
      <c r="L75" s="215"/>
      <c r="M75" s="215"/>
      <c r="N75" s="215"/>
      <c r="O75" s="215"/>
      <c r="P75" s="215"/>
      <c r="Q75" s="215"/>
      <c r="R75" s="133"/>
      <c r="V75" s="133"/>
      <c r="AJ75" s="285"/>
      <c r="AK75" s="285"/>
      <c r="AL75" s="285"/>
      <c r="AM75" s="285"/>
      <c r="AN75" s="285"/>
    </row>
    <row r="76" spans="1:40">
      <c r="A76" s="300"/>
      <c r="B76" s="634" t="s">
        <v>1011</v>
      </c>
      <c r="C76" s="806">
        <f>'Unit costs'!K25*'Unit costs'!J25-'Capacity (local prices)'!C75</f>
        <v>21</v>
      </c>
      <c r="D76" s="128">
        <f>D$7*'Inputs and eligible population'!E66*$C$76</f>
        <v>1647.7650000000001</v>
      </c>
      <c r="E76" s="128">
        <f>E$7*'Inputs and eligible population'!F66*$C$76</f>
        <v>1663.652432875801</v>
      </c>
      <c r="F76" s="128">
        <f>F$7*'Inputs and eligible population'!G66*$C$76</f>
        <v>1679.6930493204861</v>
      </c>
      <c r="G76" s="128">
        <f>G$7*'Inputs and eligible population'!H66*$C$76</f>
        <v>1695.8883263005341</v>
      </c>
      <c r="H76" s="128">
        <f>H$7*'Inputs and eligible population'!I66*$C$76</f>
        <v>1712.2397550230482</v>
      </c>
      <c r="I76" s="128">
        <f>I$7*'Inputs and eligible population'!J66*$C$76</f>
        <v>1728.748841073065</v>
      </c>
      <c r="J76" s="215"/>
      <c r="K76" s="215"/>
      <c r="L76" s="215"/>
      <c r="M76" s="215"/>
      <c r="N76" s="215"/>
      <c r="O76" s="215"/>
      <c r="P76" s="215"/>
      <c r="Q76" s="215"/>
      <c r="R76" s="133"/>
      <c r="V76" s="133"/>
      <c r="AJ76" s="285"/>
      <c r="AK76" s="285"/>
      <c r="AL76" s="285"/>
      <c r="AM76" s="285"/>
      <c r="AN76" s="285"/>
    </row>
    <row r="77" spans="1:40">
      <c r="A77" s="300"/>
      <c r="B77" s="634" t="s">
        <v>1012</v>
      </c>
      <c r="C77" s="806">
        <f>'Unit costs'!K29</f>
        <v>4</v>
      </c>
      <c r="D77" s="128">
        <f>D$7*'Inputs and eligible population'!E67*$C$77</f>
        <v>2824.74</v>
      </c>
      <c r="E77" s="128">
        <f>E$7*'Inputs and eligible population'!F67*$C$77</f>
        <v>1584.4308884531436</v>
      </c>
      <c r="F77" s="128">
        <f>F$7*'Inputs and eligible population'!G67*$C$77</f>
        <v>799.85383300975525</v>
      </c>
      <c r="G77" s="128">
        <f>G$7*'Inputs and eligible population'!H67*$C$77</f>
        <v>807.56586966692089</v>
      </c>
      <c r="H77" s="128">
        <f>H$7*'Inputs and eligible population'!I67*$C$77</f>
        <v>815.35226429668955</v>
      </c>
      <c r="I77" s="128">
        <f>I$7*'Inputs and eligible population'!J67*$C$77</f>
        <v>823.21373384431661</v>
      </c>
      <c r="J77" s="215"/>
      <c r="K77" s="215"/>
      <c r="L77" s="215"/>
      <c r="M77" s="215"/>
      <c r="N77" s="215"/>
      <c r="O77" s="215"/>
      <c r="P77" s="215"/>
      <c r="Q77" s="215"/>
      <c r="R77" s="133"/>
      <c r="V77" s="133"/>
      <c r="AJ77" s="285"/>
      <c r="AK77" s="285"/>
      <c r="AL77" s="285"/>
      <c r="AM77" s="285"/>
      <c r="AN77" s="285"/>
    </row>
    <row r="78" spans="1:40">
      <c r="A78" s="300"/>
      <c r="B78" s="350" t="s">
        <v>1127</v>
      </c>
      <c r="C78" s="806">
        <f>'Unit costs'!D59</f>
        <v>6</v>
      </c>
      <c r="D78" s="128">
        <f>D$7*'Inputs and eligible population'!E68*$C$78</f>
        <v>0</v>
      </c>
      <c r="E78" s="128">
        <f>E$7*'Inputs and eligible population'!F68*$C$78</f>
        <v>0</v>
      </c>
      <c r="F78" s="128">
        <f>F$7*'Inputs and eligible population'!G68*$C$78</f>
        <v>0</v>
      </c>
      <c r="G78" s="128">
        <f>G$7*'Inputs and eligible population'!H68*$C$78</f>
        <v>0</v>
      </c>
      <c r="H78" s="128">
        <f>H$7*'Inputs and eligible population'!I68*$C$78</f>
        <v>0</v>
      </c>
      <c r="I78" s="128">
        <f>I$7*'Inputs and eligible population'!J68*$C$78</f>
        <v>0</v>
      </c>
      <c r="J78" s="215"/>
      <c r="K78" s="215"/>
      <c r="L78" s="215"/>
      <c r="M78" s="215"/>
      <c r="N78" s="215"/>
      <c r="O78" s="215"/>
      <c r="P78" s="215"/>
      <c r="Q78" s="215"/>
      <c r="R78" s="133"/>
      <c r="V78" s="133"/>
      <c r="AJ78" s="285"/>
      <c r="AK78" s="285"/>
      <c r="AL78" s="285"/>
      <c r="AM78" s="285"/>
      <c r="AN78" s="285"/>
    </row>
    <row r="79" spans="1:40">
      <c r="A79" s="300"/>
      <c r="B79" s="350" t="s">
        <v>1128</v>
      </c>
      <c r="C79" s="806">
        <f>'Unit costs'!D60</f>
        <v>10</v>
      </c>
      <c r="D79" s="128">
        <f>D$7*'Inputs and eligible population'!E68*$C$79</f>
        <v>0</v>
      </c>
      <c r="E79" s="128">
        <f>E$7*'Inputs and eligible population'!F68*$C$79</f>
        <v>0</v>
      </c>
      <c r="F79" s="128">
        <f>F$7*'Inputs and eligible population'!G68*$C$79</f>
        <v>0</v>
      </c>
      <c r="G79" s="128">
        <f>G$7*'Inputs and eligible population'!H68*$C$79</f>
        <v>0</v>
      </c>
      <c r="H79" s="128">
        <f>H$7*'Inputs and eligible population'!I68*$C$79</f>
        <v>0</v>
      </c>
      <c r="I79" s="128">
        <f>I$7*'Inputs and eligible population'!J68*$C$79</f>
        <v>0</v>
      </c>
      <c r="J79" s="215"/>
      <c r="K79" s="215"/>
      <c r="L79" s="215"/>
      <c r="M79" s="215"/>
      <c r="N79" s="215"/>
      <c r="O79" s="215"/>
      <c r="P79" s="215"/>
      <c r="Q79" s="215"/>
      <c r="R79" s="133"/>
      <c r="V79" s="133"/>
      <c r="AJ79" s="285"/>
      <c r="AK79" s="285"/>
      <c r="AL79" s="285"/>
      <c r="AM79" s="285"/>
      <c r="AN79" s="285"/>
    </row>
    <row r="80" spans="1:40">
      <c r="A80" s="300"/>
      <c r="B80" s="322"/>
      <c r="C80" s="322"/>
      <c r="D80" s="186">
        <f>SUM(D69:D79)</f>
        <v>5021.76</v>
      </c>
      <c r="E80" s="186">
        <f t="shared" ref="E80:I80" si="48">SUM(E69:E79)</f>
        <v>12992.333285315779</v>
      </c>
      <c r="F80" s="186">
        <f t="shared" si="48"/>
        <v>18116.689317670956</v>
      </c>
      <c r="G80" s="186">
        <f t="shared" si="48"/>
        <v>18291.366947955757</v>
      </c>
      <c r="H80" s="186">
        <f t="shared" si="48"/>
        <v>18467.728786320018</v>
      </c>
      <c r="I80" s="186">
        <f t="shared" si="48"/>
        <v>18645.791071573774</v>
      </c>
      <c r="J80" s="295"/>
      <c r="K80" s="295"/>
      <c r="L80" s="295"/>
      <c r="M80" s="295"/>
      <c r="N80" s="295"/>
      <c r="O80" s="295"/>
      <c r="P80" s="295"/>
      <c r="Q80" s="295"/>
      <c r="R80" s="133"/>
      <c r="V80" s="133"/>
      <c r="AJ80" s="285"/>
      <c r="AK80" s="285"/>
      <c r="AL80" s="285"/>
      <c r="AM80" s="285"/>
      <c r="AN80" s="285"/>
    </row>
    <row r="81" spans="1:40">
      <c r="A81" s="300"/>
      <c r="B81" s="257"/>
      <c r="C81" s="257"/>
      <c r="D81" s="284" t="s">
        <v>749</v>
      </c>
      <c r="E81" s="186">
        <f>E80-$D$80</f>
        <v>7970.5732853157788</v>
      </c>
      <c r="F81" s="186">
        <f>F80-$D$80</f>
        <v>13094.929317670956</v>
      </c>
      <c r="G81" s="186">
        <f>G80-$D$80</f>
        <v>13269.606947955757</v>
      </c>
      <c r="H81" s="186">
        <f>H80-$D$80</f>
        <v>13445.968786320018</v>
      </c>
      <c r="I81" s="186">
        <f>I80-$D$80</f>
        <v>13624.031071573774</v>
      </c>
      <c r="J81" s="295"/>
      <c r="K81" s="295"/>
      <c r="L81" s="295"/>
      <c r="M81" s="295"/>
      <c r="N81" s="295"/>
      <c r="O81" s="295"/>
      <c r="P81" s="295"/>
      <c r="Q81" s="295"/>
      <c r="R81" s="133"/>
      <c r="S81" s="133"/>
      <c r="T81" s="133"/>
      <c r="U81" s="133"/>
      <c r="V81" s="133"/>
      <c r="W81" s="133"/>
      <c r="X81" s="133"/>
      <c r="Y81" s="133"/>
      <c r="Z81" s="133"/>
      <c r="AJ81" s="285"/>
      <c r="AK81" s="285"/>
      <c r="AL81" s="285"/>
      <c r="AM81" s="285"/>
      <c r="AN81" s="285"/>
    </row>
    <row r="82" spans="1:40">
      <c r="A82" s="295"/>
      <c r="B82" s="321"/>
      <c r="C82" s="298"/>
      <c r="D82" s="298"/>
      <c r="E82" s="299"/>
      <c r="F82" s="295"/>
      <c r="G82" s="295"/>
      <c r="H82" s="215"/>
      <c r="I82" s="215"/>
      <c r="J82" s="215"/>
      <c r="K82" s="215"/>
      <c r="L82" s="215"/>
      <c r="M82" s="215"/>
      <c r="N82" s="215"/>
      <c r="O82" s="215"/>
      <c r="P82" s="215"/>
      <c r="Q82" s="215"/>
      <c r="R82" s="133"/>
      <c r="S82" s="133"/>
      <c r="T82" s="133"/>
      <c r="U82" s="133"/>
      <c r="V82" s="133"/>
      <c r="W82" s="133"/>
      <c r="X82" s="133"/>
      <c r="Y82" s="133"/>
      <c r="Z82" s="133"/>
      <c r="AJ82" s="285"/>
      <c r="AK82" s="285"/>
      <c r="AL82" s="285"/>
      <c r="AM82" s="285"/>
      <c r="AN82" s="285"/>
    </row>
    <row r="83" spans="1:40">
      <c r="A83" s="286"/>
      <c r="B83" s="323" t="s">
        <v>750</v>
      </c>
      <c r="C83" s="301"/>
      <c r="D83" s="301"/>
      <c r="E83" s="302"/>
      <c r="F83" s="303"/>
      <c r="G83" s="304"/>
      <c r="H83" s="304"/>
      <c r="I83" s="304"/>
      <c r="J83" s="433"/>
      <c r="K83" s="286"/>
      <c r="L83" s="286"/>
      <c r="M83" s="286"/>
      <c r="N83" s="286"/>
      <c r="O83" s="286"/>
      <c r="P83" s="286"/>
      <c r="Q83" s="217"/>
      <c r="R83" s="133"/>
      <c r="V83" s="133"/>
    </row>
    <row r="84" spans="1:40">
      <c r="A84" s="286"/>
      <c r="B84" s="388" t="s">
        <v>751</v>
      </c>
      <c r="C84" s="389"/>
      <c r="D84" s="389"/>
      <c r="E84" s="389"/>
      <c r="F84" s="389"/>
      <c r="G84" s="389"/>
      <c r="H84" s="389"/>
      <c r="I84" s="216"/>
      <c r="J84" s="430"/>
      <c r="K84" s="217"/>
      <c r="L84" s="429"/>
      <c r="M84" s="429"/>
      <c r="N84" s="429"/>
      <c r="O84" s="429"/>
      <c r="P84" s="429"/>
      <c r="Q84" s="429"/>
      <c r="R84" s="133"/>
      <c r="V84" s="133"/>
    </row>
    <row r="85" spans="1:40" ht="74.650000000000006" customHeight="1">
      <c r="A85" s="286"/>
      <c r="B85" s="281" t="s">
        <v>125</v>
      </c>
      <c r="C85" s="165" t="s">
        <v>752</v>
      </c>
      <c r="D85" s="422" t="s">
        <v>736</v>
      </c>
      <c r="E85" s="256" t="s">
        <v>51</v>
      </c>
      <c r="F85" s="256" t="s">
        <v>52</v>
      </c>
      <c r="G85" s="164" t="s">
        <v>737</v>
      </c>
      <c r="H85" s="164" t="s">
        <v>738</v>
      </c>
      <c r="I85" s="256" t="s">
        <v>739</v>
      </c>
      <c r="J85" s="286"/>
      <c r="K85" s="668" t="s">
        <v>976</v>
      </c>
      <c r="L85" s="422" t="s">
        <v>736</v>
      </c>
      <c r="M85" s="534" t="s">
        <v>51</v>
      </c>
      <c r="N85" s="534" t="s">
        <v>52</v>
      </c>
      <c r="O85" s="423" t="s">
        <v>737</v>
      </c>
      <c r="P85" s="423" t="s">
        <v>738</v>
      </c>
      <c r="Q85" s="534" t="s">
        <v>739</v>
      </c>
      <c r="R85" s="133"/>
      <c r="V85" s="133"/>
    </row>
    <row r="86" spans="1:40" ht="14.5" customHeight="1">
      <c r="A86" s="286"/>
      <c r="B86" s="350" t="s">
        <v>1112</v>
      </c>
      <c r="C86" s="149">
        <f>'Inputs and eligible population'!F83</f>
        <v>10</v>
      </c>
      <c r="D86" s="128">
        <f t="shared" ref="D86:I86" si="49">((D69+D70+D71)*$C$86)/60</f>
        <v>0</v>
      </c>
      <c r="E86" s="128">
        <f t="shared" si="49"/>
        <v>924.25135159766728</v>
      </c>
      <c r="F86" s="128">
        <f t="shared" si="49"/>
        <v>1516.3895584143277</v>
      </c>
      <c r="G86" s="128">
        <f t="shared" si="49"/>
        <v>1531.010294576871</v>
      </c>
      <c r="H86" s="128">
        <f t="shared" si="49"/>
        <v>1545.7720010624739</v>
      </c>
      <c r="I86" s="128">
        <f t="shared" si="49"/>
        <v>1560.6760370798506</v>
      </c>
      <c r="J86" s="286"/>
      <c r="K86" s="669">
        <f>'Inputs and eligible population'!$M$83</f>
        <v>42.15</v>
      </c>
      <c r="L86" s="292">
        <f>(D86*'Inputs and eligible population'!$M$83)/1000</f>
        <v>0</v>
      </c>
      <c r="M86" s="292">
        <f>(E86*'Inputs and eligible population'!$M$83)/1000</f>
        <v>38.957194469841674</v>
      </c>
      <c r="N86" s="292">
        <f>(F86*'Inputs and eligible population'!$M$83)/1000</f>
        <v>63.915819887163913</v>
      </c>
      <c r="O86" s="292">
        <f>(G86*'Inputs and eligible population'!$M$83)/1000</f>
        <v>64.532083916415118</v>
      </c>
      <c r="P86" s="292">
        <f>(H86*'Inputs and eligible population'!$M$83)/1000</f>
        <v>65.154289844783264</v>
      </c>
      <c r="Q86" s="292">
        <f>(I86*'Inputs and eligible population'!$M$83)/1000</f>
        <v>65.782494962915706</v>
      </c>
      <c r="R86" s="133"/>
      <c r="V86" s="133"/>
    </row>
    <row r="87" spans="1:40">
      <c r="A87" s="286"/>
      <c r="B87" s="350" t="s">
        <v>1142</v>
      </c>
      <c r="C87" s="149">
        <f>'Inputs and eligible population'!G83</f>
        <v>10</v>
      </c>
      <c r="D87" s="128">
        <f>((D72+D73+D74)*$C$87)/60</f>
        <v>0</v>
      </c>
      <c r="E87" s="128">
        <f t="shared" ref="E87:I87" si="50">((E72+E73+E74)*$C$87)/60</f>
        <v>607.36517390703852</v>
      </c>
      <c r="F87" s="128">
        <f t="shared" si="50"/>
        <v>996.48456695798666</v>
      </c>
      <c r="G87" s="128">
        <f t="shared" si="50"/>
        <v>1006.0924792933723</v>
      </c>
      <c r="H87" s="128">
        <f t="shared" si="50"/>
        <v>1015.7930292696258</v>
      </c>
      <c r="I87" s="128">
        <f t="shared" si="50"/>
        <v>1025.5871100810446</v>
      </c>
      <c r="J87" s="286"/>
      <c r="K87" s="669">
        <f>'Inputs and eligible population'!$M$83</f>
        <v>42.15</v>
      </c>
      <c r="L87" s="292">
        <f>(D87*'Inputs and eligible population'!$M$83)/1000</f>
        <v>0</v>
      </c>
      <c r="M87" s="292">
        <f>(E87*'Inputs and eligible population'!$M$83)/1000</f>
        <v>25.600442080181676</v>
      </c>
      <c r="N87" s="292">
        <f>(F87*'Inputs and eligible population'!$M$83)/1000</f>
        <v>42.001824497279138</v>
      </c>
      <c r="O87" s="292">
        <f>(G87*'Inputs and eligible population'!$M$83)/1000</f>
        <v>42.406798002215638</v>
      </c>
      <c r="P87" s="292">
        <f>(H87*'Inputs and eligible population'!$M$83)/1000</f>
        <v>42.815676183714729</v>
      </c>
      <c r="Q87" s="292">
        <f>(I87*'Inputs and eligible population'!$M$83)/1000</f>
        <v>43.228496689916028</v>
      </c>
      <c r="S87" s="133"/>
      <c r="T87" s="133"/>
      <c r="U87" s="133"/>
      <c r="V87" s="133"/>
      <c r="W87" s="133"/>
      <c r="X87" s="133"/>
      <c r="Y87" s="133"/>
      <c r="Z87" s="133"/>
      <c r="AJ87" s="285"/>
      <c r="AK87" s="285"/>
      <c r="AL87" s="285"/>
      <c r="AM87" s="285"/>
      <c r="AN87" s="285"/>
    </row>
    <row r="88" spans="1:40">
      <c r="A88" s="286"/>
      <c r="B88" s="350" t="s">
        <v>997</v>
      </c>
      <c r="C88" s="149">
        <f>'Inputs and eligible population'!H83</f>
        <v>10</v>
      </c>
      <c r="D88" s="128">
        <f>((D75+D76)*$C$88)/60</f>
        <v>366.17</v>
      </c>
      <c r="E88" s="128">
        <f t="shared" ref="E88:I88" si="51">((E75+E76)*$C$88)/60</f>
        <v>369.7005406390669</v>
      </c>
      <c r="F88" s="128">
        <f t="shared" si="51"/>
        <v>373.26512207121908</v>
      </c>
      <c r="G88" s="128">
        <f t="shared" si="51"/>
        <v>376.86407251122978</v>
      </c>
      <c r="H88" s="128">
        <f t="shared" si="51"/>
        <v>380.49772333845522</v>
      </c>
      <c r="I88" s="128">
        <f t="shared" si="51"/>
        <v>384.16640912734778</v>
      </c>
      <c r="J88" s="286"/>
      <c r="K88" s="669">
        <f>'Inputs and eligible population'!$M$83</f>
        <v>42.15</v>
      </c>
      <c r="L88" s="292">
        <f>(D88*'Inputs and eligible population'!$M$83)/1000</f>
        <v>15.434065500000001</v>
      </c>
      <c r="M88" s="292">
        <f>(E88*'Inputs and eligible population'!$M$83)/1000</f>
        <v>15.58287778793667</v>
      </c>
      <c r="N88" s="292">
        <f>(F88*'Inputs and eligible population'!$M$83)/1000</f>
        <v>15.733124895301884</v>
      </c>
      <c r="O88" s="292">
        <f>(G88*'Inputs and eligible population'!$M$83)/1000</f>
        <v>15.884820656348335</v>
      </c>
      <c r="P88" s="292">
        <f>(H88*'Inputs and eligible population'!$M$83)/1000</f>
        <v>16.037979038715886</v>
      </c>
      <c r="Q88" s="292">
        <f>(I88*'Inputs and eligible population'!$M$83)/1000</f>
        <v>16.192614144717709</v>
      </c>
      <c r="S88" s="133"/>
      <c r="T88" s="133"/>
      <c r="U88" s="133"/>
      <c r="V88" s="133"/>
      <c r="W88" s="133"/>
      <c r="X88" s="133"/>
      <c r="Y88" s="133"/>
      <c r="Z88" s="133"/>
      <c r="AJ88" s="285"/>
      <c r="AK88" s="285"/>
      <c r="AL88" s="285"/>
      <c r="AM88" s="285"/>
      <c r="AN88" s="285"/>
    </row>
    <row r="89" spans="1:40" ht="16.149999999999999" customHeight="1">
      <c r="A89" s="286"/>
      <c r="B89" s="350" t="s">
        <v>998</v>
      </c>
      <c r="C89" s="149">
        <f>'Inputs and eligible population'!I83</f>
        <v>0</v>
      </c>
      <c r="D89" s="128">
        <f>(D77*$C$89)/60</f>
        <v>0</v>
      </c>
      <c r="E89" s="128">
        <f t="shared" ref="E89:I89" si="52">(E77*$C$89)/60</f>
        <v>0</v>
      </c>
      <c r="F89" s="128">
        <f t="shared" si="52"/>
        <v>0</v>
      </c>
      <c r="G89" s="128">
        <f t="shared" si="52"/>
        <v>0</v>
      </c>
      <c r="H89" s="128">
        <f t="shared" si="52"/>
        <v>0</v>
      </c>
      <c r="I89" s="128">
        <f t="shared" si="52"/>
        <v>0</v>
      </c>
      <c r="J89" s="286"/>
      <c r="K89" s="669">
        <f>'Inputs and eligible population'!$M$83</f>
        <v>42.15</v>
      </c>
      <c r="L89" s="292">
        <f>(D89*'Inputs and eligible population'!$M$83)/1000</f>
        <v>0</v>
      </c>
      <c r="M89" s="292">
        <f>(E89*'Inputs and eligible population'!$M$83)/1000</f>
        <v>0</v>
      </c>
      <c r="N89" s="292">
        <f>(F89*'Inputs and eligible population'!$M$83)/1000</f>
        <v>0</v>
      </c>
      <c r="O89" s="292">
        <f>(G89*'Inputs and eligible population'!$M$83)/1000</f>
        <v>0</v>
      </c>
      <c r="P89" s="292">
        <f>(H89*'Inputs and eligible population'!$M$83)/1000</f>
        <v>0</v>
      </c>
      <c r="Q89" s="292">
        <f>(I89*'Inputs and eligible population'!$M$83)/1000</f>
        <v>0</v>
      </c>
      <c r="S89" s="133"/>
      <c r="T89" s="133"/>
      <c r="U89" s="133"/>
      <c r="V89" s="133"/>
      <c r="W89" s="133"/>
      <c r="X89" s="133"/>
      <c r="Y89" s="133"/>
      <c r="Z89" s="133"/>
      <c r="AJ89" s="285"/>
      <c r="AK89" s="285"/>
      <c r="AL89" s="285"/>
      <c r="AM89" s="285"/>
      <c r="AN89" s="285"/>
    </row>
    <row r="90" spans="1:40" ht="16.149999999999999" customHeight="1">
      <c r="A90" s="286"/>
      <c r="B90" s="350" t="s">
        <v>1095</v>
      </c>
      <c r="C90" s="149">
        <f>'Inputs and eligible population'!J83</f>
        <v>10</v>
      </c>
      <c r="D90" s="128">
        <f>((D78+D79)*$C$90)/60</f>
        <v>0</v>
      </c>
      <c r="E90" s="128">
        <f t="shared" ref="E90:I90" si="53">((E78+E79)*$C$90)/60</f>
        <v>0</v>
      </c>
      <c r="F90" s="128">
        <f t="shared" si="53"/>
        <v>0</v>
      </c>
      <c r="G90" s="128">
        <f t="shared" si="53"/>
        <v>0</v>
      </c>
      <c r="H90" s="128">
        <f t="shared" si="53"/>
        <v>0</v>
      </c>
      <c r="I90" s="128">
        <f t="shared" si="53"/>
        <v>0</v>
      </c>
      <c r="J90" s="286"/>
      <c r="K90" s="669">
        <f>'Inputs and eligible population'!$M$83</f>
        <v>42.15</v>
      </c>
      <c r="L90" s="292">
        <f>(D90*'Inputs and eligible population'!$M$83)/1000</f>
        <v>0</v>
      </c>
      <c r="M90" s="292">
        <f>(E90*'Inputs and eligible population'!$M$83)/1000</f>
        <v>0</v>
      </c>
      <c r="N90" s="292">
        <f>(F90*'Inputs and eligible population'!$M$83)/1000</f>
        <v>0</v>
      </c>
      <c r="O90" s="292">
        <f>(G90*'Inputs and eligible population'!$M$83)/1000</f>
        <v>0</v>
      </c>
      <c r="P90" s="292">
        <f>(H90*'Inputs and eligible population'!$M$83)/1000</f>
        <v>0</v>
      </c>
      <c r="Q90" s="292">
        <f>(I90*'Inputs and eligible population'!$M$83)/1000</f>
        <v>0</v>
      </c>
      <c r="S90" s="133"/>
      <c r="T90" s="133"/>
      <c r="U90" s="133"/>
      <c r="V90" s="133"/>
      <c r="W90" s="133"/>
      <c r="X90" s="133"/>
      <c r="Y90" s="133"/>
      <c r="Z90" s="133"/>
      <c r="AJ90" s="285"/>
      <c r="AK90" s="285"/>
      <c r="AL90" s="285"/>
      <c r="AM90" s="285"/>
      <c r="AN90" s="285"/>
    </row>
    <row r="91" spans="1:40">
      <c r="A91" s="286"/>
      <c r="B91" s="282" t="s">
        <v>753</v>
      </c>
      <c r="C91" s="322"/>
      <c r="D91" s="186">
        <f>SUM(D86:D90)</f>
        <v>366.17</v>
      </c>
      <c r="E91" s="186">
        <f t="shared" ref="E91:I91" si="54">SUM(E86:E90)</f>
        <v>1901.3170661437728</v>
      </c>
      <c r="F91" s="186">
        <f t="shared" si="54"/>
        <v>2886.1392474435333</v>
      </c>
      <c r="G91" s="186">
        <f t="shared" si="54"/>
        <v>2913.9668463814733</v>
      </c>
      <c r="H91" s="186">
        <f t="shared" si="54"/>
        <v>2942.0627536705551</v>
      </c>
      <c r="I91" s="186">
        <f t="shared" si="54"/>
        <v>2970.429556288243</v>
      </c>
      <c r="J91" s="286"/>
      <c r="K91" s="669"/>
      <c r="L91" s="293">
        <f>SUM(L86:L90)</f>
        <v>15.434065500000001</v>
      </c>
      <c r="M91" s="293">
        <f t="shared" ref="M91:Q91" si="55">SUM(M86:M90)</f>
        <v>80.140514337960013</v>
      </c>
      <c r="N91" s="293">
        <f t="shared" si="55"/>
        <v>121.65076927974494</v>
      </c>
      <c r="O91" s="293">
        <f t="shared" si="55"/>
        <v>122.82370257497909</v>
      </c>
      <c r="P91" s="293">
        <f t="shared" si="55"/>
        <v>124.00794506721388</v>
      </c>
      <c r="Q91" s="293">
        <f t="shared" si="55"/>
        <v>125.20360579754944</v>
      </c>
      <c r="S91" s="133"/>
      <c r="T91" s="133"/>
      <c r="U91" s="133"/>
      <c r="V91" s="133"/>
      <c r="W91" s="133"/>
      <c r="X91" s="133"/>
      <c r="Y91" s="133"/>
      <c r="Z91" s="133"/>
      <c r="AJ91" s="285"/>
      <c r="AK91" s="285"/>
      <c r="AL91" s="285"/>
      <c r="AM91" s="285"/>
      <c r="AN91" s="285"/>
    </row>
    <row r="92" spans="1:40">
      <c r="A92" s="286"/>
      <c r="B92" s="305"/>
      <c r="C92" s="257"/>
      <c r="D92" s="284" t="s">
        <v>754</v>
      </c>
      <c r="E92" s="186">
        <f>E91-$D$91</f>
        <v>1535.1470661437727</v>
      </c>
      <c r="F92" s="186">
        <f>F91-$D$91</f>
        <v>2519.9692474435333</v>
      </c>
      <c r="G92" s="186">
        <f>G91-$D$91</f>
        <v>2547.7968463814732</v>
      </c>
      <c r="H92" s="186">
        <f>H91-$D$91</f>
        <v>2575.8927536705551</v>
      </c>
      <c r="I92" s="186">
        <f>I91-$D$91</f>
        <v>2604.2595562882429</v>
      </c>
      <c r="J92" s="286"/>
      <c r="K92" s="286"/>
      <c r="L92" s="535"/>
      <c r="M92" s="293">
        <f>M91-$L$91</f>
        <v>64.706448837960011</v>
      </c>
      <c r="N92" s="293">
        <f>N91-$L$91</f>
        <v>106.21670377974493</v>
      </c>
      <c r="O92" s="293">
        <f>O91-$L$91</f>
        <v>107.38963707497909</v>
      </c>
      <c r="P92" s="293">
        <f>P91-$L$91</f>
        <v>108.57387956721388</v>
      </c>
      <c r="Q92" s="293">
        <f>Q91-$L$91</f>
        <v>109.76954029754944</v>
      </c>
      <c r="S92" s="133"/>
      <c r="T92" s="133"/>
      <c r="U92" s="133"/>
      <c r="V92" s="133"/>
      <c r="W92" s="133"/>
      <c r="X92" s="133"/>
      <c r="Y92" s="133"/>
      <c r="Z92" s="133"/>
      <c r="AJ92" s="285"/>
      <c r="AK92" s="285"/>
      <c r="AL92" s="285"/>
      <c r="AM92" s="285"/>
      <c r="AN92" s="285"/>
    </row>
    <row r="93" spans="1:40">
      <c r="A93" s="286"/>
      <c r="B93" s="324"/>
      <c r="C93" s="217"/>
      <c r="D93" s="217"/>
      <c r="E93" s="217"/>
      <c r="F93" s="217"/>
      <c r="G93" s="217"/>
      <c r="H93" s="217"/>
      <c r="I93" s="217"/>
      <c r="J93" s="217"/>
      <c r="K93" s="217"/>
      <c r="L93" s="217"/>
      <c r="M93" s="217"/>
      <c r="N93" s="217"/>
      <c r="O93" s="217"/>
      <c r="P93" s="217"/>
      <c r="Q93" s="217"/>
      <c r="S93" s="133"/>
      <c r="T93" s="133"/>
      <c r="U93" s="133"/>
      <c r="V93" s="133"/>
      <c r="W93" s="133"/>
      <c r="X93" s="133"/>
      <c r="Y93" s="133"/>
      <c r="Z93" s="133"/>
      <c r="AJ93" s="285"/>
      <c r="AK93" s="285"/>
      <c r="AL93" s="285"/>
      <c r="AM93" s="285"/>
      <c r="AN93" s="285"/>
    </row>
    <row r="94" spans="1:40">
      <c r="A94" s="286"/>
      <c r="B94" s="390" t="s">
        <v>755</v>
      </c>
      <c r="C94" s="389"/>
      <c r="D94" s="389"/>
      <c r="E94" s="389"/>
      <c r="F94" s="389"/>
      <c r="G94" s="389"/>
      <c r="H94" s="389"/>
      <c r="I94" s="216"/>
      <c r="J94" s="430"/>
      <c r="K94" s="217"/>
      <c r="L94" s="429"/>
      <c r="M94" s="429"/>
      <c r="N94" s="429"/>
      <c r="O94" s="429"/>
      <c r="P94" s="429"/>
      <c r="Q94" s="429"/>
      <c r="S94" s="133"/>
      <c r="T94" s="133"/>
      <c r="U94" s="133"/>
      <c r="V94" s="133"/>
      <c r="W94" s="133"/>
      <c r="X94" s="133"/>
      <c r="Y94" s="133"/>
      <c r="Z94" s="133"/>
      <c r="AJ94" s="285"/>
      <c r="AK94" s="285"/>
      <c r="AL94" s="285"/>
      <c r="AM94" s="285"/>
      <c r="AN94" s="285"/>
    </row>
    <row r="95" spans="1:40" ht="72.5">
      <c r="A95" s="286"/>
      <c r="B95" s="281" t="s">
        <v>125</v>
      </c>
      <c r="C95" s="165" t="s">
        <v>89</v>
      </c>
      <c r="D95" s="422" t="s">
        <v>736</v>
      </c>
      <c r="E95" s="256" t="s">
        <v>51</v>
      </c>
      <c r="F95" s="256" t="s">
        <v>52</v>
      </c>
      <c r="G95" s="164" t="s">
        <v>737</v>
      </c>
      <c r="H95" s="164" t="s">
        <v>738</v>
      </c>
      <c r="I95" s="256" t="s">
        <v>739</v>
      </c>
      <c r="J95" s="286"/>
      <c r="K95" s="668" t="s">
        <v>976</v>
      </c>
      <c r="L95" s="422" t="s">
        <v>736</v>
      </c>
      <c r="M95" s="256" t="s">
        <v>51</v>
      </c>
      <c r="N95" s="256" t="s">
        <v>52</v>
      </c>
      <c r="O95" s="164" t="s">
        <v>737</v>
      </c>
      <c r="P95" s="164" t="s">
        <v>738</v>
      </c>
      <c r="Q95" s="256" t="s">
        <v>739</v>
      </c>
      <c r="S95" s="133"/>
      <c r="T95" s="133"/>
      <c r="U95" s="133"/>
      <c r="V95" s="133"/>
      <c r="W95" s="133"/>
      <c r="X95" s="133"/>
      <c r="Y95" s="133"/>
      <c r="Z95" s="133"/>
      <c r="AJ95" s="285"/>
      <c r="AK95" s="285"/>
      <c r="AL95" s="285"/>
      <c r="AM95" s="285"/>
      <c r="AN95" s="285"/>
    </row>
    <row r="96" spans="1:40">
      <c r="A96" s="286"/>
      <c r="B96" s="350" t="s">
        <v>1112</v>
      </c>
      <c r="C96" s="149">
        <f>'Inputs and eligible population'!F84</f>
        <v>15</v>
      </c>
      <c r="D96" s="128">
        <f t="shared" ref="D96:I96" si="56">((D69+D70+D71)*$C96)/60</f>
        <v>0</v>
      </c>
      <c r="E96" s="128">
        <f t="shared" si="56"/>
        <v>1386.3770273965008</v>
      </c>
      <c r="F96" s="128">
        <f t="shared" si="56"/>
        <v>2274.5843376214916</v>
      </c>
      <c r="G96" s="128">
        <f t="shared" si="56"/>
        <v>2296.5154418653065</v>
      </c>
      <c r="H96" s="128">
        <f t="shared" si="56"/>
        <v>2318.6580015937111</v>
      </c>
      <c r="I96" s="128">
        <f t="shared" si="56"/>
        <v>2341.0140556197757</v>
      </c>
      <c r="J96" s="286"/>
      <c r="K96" s="669">
        <f>'Inputs and eligible population'!$M$84</f>
        <v>42.15</v>
      </c>
      <c r="L96" s="292">
        <f>(D96*'Inputs and eligible population'!$M$84)/1000</f>
        <v>0</v>
      </c>
      <c r="M96" s="292">
        <f>(E96*'Inputs and eligible population'!$M$84)/1000</f>
        <v>58.435791704762508</v>
      </c>
      <c r="N96" s="292">
        <f>(F96*'Inputs and eligible population'!$M$84)/1000</f>
        <v>95.873729830745873</v>
      </c>
      <c r="O96" s="292">
        <f>(G96*'Inputs and eligible population'!$M$84)/1000</f>
        <v>96.79812587462267</v>
      </c>
      <c r="P96" s="292">
        <f>(H96*'Inputs and eligible population'!$M$84)/1000</f>
        <v>97.731434767174918</v>
      </c>
      <c r="Q96" s="292">
        <f>(I96*'Inputs and eligible population'!$M$84)/1000</f>
        <v>98.673742444373531</v>
      </c>
      <c r="S96" s="133"/>
      <c r="T96" s="133"/>
      <c r="U96" s="133"/>
      <c r="V96" s="133"/>
      <c r="W96" s="133"/>
      <c r="X96" s="133"/>
      <c r="Y96" s="133"/>
      <c r="Z96" s="133"/>
      <c r="AJ96" s="285"/>
      <c r="AK96" s="285"/>
      <c r="AL96" s="285"/>
      <c r="AM96" s="285"/>
      <c r="AN96" s="285"/>
    </row>
    <row r="97" spans="1:40">
      <c r="A97" s="286"/>
      <c r="B97" s="350" t="s">
        <v>1142</v>
      </c>
      <c r="C97" s="149">
        <f>'Inputs and eligible population'!G84</f>
        <v>15</v>
      </c>
      <c r="D97" s="128">
        <f>((D72+D73+D74)*$C$97)/60</f>
        <v>0</v>
      </c>
      <c r="E97" s="128">
        <f t="shared" ref="E97:I97" si="57">((E72+E73+E74)*$C$97)/60</f>
        <v>911.04776086055767</v>
      </c>
      <c r="F97" s="128">
        <f t="shared" si="57"/>
        <v>1494.7268504369799</v>
      </c>
      <c r="G97" s="128">
        <f t="shared" si="57"/>
        <v>1509.1387189400584</v>
      </c>
      <c r="H97" s="128">
        <f t="shared" si="57"/>
        <v>1523.6895439044388</v>
      </c>
      <c r="I97" s="128">
        <f t="shared" si="57"/>
        <v>1538.3806651215668</v>
      </c>
      <c r="J97" s="286"/>
      <c r="K97" s="669">
        <f>'Inputs and eligible population'!$M$84</f>
        <v>42.15</v>
      </c>
      <c r="L97" s="292">
        <f>(D97*'Inputs and eligible population'!$M$84)/1000</f>
        <v>0</v>
      </c>
      <c r="M97" s="292">
        <f>(E97*'Inputs and eligible population'!$M$84)/1000</f>
        <v>38.400663120272505</v>
      </c>
      <c r="N97" s="292">
        <f>(F97*'Inputs and eligible population'!$M$84)/1000</f>
        <v>63.002736745918703</v>
      </c>
      <c r="O97" s="292">
        <f>(G97*'Inputs and eligible population'!$M$84)/1000</f>
        <v>63.610197003323464</v>
      </c>
      <c r="P97" s="292">
        <f>(H97*'Inputs and eligible population'!$M$84)/1000</f>
        <v>64.2235142755721</v>
      </c>
      <c r="Q97" s="292">
        <f>(I97*'Inputs and eligible population'!$M$84)/1000</f>
        <v>64.842745034874042</v>
      </c>
      <c r="S97" s="133"/>
      <c r="T97" s="133"/>
      <c r="U97" s="133"/>
      <c r="V97" s="133"/>
      <c r="W97" s="133"/>
      <c r="X97" s="133"/>
      <c r="Y97" s="133"/>
      <c r="Z97" s="133"/>
      <c r="AJ97" s="285"/>
      <c r="AK97" s="285"/>
      <c r="AL97" s="285"/>
      <c r="AM97" s="285"/>
      <c r="AN97" s="285"/>
    </row>
    <row r="98" spans="1:40">
      <c r="A98" s="286"/>
      <c r="B98" s="350" t="s">
        <v>997</v>
      </c>
      <c r="C98" s="149">
        <f>'Inputs and eligible population'!H84</f>
        <v>15</v>
      </c>
      <c r="D98" s="128">
        <f>((D75+D76)*$C$98)/60</f>
        <v>549.255</v>
      </c>
      <c r="E98" s="128">
        <f t="shared" ref="E98:I98" si="58">((E75+E76)*$C$98)/60</f>
        <v>554.55081095860032</v>
      </c>
      <c r="F98" s="128">
        <f t="shared" si="58"/>
        <v>559.89768310682871</v>
      </c>
      <c r="G98" s="128">
        <f t="shared" si="58"/>
        <v>565.29610876684467</v>
      </c>
      <c r="H98" s="128">
        <f t="shared" si="58"/>
        <v>570.74658500768282</v>
      </c>
      <c r="I98" s="128">
        <f t="shared" si="58"/>
        <v>576.24961369102164</v>
      </c>
      <c r="J98" s="286"/>
      <c r="K98" s="669">
        <f>'Inputs and eligible population'!$M$84</f>
        <v>42.15</v>
      </c>
      <c r="L98" s="292">
        <f>(D98*'Inputs and eligible population'!$M$84)/1000</f>
        <v>23.15109825</v>
      </c>
      <c r="M98" s="292">
        <f>(E98*'Inputs and eligible population'!$M$84)/1000</f>
        <v>23.374316681905</v>
      </c>
      <c r="N98" s="292">
        <f>(F98*'Inputs and eligible population'!$M$84)/1000</f>
        <v>23.599687342952826</v>
      </c>
      <c r="O98" s="292">
        <f>(G98*'Inputs and eligible population'!$M$84)/1000</f>
        <v>23.827230984522501</v>
      </c>
      <c r="P98" s="292">
        <f>(H98*'Inputs and eligible population'!$M$84)/1000</f>
        <v>24.05696855807383</v>
      </c>
      <c r="Q98" s="292">
        <f>(I98*'Inputs and eligible population'!$M$84)/1000</f>
        <v>24.28892121707656</v>
      </c>
      <c r="S98" s="133"/>
      <c r="T98" s="133"/>
      <c r="U98" s="133"/>
      <c r="V98" s="133"/>
      <c r="W98" s="133"/>
      <c r="X98" s="133"/>
      <c r="Y98" s="133"/>
      <c r="Z98" s="133"/>
      <c r="AJ98" s="285"/>
      <c r="AK98" s="285"/>
      <c r="AL98" s="285"/>
      <c r="AM98" s="285"/>
      <c r="AN98" s="285"/>
    </row>
    <row r="99" spans="1:40">
      <c r="A99" s="286"/>
      <c r="B99" s="350" t="s">
        <v>998</v>
      </c>
      <c r="C99" s="149">
        <f>'Inputs and eligible population'!I84</f>
        <v>0</v>
      </c>
      <c r="D99" s="128">
        <f>(D77*$C$99)/60</f>
        <v>0</v>
      </c>
      <c r="E99" s="128">
        <f t="shared" ref="E99:I99" si="59">(E77*$C$99)/60</f>
        <v>0</v>
      </c>
      <c r="F99" s="128">
        <f t="shared" si="59"/>
        <v>0</v>
      </c>
      <c r="G99" s="128">
        <f t="shared" si="59"/>
        <v>0</v>
      </c>
      <c r="H99" s="128">
        <f t="shared" si="59"/>
        <v>0</v>
      </c>
      <c r="I99" s="128">
        <f t="shared" si="59"/>
        <v>0</v>
      </c>
      <c r="J99" s="286"/>
      <c r="K99" s="669">
        <f>'Inputs and eligible population'!$M$84</f>
        <v>42.15</v>
      </c>
      <c r="L99" s="292">
        <f>(D99*'Inputs and eligible population'!$M$84)/1000</f>
        <v>0</v>
      </c>
      <c r="M99" s="292">
        <f>(E99*'Inputs and eligible population'!$M$84)/1000</f>
        <v>0</v>
      </c>
      <c r="N99" s="292">
        <f>(F99*'Inputs and eligible population'!$M$84)/1000</f>
        <v>0</v>
      </c>
      <c r="O99" s="292">
        <f>(G99*'Inputs and eligible population'!$M$84)/1000</f>
        <v>0</v>
      </c>
      <c r="P99" s="292">
        <f>(H99*'Inputs and eligible population'!$M$84)/1000</f>
        <v>0</v>
      </c>
      <c r="Q99" s="292">
        <f>(I99*'Inputs and eligible population'!$M$84)/1000</f>
        <v>0</v>
      </c>
      <c r="S99" s="133"/>
      <c r="T99" s="133"/>
      <c r="U99" s="133"/>
      <c r="V99" s="133"/>
      <c r="W99" s="133"/>
      <c r="X99" s="133"/>
      <c r="Y99" s="133"/>
      <c r="Z99" s="133"/>
      <c r="AJ99" s="285"/>
      <c r="AK99" s="285"/>
      <c r="AL99" s="285"/>
      <c r="AM99" s="285"/>
      <c r="AN99" s="285"/>
    </row>
    <row r="100" spans="1:40">
      <c r="A100" s="286"/>
      <c r="B100" s="350" t="s">
        <v>1095</v>
      </c>
      <c r="C100" s="149">
        <f>'Inputs and eligible population'!I84</f>
        <v>0</v>
      </c>
      <c r="D100" s="128">
        <f>((D78+D79)*$C$90)/60</f>
        <v>0</v>
      </c>
      <c r="E100" s="128">
        <f t="shared" ref="E100:I100" si="60">((E78+E79)*$C$90)/60</f>
        <v>0</v>
      </c>
      <c r="F100" s="128">
        <f t="shared" si="60"/>
        <v>0</v>
      </c>
      <c r="G100" s="128">
        <f t="shared" si="60"/>
        <v>0</v>
      </c>
      <c r="H100" s="128">
        <f t="shared" si="60"/>
        <v>0</v>
      </c>
      <c r="I100" s="128">
        <f t="shared" si="60"/>
        <v>0</v>
      </c>
      <c r="J100" s="286"/>
      <c r="K100" s="669">
        <f>'Inputs and eligible population'!$M$84</f>
        <v>42.15</v>
      </c>
      <c r="L100" s="292">
        <f>(D100*'Inputs and eligible population'!$M$84)/1000</f>
        <v>0</v>
      </c>
      <c r="M100" s="292">
        <f>(E100*'Inputs and eligible population'!$M$84)/1000</f>
        <v>0</v>
      </c>
      <c r="N100" s="292">
        <f>(F100*'Inputs and eligible population'!$M$84)/1000</f>
        <v>0</v>
      </c>
      <c r="O100" s="292">
        <f>(G100*'Inputs and eligible population'!$M$84)/1000</f>
        <v>0</v>
      </c>
      <c r="P100" s="292">
        <f>(H100*'Inputs and eligible population'!$M$84)/1000</f>
        <v>0</v>
      </c>
      <c r="Q100" s="292">
        <f>(I100*'Inputs and eligible population'!$M$84)/1000</f>
        <v>0</v>
      </c>
      <c r="S100" s="133"/>
      <c r="T100" s="133"/>
      <c r="U100" s="133"/>
      <c r="V100" s="133"/>
      <c r="W100" s="133"/>
      <c r="X100" s="133"/>
      <c r="Y100" s="133"/>
      <c r="Z100" s="133"/>
      <c r="AJ100" s="285"/>
      <c r="AK100" s="285"/>
      <c r="AL100" s="285"/>
      <c r="AM100" s="285"/>
      <c r="AN100" s="285"/>
    </row>
    <row r="101" spans="1:40">
      <c r="A101" s="286"/>
      <c r="B101" s="282"/>
      <c r="C101" s="282"/>
      <c r="D101" s="186">
        <f>SUM(D96:D100)</f>
        <v>549.255</v>
      </c>
      <c r="E101" s="186">
        <f t="shared" ref="E101:I101" si="61">SUM(E96:E100)</f>
        <v>2851.9755992156588</v>
      </c>
      <c r="F101" s="186">
        <f t="shared" si="61"/>
        <v>4329.2088711653005</v>
      </c>
      <c r="G101" s="186">
        <f t="shared" si="61"/>
        <v>4370.9502695722094</v>
      </c>
      <c r="H101" s="186">
        <f t="shared" si="61"/>
        <v>4413.0941305058332</v>
      </c>
      <c r="I101" s="186">
        <f t="shared" si="61"/>
        <v>4455.6443344323643</v>
      </c>
      <c r="J101" s="286"/>
      <c r="K101" s="286"/>
      <c r="L101" s="293">
        <f>SUM(L96:L100)</f>
        <v>23.15109825</v>
      </c>
      <c r="M101" s="293">
        <f t="shared" ref="M101:Q101" si="62">SUM(M96:M100)</f>
        <v>120.21077150694002</v>
      </c>
      <c r="N101" s="293">
        <f t="shared" si="62"/>
        <v>182.47615391961739</v>
      </c>
      <c r="O101" s="293">
        <f t="shared" si="62"/>
        <v>184.23555386246863</v>
      </c>
      <c r="P101" s="293">
        <f t="shared" si="62"/>
        <v>186.01191760082085</v>
      </c>
      <c r="Q101" s="293">
        <f t="shared" si="62"/>
        <v>187.80540869632415</v>
      </c>
      <c r="S101" s="133"/>
      <c r="T101" s="133"/>
      <c r="U101" s="133"/>
      <c r="V101" s="133"/>
      <c r="W101" s="133"/>
      <c r="X101" s="133"/>
      <c r="Y101" s="133"/>
      <c r="Z101" s="133"/>
      <c r="AJ101" s="285"/>
      <c r="AK101" s="285"/>
      <c r="AL101" s="285"/>
      <c r="AM101" s="285"/>
      <c r="AN101" s="285"/>
    </row>
    <row r="102" spans="1:40">
      <c r="A102" s="286"/>
      <c r="B102" s="282"/>
      <c r="C102" s="282"/>
      <c r="D102" s="284" t="s">
        <v>756</v>
      </c>
      <c r="E102" s="186">
        <f>E101-$D$101</f>
        <v>2302.7205992156587</v>
      </c>
      <c r="F102" s="186">
        <f>F101-$D$101</f>
        <v>3779.9538711653004</v>
      </c>
      <c r="G102" s="186">
        <f>G101-$D$101</f>
        <v>3821.6952695722093</v>
      </c>
      <c r="H102" s="186">
        <f>H101-$D$101</f>
        <v>3863.8391305058331</v>
      </c>
      <c r="I102" s="186">
        <f>I101-$D$101</f>
        <v>3906.3893344323642</v>
      </c>
      <c r="J102" s="286"/>
      <c r="K102" s="286"/>
      <c r="L102" s="535"/>
      <c r="M102" s="293">
        <f>M101-$L$101</f>
        <v>97.059673256940016</v>
      </c>
      <c r="N102" s="293">
        <f>N101-$L$101</f>
        <v>159.3250556696174</v>
      </c>
      <c r="O102" s="293">
        <f>O101-$L$101</f>
        <v>161.08445561246864</v>
      </c>
      <c r="P102" s="293">
        <f>P101-$L$101</f>
        <v>162.86081935082086</v>
      </c>
      <c r="Q102" s="293">
        <f>Q101-$L$101</f>
        <v>164.65431044632416</v>
      </c>
      <c r="S102" s="133"/>
      <c r="T102" s="133"/>
      <c r="U102" s="133"/>
      <c r="V102" s="133"/>
      <c r="W102" s="133"/>
      <c r="X102" s="133"/>
      <c r="Y102" s="133"/>
      <c r="Z102" s="133"/>
      <c r="AJ102" s="285"/>
      <c r="AK102" s="285"/>
      <c r="AL102" s="285"/>
      <c r="AM102" s="285"/>
      <c r="AN102" s="285"/>
    </row>
    <row r="103" spans="1:40">
      <c r="A103" s="286"/>
      <c r="B103" s="324"/>
      <c r="C103" s="217"/>
      <c r="D103" s="217"/>
      <c r="E103" s="217"/>
      <c r="F103" s="217"/>
      <c r="G103" s="217"/>
      <c r="H103" s="217"/>
      <c r="I103" s="217"/>
      <c r="J103" s="217"/>
      <c r="K103" s="217"/>
      <c r="L103" s="217"/>
      <c r="M103" s="217"/>
      <c r="N103" s="217"/>
      <c r="O103" s="217"/>
      <c r="P103" s="217"/>
      <c r="Q103" s="217"/>
      <c r="S103" s="133"/>
      <c r="T103" s="133"/>
      <c r="U103" s="133"/>
      <c r="V103" s="133"/>
      <c r="W103" s="133"/>
      <c r="X103" s="133"/>
      <c r="Y103" s="133"/>
      <c r="Z103" s="133"/>
      <c r="AJ103" s="285"/>
      <c r="AK103" s="285"/>
      <c r="AL103" s="285"/>
      <c r="AM103" s="285"/>
      <c r="AN103" s="285"/>
    </row>
    <row r="104" spans="1:40">
      <c r="A104" s="286"/>
      <c r="B104" s="390" t="s">
        <v>175</v>
      </c>
      <c r="C104" s="389"/>
      <c r="D104" s="389"/>
      <c r="E104" s="389"/>
      <c r="F104" s="389"/>
      <c r="G104" s="389"/>
      <c r="H104" s="389"/>
      <c r="I104" s="216"/>
      <c r="J104" s="430"/>
      <c r="K104" s="217"/>
      <c r="L104" s="429"/>
      <c r="M104" s="429"/>
      <c r="N104" s="429"/>
      <c r="O104" s="429"/>
      <c r="P104" s="429"/>
      <c r="Q104" s="429"/>
      <c r="V104" s="133"/>
      <c r="AJ104" s="285"/>
      <c r="AK104" s="285"/>
      <c r="AL104" s="285"/>
      <c r="AM104" s="285"/>
      <c r="AN104" s="285"/>
    </row>
    <row r="105" spans="1:40" ht="58">
      <c r="A105" s="286"/>
      <c r="B105" s="281" t="s">
        <v>125</v>
      </c>
      <c r="C105" s="165" t="s">
        <v>90</v>
      </c>
      <c r="D105" s="422" t="s">
        <v>736</v>
      </c>
      <c r="E105" s="256" t="s">
        <v>51</v>
      </c>
      <c r="F105" s="256" t="s">
        <v>52</v>
      </c>
      <c r="G105" s="164" t="s">
        <v>737</v>
      </c>
      <c r="H105" s="164" t="s">
        <v>738</v>
      </c>
      <c r="I105" s="256" t="s">
        <v>739</v>
      </c>
      <c r="J105" s="286"/>
      <c r="K105" s="668" t="s">
        <v>976</v>
      </c>
      <c r="L105" s="422" t="s">
        <v>736</v>
      </c>
      <c r="M105" s="256" t="s">
        <v>51</v>
      </c>
      <c r="N105" s="256" t="s">
        <v>52</v>
      </c>
      <c r="O105" s="164" t="s">
        <v>737</v>
      </c>
      <c r="P105" s="164" t="s">
        <v>738</v>
      </c>
      <c r="Q105" s="256" t="s">
        <v>739</v>
      </c>
      <c r="V105" s="133"/>
      <c r="AJ105" s="285"/>
      <c r="AK105" s="285"/>
      <c r="AL105" s="285"/>
      <c r="AM105" s="285"/>
      <c r="AN105" s="285"/>
    </row>
    <row r="106" spans="1:40">
      <c r="A106" s="286"/>
      <c r="B106" s="350" t="s">
        <v>1112</v>
      </c>
      <c r="C106" s="149">
        <f>'Inputs and eligible population'!F85</f>
        <v>15</v>
      </c>
      <c r="D106" s="128">
        <f t="shared" ref="D106:I106" si="63">((D69+D70+D71)*$C106)/60</f>
        <v>0</v>
      </c>
      <c r="E106" s="128">
        <f t="shared" si="63"/>
        <v>1386.3770273965008</v>
      </c>
      <c r="F106" s="128">
        <f t="shared" si="63"/>
        <v>2274.5843376214916</v>
      </c>
      <c r="G106" s="128">
        <f t="shared" si="63"/>
        <v>2296.5154418653065</v>
      </c>
      <c r="H106" s="128">
        <f t="shared" si="63"/>
        <v>2318.6580015937111</v>
      </c>
      <c r="I106" s="128">
        <f t="shared" si="63"/>
        <v>2341.0140556197757</v>
      </c>
      <c r="J106" s="286"/>
      <c r="K106" s="669">
        <f>'Inputs and eligible population'!$M$85</f>
        <v>42.15</v>
      </c>
      <c r="L106" s="292">
        <f>(D106*'Inputs and eligible population'!$M$85)/1000</f>
        <v>0</v>
      </c>
      <c r="M106" s="292">
        <f>(E106*'Inputs and eligible population'!$M$85)/1000</f>
        <v>58.435791704762508</v>
      </c>
      <c r="N106" s="292">
        <f>(F106*'Inputs and eligible population'!$M$85)/1000</f>
        <v>95.873729830745873</v>
      </c>
      <c r="O106" s="292">
        <f>(G106*'Inputs and eligible population'!$M$85)/1000</f>
        <v>96.79812587462267</v>
      </c>
      <c r="P106" s="292">
        <f>(H106*'Inputs and eligible population'!$M$85)/1000</f>
        <v>97.731434767174918</v>
      </c>
      <c r="Q106" s="292">
        <f>(I106*'Inputs and eligible population'!$M$85)/1000</f>
        <v>98.673742444373531</v>
      </c>
      <c r="V106" s="133"/>
      <c r="AJ106" s="285"/>
      <c r="AK106" s="285"/>
      <c r="AL106" s="285"/>
      <c r="AM106" s="285"/>
      <c r="AN106" s="285"/>
    </row>
    <row r="107" spans="1:40">
      <c r="A107" s="286"/>
      <c r="B107" s="350" t="s">
        <v>1142</v>
      </c>
      <c r="C107" s="149">
        <f>'Inputs and eligible population'!G85</f>
        <v>15</v>
      </c>
      <c r="D107" s="128">
        <f>((D72+D73+D74)*$C$107)/60</f>
        <v>0</v>
      </c>
      <c r="E107" s="128">
        <f t="shared" ref="E107:I107" si="64">((E72+E73+E74)*$C$107)/60</f>
        <v>911.04776086055767</v>
      </c>
      <c r="F107" s="128">
        <f t="shared" si="64"/>
        <v>1494.7268504369799</v>
      </c>
      <c r="G107" s="128">
        <f t="shared" si="64"/>
        <v>1509.1387189400584</v>
      </c>
      <c r="H107" s="128">
        <f t="shared" si="64"/>
        <v>1523.6895439044388</v>
      </c>
      <c r="I107" s="128">
        <f t="shared" si="64"/>
        <v>1538.3806651215668</v>
      </c>
      <c r="J107" s="286"/>
      <c r="K107" s="669">
        <f>'Inputs and eligible population'!$M$85</f>
        <v>42.15</v>
      </c>
      <c r="L107" s="292">
        <f>(D107*'Inputs and eligible population'!$M$85)/1000</f>
        <v>0</v>
      </c>
      <c r="M107" s="292">
        <f>(E107*'Inputs and eligible population'!$M$85)/1000</f>
        <v>38.400663120272505</v>
      </c>
      <c r="N107" s="292">
        <f>(F107*'Inputs and eligible population'!$M$85)/1000</f>
        <v>63.002736745918703</v>
      </c>
      <c r="O107" s="292">
        <f>(G107*'Inputs and eligible population'!$M$85)/1000</f>
        <v>63.610197003323464</v>
      </c>
      <c r="P107" s="292">
        <f>(H107*'Inputs and eligible population'!$M$85)/1000</f>
        <v>64.2235142755721</v>
      </c>
      <c r="Q107" s="292">
        <f>(I107*'Inputs and eligible population'!$M$85)/1000</f>
        <v>64.842745034874042</v>
      </c>
      <c r="V107" s="133"/>
      <c r="AJ107" s="285"/>
      <c r="AK107" s="285"/>
      <c r="AL107" s="285"/>
      <c r="AM107" s="285"/>
      <c r="AN107" s="285"/>
    </row>
    <row r="108" spans="1:40">
      <c r="A108" s="286"/>
      <c r="B108" s="350" t="s">
        <v>997</v>
      </c>
      <c r="C108" s="149">
        <f>'Inputs and eligible population'!H85</f>
        <v>15</v>
      </c>
      <c r="D108" s="128">
        <f>((D75+D76)*$C$108)/60</f>
        <v>549.255</v>
      </c>
      <c r="E108" s="128">
        <f t="shared" ref="E108:I108" si="65">((E75+E76)*$C$108)/60</f>
        <v>554.55081095860032</v>
      </c>
      <c r="F108" s="128">
        <f t="shared" si="65"/>
        <v>559.89768310682871</v>
      </c>
      <c r="G108" s="128">
        <f t="shared" si="65"/>
        <v>565.29610876684467</v>
      </c>
      <c r="H108" s="128">
        <f t="shared" si="65"/>
        <v>570.74658500768282</v>
      </c>
      <c r="I108" s="128">
        <f t="shared" si="65"/>
        <v>576.24961369102164</v>
      </c>
      <c r="J108" s="286"/>
      <c r="K108" s="669">
        <f>'Inputs and eligible population'!$M$85</f>
        <v>42.15</v>
      </c>
      <c r="L108" s="292">
        <f>(D108*'Inputs and eligible population'!$M$85)/1000</f>
        <v>23.15109825</v>
      </c>
      <c r="M108" s="292">
        <f>(E108*'Inputs and eligible population'!$M$85)/1000</f>
        <v>23.374316681905</v>
      </c>
      <c r="N108" s="292">
        <f>(F108*'Inputs and eligible population'!$M$85)/1000</f>
        <v>23.599687342952826</v>
      </c>
      <c r="O108" s="292">
        <f>(G108*'Inputs and eligible population'!$M$85)/1000</f>
        <v>23.827230984522501</v>
      </c>
      <c r="P108" s="292">
        <f>(H108*'Inputs and eligible population'!$M$85)/1000</f>
        <v>24.05696855807383</v>
      </c>
      <c r="Q108" s="292">
        <f>(I108*'Inputs and eligible population'!$M$85)/1000</f>
        <v>24.28892121707656</v>
      </c>
      <c r="V108" s="133"/>
      <c r="AJ108" s="285"/>
      <c r="AK108" s="285"/>
      <c r="AL108" s="285"/>
      <c r="AM108" s="285"/>
      <c r="AN108" s="285"/>
    </row>
    <row r="109" spans="1:40">
      <c r="A109" s="286"/>
      <c r="B109" s="350" t="s">
        <v>998</v>
      </c>
      <c r="C109" s="149">
        <f>'Inputs and eligible population'!I85</f>
        <v>0</v>
      </c>
      <c r="D109" s="128">
        <f>(D77*$C$109)/60</f>
        <v>0</v>
      </c>
      <c r="E109" s="128">
        <f t="shared" ref="E109:I109" si="66">(E77*$C$109)/60</f>
        <v>0</v>
      </c>
      <c r="F109" s="128">
        <f t="shared" si="66"/>
        <v>0</v>
      </c>
      <c r="G109" s="128">
        <f t="shared" si="66"/>
        <v>0</v>
      </c>
      <c r="H109" s="128">
        <f t="shared" si="66"/>
        <v>0</v>
      </c>
      <c r="I109" s="128">
        <f t="shared" si="66"/>
        <v>0</v>
      </c>
      <c r="J109" s="286"/>
      <c r="K109" s="669">
        <f>'Inputs and eligible population'!$M$85</f>
        <v>42.15</v>
      </c>
      <c r="L109" s="292">
        <f>(D109*'Inputs and eligible population'!$M$85)/1000</f>
        <v>0</v>
      </c>
      <c r="M109" s="292">
        <f>(E109*'Inputs and eligible population'!$M$85)/1000</f>
        <v>0</v>
      </c>
      <c r="N109" s="292">
        <f>(F109*'Inputs and eligible population'!$M$85)/1000</f>
        <v>0</v>
      </c>
      <c r="O109" s="292">
        <f>(G109*'Inputs and eligible population'!$M$85)/1000</f>
        <v>0</v>
      </c>
      <c r="P109" s="292">
        <f>(H109*'Inputs and eligible population'!$M$85)/1000</f>
        <v>0</v>
      </c>
      <c r="Q109" s="292">
        <f>(I109*'Inputs and eligible population'!$M$85)/1000</f>
        <v>0</v>
      </c>
      <c r="V109" s="133"/>
      <c r="AJ109" s="285"/>
      <c r="AK109" s="285"/>
      <c r="AL109" s="285"/>
      <c r="AM109" s="285"/>
      <c r="AN109" s="285"/>
    </row>
    <row r="110" spans="1:40">
      <c r="A110" s="286"/>
      <c r="B110" s="350" t="s">
        <v>1095</v>
      </c>
      <c r="C110" s="149">
        <f>'Inputs and eligible population'!J85</f>
        <v>15</v>
      </c>
      <c r="D110" s="128">
        <f>((D78+D79)*$C$110)/60</f>
        <v>0</v>
      </c>
      <c r="E110" s="128">
        <f t="shared" ref="E110:I110" si="67">((E78+E79)*$C$110)/60</f>
        <v>0</v>
      </c>
      <c r="F110" s="128">
        <f t="shared" si="67"/>
        <v>0</v>
      </c>
      <c r="G110" s="128">
        <f t="shared" si="67"/>
        <v>0</v>
      </c>
      <c r="H110" s="128">
        <f t="shared" si="67"/>
        <v>0</v>
      </c>
      <c r="I110" s="128">
        <f t="shared" si="67"/>
        <v>0</v>
      </c>
      <c r="J110" s="286"/>
      <c r="K110" s="669">
        <f>'Inputs and eligible population'!$M$85</f>
        <v>42.15</v>
      </c>
      <c r="L110" s="292">
        <f>(D110*'Inputs and eligible population'!$M$85)/1000</f>
        <v>0</v>
      </c>
      <c r="M110" s="292">
        <f>(E110*'Inputs and eligible population'!$M$85)/1000</f>
        <v>0</v>
      </c>
      <c r="N110" s="292">
        <f>(F110*'Inputs and eligible population'!$M$85)/1000</f>
        <v>0</v>
      </c>
      <c r="O110" s="292">
        <f>(G110*'Inputs and eligible population'!$M$85)/1000</f>
        <v>0</v>
      </c>
      <c r="P110" s="292">
        <f>(H110*'Inputs and eligible population'!$M$85)/1000</f>
        <v>0</v>
      </c>
      <c r="Q110" s="292">
        <f>(I110*'Inputs and eligible population'!$M$85)/1000</f>
        <v>0</v>
      </c>
      <c r="V110" s="133"/>
      <c r="AJ110" s="285"/>
      <c r="AK110" s="285"/>
      <c r="AL110" s="285"/>
      <c r="AM110" s="285"/>
      <c r="AN110" s="285"/>
    </row>
    <row r="111" spans="1:40">
      <c r="A111" s="286"/>
      <c r="B111" s="282"/>
      <c r="C111" s="282"/>
      <c r="D111" s="186">
        <f>SUM(D106:D110)</f>
        <v>549.255</v>
      </c>
      <c r="E111" s="186">
        <f t="shared" ref="E111:I111" si="68">SUM(E106:E110)</f>
        <v>2851.9755992156588</v>
      </c>
      <c r="F111" s="186">
        <f t="shared" si="68"/>
        <v>4329.2088711653005</v>
      </c>
      <c r="G111" s="186">
        <f t="shared" si="68"/>
        <v>4370.9502695722094</v>
      </c>
      <c r="H111" s="186">
        <f t="shared" si="68"/>
        <v>4413.0941305058332</v>
      </c>
      <c r="I111" s="186">
        <f t="shared" si="68"/>
        <v>4455.6443344323643</v>
      </c>
      <c r="J111" s="286"/>
      <c r="K111" s="286"/>
      <c r="L111" s="293">
        <f>SUM(L106:L110)</f>
        <v>23.15109825</v>
      </c>
      <c r="M111" s="293">
        <f t="shared" ref="M111:Q111" si="69">SUM(M106:M110)</f>
        <v>120.21077150694002</v>
      </c>
      <c r="N111" s="293">
        <f t="shared" si="69"/>
        <v>182.47615391961739</v>
      </c>
      <c r="O111" s="293">
        <f t="shared" si="69"/>
        <v>184.23555386246863</v>
      </c>
      <c r="P111" s="293">
        <f t="shared" si="69"/>
        <v>186.01191760082085</v>
      </c>
      <c r="Q111" s="293">
        <f t="shared" si="69"/>
        <v>187.80540869632415</v>
      </c>
      <c r="R111" s="133"/>
      <c r="S111" s="133"/>
      <c r="T111" s="133"/>
      <c r="U111" s="133"/>
      <c r="V111" s="133"/>
      <c r="W111" s="133"/>
      <c r="X111" s="133"/>
      <c r="Y111" s="133"/>
      <c r="Z111" s="133"/>
      <c r="AJ111" s="285"/>
      <c r="AK111" s="285"/>
      <c r="AL111" s="285"/>
      <c r="AM111" s="285"/>
      <c r="AN111" s="285"/>
    </row>
    <row r="112" spans="1:40">
      <c r="A112" s="286"/>
      <c r="B112" s="305"/>
      <c r="C112" s="282"/>
      <c r="D112" s="284" t="s">
        <v>757</v>
      </c>
      <c r="E112" s="186">
        <f>E111-$D$111</f>
        <v>2302.7205992156587</v>
      </c>
      <c r="F112" s="186">
        <f>F111-$D$111</f>
        <v>3779.9538711653004</v>
      </c>
      <c r="G112" s="186">
        <f>G111-$D$111</f>
        <v>3821.6952695722093</v>
      </c>
      <c r="H112" s="186">
        <f>H111-$D$111</f>
        <v>3863.8391305058331</v>
      </c>
      <c r="I112" s="186">
        <f>I111-$D$111</f>
        <v>3906.3893344323642</v>
      </c>
      <c r="J112" s="286"/>
      <c r="K112" s="286"/>
      <c r="L112" s="535"/>
      <c r="M112" s="293">
        <f>M111-$L$111</f>
        <v>97.059673256940016</v>
      </c>
      <c r="N112" s="293">
        <f>N111-$L$111</f>
        <v>159.3250556696174</v>
      </c>
      <c r="O112" s="293">
        <f>O111-$L$111</f>
        <v>161.08445561246864</v>
      </c>
      <c r="P112" s="293">
        <f>P111-$L$111</f>
        <v>162.86081935082086</v>
      </c>
      <c r="Q112" s="293">
        <f>Q111-$L$111</f>
        <v>164.65431044632416</v>
      </c>
      <c r="R112" s="133"/>
      <c r="S112" s="133"/>
      <c r="T112" s="133"/>
      <c r="U112" s="133"/>
      <c r="V112" s="133"/>
      <c r="W112" s="133"/>
      <c r="X112" s="133"/>
      <c r="Y112" s="133"/>
      <c r="Z112" s="133"/>
      <c r="AJ112" s="285"/>
      <c r="AK112" s="285"/>
      <c r="AL112" s="285"/>
      <c r="AM112" s="285"/>
      <c r="AN112" s="285"/>
    </row>
    <row r="113" spans="1:40">
      <c r="A113" s="286"/>
      <c r="B113" s="324"/>
      <c r="C113" s="217"/>
      <c r="D113" s="217"/>
      <c r="E113" s="217"/>
      <c r="F113" s="217"/>
      <c r="G113" s="217"/>
      <c r="H113" s="217"/>
      <c r="I113" s="217"/>
      <c r="J113" s="286"/>
      <c r="K113" s="286"/>
      <c r="L113" s="217"/>
      <c r="M113" s="217"/>
      <c r="N113" s="217"/>
      <c r="O113" s="217"/>
      <c r="P113" s="217"/>
      <c r="Q113" s="217"/>
      <c r="R113" s="133"/>
      <c r="S113" s="133"/>
      <c r="T113" s="133"/>
      <c r="U113" s="133"/>
      <c r="V113" s="133"/>
      <c r="W113" s="133"/>
      <c r="X113" s="133"/>
      <c r="Y113" s="133"/>
      <c r="Z113" s="133"/>
      <c r="AJ113" s="285"/>
      <c r="AK113" s="285"/>
      <c r="AL113" s="285"/>
      <c r="AM113" s="285"/>
      <c r="AN113" s="285"/>
    </row>
    <row r="114" spans="1:40" ht="13.5" hidden="1" customHeight="1">
      <c r="A114" s="288"/>
      <c r="B114" s="325" t="s">
        <v>758</v>
      </c>
      <c r="C114" s="308"/>
      <c r="D114" s="307"/>
      <c r="E114" s="308"/>
      <c r="F114" s="309"/>
      <c r="G114" s="310"/>
      <c r="H114" s="310"/>
      <c r="I114" s="361"/>
      <c r="J114" s="288"/>
      <c r="K114" s="288"/>
      <c r="L114" s="288"/>
      <c r="M114" s="288"/>
      <c r="N114" s="288"/>
      <c r="O114" s="288"/>
      <c r="P114" s="288"/>
      <c r="Q114" s="288"/>
      <c r="R114" s="133"/>
      <c r="S114" s="133"/>
      <c r="T114" s="133"/>
      <c r="U114" s="133"/>
      <c r="V114" s="133"/>
      <c r="W114" s="133"/>
      <c r="X114" s="133"/>
      <c r="Y114" s="133"/>
      <c r="Z114" s="133"/>
      <c r="AJ114" s="285"/>
      <c r="AK114" s="285"/>
      <c r="AL114" s="285"/>
      <c r="AM114" s="285"/>
      <c r="AN114" s="285"/>
    </row>
    <row r="115" spans="1:40" hidden="1">
      <c r="A115" s="288"/>
      <c r="B115" s="391" t="s">
        <v>759</v>
      </c>
      <c r="C115" s="392"/>
      <c r="D115" s="392"/>
      <c r="E115" s="392"/>
      <c r="F115" s="392"/>
      <c r="G115" s="392"/>
      <c r="H115" s="392"/>
      <c r="I115" s="220"/>
      <c r="J115" s="288"/>
      <c r="K115" s="288"/>
      <c r="L115" s="288"/>
      <c r="M115" s="288"/>
      <c r="N115" s="288"/>
      <c r="O115" s="288"/>
      <c r="P115" s="288"/>
      <c r="Q115" s="288"/>
      <c r="R115" s="133"/>
      <c r="S115" s="133"/>
      <c r="T115" s="133"/>
      <c r="U115" s="133"/>
      <c r="V115" s="133"/>
      <c r="W115" s="133"/>
      <c r="X115" s="133"/>
      <c r="Y115" s="133"/>
      <c r="Z115" s="133"/>
      <c r="AJ115" s="285"/>
      <c r="AK115" s="285"/>
      <c r="AL115" s="285"/>
      <c r="AM115" s="285"/>
      <c r="AN115" s="285"/>
    </row>
    <row r="116" spans="1:40" ht="72.5" hidden="1">
      <c r="A116" s="288"/>
      <c r="B116" s="278" t="s">
        <v>125</v>
      </c>
      <c r="C116" s="165" t="s">
        <v>760</v>
      </c>
      <c r="D116" s="422" t="s">
        <v>736</v>
      </c>
      <c r="E116" s="256" t="s">
        <v>51</v>
      </c>
      <c r="F116" s="256" t="s">
        <v>52</v>
      </c>
      <c r="G116" s="164" t="s">
        <v>737</v>
      </c>
      <c r="H116" s="164" t="s">
        <v>738</v>
      </c>
      <c r="I116" s="256" t="s">
        <v>739</v>
      </c>
      <c r="J116" s="288"/>
      <c r="K116" s="288"/>
      <c r="L116" s="288"/>
      <c r="M116" s="288"/>
      <c r="N116" s="288"/>
      <c r="O116" s="288"/>
      <c r="P116" s="288"/>
      <c r="Q116" s="288"/>
      <c r="R116" s="133"/>
      <c r="S116" s="133"/>
      <c r="T116" s="133"/>
      <c r="U116" s="133"/>
      <c r="V116" s="133"/>
      <c r="W116" s="133"/>
      <c r="X116" s="133"/>
      <c r="Y116" s="133"/>
      <c r="Z116" s="133"/>
      <c r="AJ116" s="285"/>
      <c r="AK116" s="285"/>
      <c r="AL116" s="285"/>
      <c r="AM116" s="285"/>
      <c r="AN116" s="285"/>
    </row>
    <row r="117" spans="1:40" hidden="1">
      <c r="A117" s="288"/>
      <c r="B117" s="350" t="s">
        <v>944</v>
      </c>
      <c r="C117" s="149">
        <f>'Inputs and eligible population'!G86</f>
        <v>0</v>
      </c>
      <c r="D117" s="128" t="e">
        <f>D$7*'Inputs and eligible population'!#REF!*'Unit costs'!$O$16*'Capacity (local prices)'!$C117</f>
        <v>#REF!</v>
      </c>
      <c r="E117" s="128" t="e">
        <f>E$7*'Inputs and eligible population'!#REF!*'Unit costs'!$O$16*'Capacity (local prices)'!$C117</f>
        <v>#REF!</v>
      </c>
      <c r="F117" s="128" t="e">
        <f>F$7*'Inputs and eligible population'!#REF!*'Unit costs'!$O$16*'Capacity (local prices)'!$C117</f>
        <v>#REF!</v>
      </c>
      <c r="G117" s="128" t="e">
        <f>G$7*'Inputs and eligible population'!#REF!*'Unit costs'!$O$16*'Capacity (local prices)'!$C117</f>
        <v>#REF!</v>
      </c>
      <c r="H117" s="128" t="e">
        <f>H$7*'Inputs and eligible population'!#REF!*'Unit costs'!$O$16*'Capacity (local prices)'!$C117</f>
        <v>#REF!</v>
      </c>
      <c r="I117" s="128" t="e">
        <f>I$7*'Inputs and eligible population'!#REF!*'Unit costs'!$O$16*'Capacity (local prices)'!$C117</f>
        <v>#REF!</v>
      </c>
      <c r="J117" s="288"/>
      <c r="K117" s="288"/>
      <c r="L117" s="288"/>
      <c r="M117" s="288"/>
      <c r="N117" s="288"/>
      <c r="O117" s="288"/>
      <c r="P117" s="288"/>
      <c r="Q117" s="288"/>
      <c r="R117" s="133"/>
      <c r="S117" s="133"/>
      <c r="T117" s="133"/>
      <c r="U117" s="133"/>
      <c r="V117" s="133"/>
      <c r="W117" s="133"/>
      <c r="X117" s="133"/>
      <c r="Y117" s="133"/>
      <c r="Z117" s="133"/>
      <c r="AJ117" s="285"/>
      <c r="AK117" s="285"/>
      <c r="AL117" s="285"/>
      <c r="AM117" s="285"/>
      <c r="AN117" s="285"/>
    </row>
    <row r="118" spans="1:40" hidden="1">
      <c r="A118" s="288"/>
      <c r="B118" s="350" t="s">
        <v>945</v>
      </c>
      <c r="C118" s="149">
        <f>'Inputs and eligible population'!I86</f>
        <v>0</v>
      </c>
      <c r="D118" s="128" t="e">
        <f>D$7*'Inputs and eligible population'!#REF!*'Unit costs'!#REF!*'Capacity (local prices)'!$C118</f>
        <v>#REF!</v>
      </c>
      <c r="E118" s="128" t="e">
        <f>E$7*'Inputs and eligible population'!#REF!*'Unit costs'!#REF!*'Capacity (local prices)'!$C118</f>
        <v>#REF!</v>
      </c>
      <c r="F118" s="128" t="e">
        <f>F$7*'Inputs and eligible population'!#REF!*'Unit costs'!#REF!*'Capacity (local prices)'!$C118</f>
        <v>#REF!</v>
      </c>
      <c r="G118" s="128" t="e">
        <f>G$7*'Inputs and eligible population'!#REF!*'Unit costs'!#REF!*'Capacity (local prices)'!$C118</f>
        <v>#REF!</v>
      </c>
      <c r="H118" s="128" t="e">
        <f>H$7*'Inputs and eligible population'!#REF!*'Unit costs'!#REF!*'Capacity (local prices)'!$C118</f>
        <v>#REF!</v>
      </c>
      <c r="I118" s="128" t="e">
        <f>I$7*'Inputs and eligible population'!#REF!*'Unit costs'!#REF!*'Capacity (local prices)'!$C118</f>
        <v>#REF!</v>
      </c>
      <c r="J118" s="288"/>
      <c r="K118" s="288"/>
      <c r="L118" s="288"/>
      <c r="M118" s="288"/>
      <c r="N118" s="288"/>
      <c r="O118" s="288"/>
      <c r="P118" s="288"/>
      <c r="Q118" s="288"/>
      <c r="R118" s="133"/>
      <c r="S118" s="133"/>
      <c r="T118" s="133"/>
      <c r="U118" s="133"/>
      <c r="V118" s="133"/>
      <c r="W118" s="133"/>
      <c r="X118" s="133"/>
      <c r="Y118" s="133"/>
      <c r="Z118" s="133"/>
      <c r="AJ118" s="285"/>
      <c r="AK118" s="285"/>
      <c r="AL118" s="285"/>
      <c r="AM118" s="285"/>
      <c r="AN118" s="285"/>
    </row>
    <row r="119" spans="1:40" hidden="1">
      <c r="A119" s="288"/>
      <c r="B119" s="350" t="s">
        <v>946</v>
      </c>
      <c r="C119" s="149">
        <f>'Inputs and eligible population'!J86</f>
        <v>0</v>
      </c>
      <c r="D119" s="128" t="e">
        <f>D$7*'Inputs and eligible population'!#REF!*'Unit costs'!#REF!*'Capacity (local prices)'!$C119</f>
        <v>#REF!</v>
      </c>
      <c r="E119" s="128" t="e">
        <f>E$7*'Inputs and eligible population'!#REF!*'Unit costs'!#REF!*'Capacity (local prices)'!$C119</f>
        <v>#REF!</v>
      </c>
      <c r="F119" s="128" t="e">
        <f>F$7*'Inputs and eligible population'!#REF!*'Unit costs'!#REF!*'Capacity (local prices)'!$C119</f>
        <v>#REF!</v>
      </c>
      <c r="G119" s="128" t="e">
        <f>G$7*'Inputs and eligible population'!#REF!*'Unit costs'!#REF!*'Capacity (local prices)'!$C119</f>
        <v>#REF!</v>
      </c>
      <c r="H119" s="128" t="e">
        <f>H$7*'Inputs and eligible population'!#REF!*'Unit costs'!#REF!*'Capacity (local prices)'!$C119</f>
        <v>#REF!</v>
      </c>
      <c r="I119" s="128" t="e">
        <f>I$7*'Inputs and eligible population'!#REF!*'Unit costs'!#REF!*'Capacity (local prices)'!$C119</f>
        <v>#REF!</v>
      </c>
      <c r="J119" s="288"/>
      <c r="K119" s="288"/>
      <c r="L119" s="288"/>
      <c r="M119" s="288"/>
      <c r="N119" s="288"/>
      <c r="O119" s="288"/>
      <c r="P119" s="288"/>
      <c r="Q119" s="288"/>
      <c r="R119" s="133"/>
      <c r="S119" s="133"/>
      <c r="T119" s="133"/>
      <c r="U119" s="133"/>
      <c r="V119" s="133"/>
      <c r="W119" s="133"/>
      <c r="X119" s="133"/>
      <c r="Y119" s="133"/>
      <c r="Z119" s="133"/>
      <c r="AJ119" s="285"/>
      <c r="AK119" s="285"/>
      <c r="AL119" s="285"/>
      <c r="AM119" s="285"/>
      <c r="AN119" s="285"/>
    </row>
    <row r="120" spans="1:40" hidden="1">
      <c r="A120" s="288"/>
      <c r="B120" s="282"/>
      <c r="C120" s="207"/>
      <c r="D120" s="186" t="e">
        <f t="shared" ref="D120:I120" si="70">SUM(D117:D119)</f>
        <v>#REF!</v>
      </c>
      <c r="E120" s="186" t="e">
        <f>SUM(E117:E119)</f>
        <v>#REF!</v>
      </c>
      <c r="F120" s="186" t="e">
        <f t="shared" si="70"/>
        <v>#REF!</v>
      </c>
      <c r="G120" s="186" t="e">
        <f t="shared" si="70"/>
        <v>#REF!</v>
      </c>
      <c r="H120" s="186" t="e">
        <f t="shared" si="70"/>
        <v>#REF!</v>
      </c>
      <c r="I120" s="186" t="e">
        <f t="shared" si="70"/>
        <v>#REF!</v>
      </c>
      <c r="J120" s="288"/>
      <c r="K120" s="288"/>
      <c r="L120" s="288"/>
      <c r="M120" s="288"/>
      <c r="N120" s="288"/>
      <c r="O120" s="288"/>
      <c r="P120" s="288"/>
      <c r="Q120" s="288"/>
      <c r="R120" s="133"/>
      <c r="S120" s="133"/>
      <c r="T120" s="133"/>
      <c r="U120" s="133"/>
      <c r="V120" s="133"/>
      <c r="W120" s="133"/>
      <c r="X120" s="133"/>
      <c r="Y120" s="133"/>
      <c r="Z120" s="133"/>
      <c r="AJ120" s="285"/>
      <c r="AK120" s="285"/>
      <c r="AL120" s="285"/>
      <c r="AM120" s="285"/>
      <c r="AN120" s="285"/>
    </row>
    <row r="121" spans="1:40" hidden="1">
      <c r="A121" s="288"/>
      <c r="B121" s="305"/>
      <c r="C121" s="225"/>
      <c r="D121" s="284" t="s">
        <v>177</v>
      </c>
      <c r="E121" s="186" t="e">
        <f>E120-$D$120</f>
        <v>#REF!</v>
      </c>
      <c r="F121" s="186" t="e">
        <f>F120-$D$120</f>
        <v>#REF!</v>
      </c>
      <c r="G121" s="186" t="e">
        <f>G120-$D$120</f>
        <v>#REF!</v>
      </c>
      <c r="H121" s="186" t="e">
        <f>H120-$D$120</f>
        <v>#REF!</v>
      </c>
      <c r="I121" s="186" t="e">
        <f>I120-$D$120</f>
        <v>#REF!</v>
      </c>
      <c r="J121" s="288"/>
      <c r="K121" s="288"/>
      <c r="L121" s="288"/>
      <c r="M121" s="288"/>
      <c r="N121" s="288"/>
      <c r="O121" s="288"/>
      <c r="P121" s="288"/>
      <c r="Q121" s="288"/>
      <c r="R121" s="133"/>
      <c r="S121" s="133"/>
      <c r="T121" s="133"/>
      <c r="U121" s="133"/>
      <c r="V121" s="133"/>
      <c r="W121" s="133"/>
      <c r="X121" s="133"/>
      <c r="Y121" s="133"/>
      <c r="Z121" s="133"/>
      <c r="AJ121" s="285"/>
      <c r="AK121" s="285"/>
      <c r="AL121" s="285"/>
      <c r="AM121" s="285"/>
      <c r="AN121" s="285"/>
    </row>
    <row r="122" spans="1:40" hidden="1">
      <c r="A122" s="288"/>
      <c r="B122" s="326"/>
      <c r="C122" s="392"/>
      <c r="D122" s="221"/>
      <c r="E122" s="221"/>
      <c r="F122" s="221"/>
      <c r="G122" s="221"/>
      <c r="H122" s="310"/>
      <c r="I122" s="310"/>
      <c r="J122" s="288"/>
      <c r="K122" s="288"/>
      <c r="L122" s="288"/>
      <c r="M122" s="288"/>
      <c r="N122" s="288"/>
      <c r="O122" s="288"/>
      <c r="P122" s="288"/>
      <c r="Q122" s="288"/>
      <c r="R122" s="133"/>
      <c r="S122" s="133"/>
      <c r="T122" s="133"/>
      <c r="U122" s="133"/>
      <c r="V122" s="133"/>
      <c r="W122" s="133"/>
      <c r="X122" s="133"/>
      <c r="Y122" s="133"/>
      <c r="Z122" s="133"/>
      <c r="AJ122" s="285"/>
      <c r="AK122" s="285"/>
      <c r="AL122" s="285"/>
      <c r="AM122" s="285"/>
      <c r="AN122" s="285"/>
    </row>
    <row r="123" spans="1:40" hidden="1">
      <c r="A123" s="288"/>
      <c r="B123" s="391" t="s">
        <v>761</v>
      </c>
      <c r="C123" s="392"/>
      <c r="D123" s="392"/>
      <c r="E123" s="392"/>
      <c r="F123" s="392"/>
      <c r="G123" s="392"/>
      <c r="H123" s="392"/>
      <c r="I123" s="220"/>
      <c r="J123" s="288"/>
      <c r="K123" s="288"/>
      <c r="L123" s="288"/>
      <c r="M123" s="288"/>
      <c r="N123" s="288"/>
      <c r="O123" s="288"/>
      <c r="P123" s="288"/>
      <c r="Q123" s="288"/>
      <c r="R123" s="133"/>
      <c r="S123" s="133"/>
      <c r="T123" s="133"/>
      <c r="U123" s="133"/>
      <c r="V123" s="133"/>
      <c r="W123" s="133"/>
      <c r="X123" s="133"/>
      <c r="Y123" s="133"/>
      <c r="Z123" s="133"/>
      <c r="AJ123" s="285"/>
      <c r="AK123" s="285"/>
      <c r="AL123" s="285"/>
      <c r="AM123" s="285"/>
      <c r="AN123" s="285"/>
    </row>
    <row r="124" spans="1:40" ht="72.5" hidden="1">
      <c r="A124" s="288"/>
      <c r="B124" s="278" t="s">
        <v>125</v>
      </c>
      <c r="C124" s="165" t="s">
        <v>762</v>
      </c>
      <c r="D124" s="422" t="s">
        <v>736</v>
      </c>
      <c r="E124" s="256" t="s">
        <v>51</v>
      </c>
      <c r="F124" s="256" t="s">
        <v>52</v>
      </c>
      <c r="G124" s="164" t="s">
        <v>737</v>
      </c>
      <c r="H124" s="164" t="s">
        <v>738</v>
      </c>
      <c r="I124" s="256" t="s">
        <v>739</v>
      </c>
      <c r="J124" s="288"/>
      <c r="K124" s="288"/>
      <c r="L124" s="288"/>
      <c r="M124" s="288"/>
      <c r="N124" s="288"/>
      <c r="O124" s="288"/>
      <c r="P124" s="288"/>
      <c r="Q124" s="288"/>
      <c r="R124" s="133"/>
      <c r="S124" s="133"/>
      <c r="T124" s="133"/>
      <c r="U124" s="133"/>
      <c r="V124" s="133"/>
      <c r="W124" s="133"/>
      <c r="X124" s="133"/>
      <c r="Y124" s="133"/>
      <c r="Z124" s="133"/>
      <c r="AJ124" s="285"/>
      <c r="AK124" s="285"/>
      <c r="AL124" s="285"/>
      <c r="AM124" s="285"/>
      <c r="AN124" s="285"/>
    </row>
    <row r="125" spans="1:40" hidden="1">
      <c r="A125" s="288"/>
      <c r="B125" s="350" t="s">
        <v>944</v>
      </c>
      <c r="C125" s="149">
        <f>'Inputs and eligible population'!G87</f>
        <v>0</v>
      </c>
      <c r="D125" s="128" t="e">
        <f>D$7*'Inputs and eligible population'!#REF!*'Unit costs'!$O$16*'Capacity (local prices)'!$C125</f>
        <v>#REF!</v>
      </c>
      <c r="E125" s="128" t="e">
        <f>E$7*'Inputs and eligible population'!#REF!*'Unit costs'!$O$16*'Capacity (local prices)'!$C125</f>
        <v>#REF!</v>
      </c>
      <c r="F125" s="128" t="e">
        <f>F$7*'Inputs and eligible population'!#REF!*'Unit costs'!$O$16*'Capacity (local prices)'!$C125</f>
        <v>#REF!</v>
      </c>
      <c r="G125" s="128" t="e">
        <f>G$7*'Inputs and eligible population'!#REF!*'Unit costs'!$O$16*'Capacity (local prices)'!$C125</f>
        <v>#REF!</v>
      </c>
      <c r="H125" s="128" t="e">
        <f>H$7*'Inputs and eligible population'!#REF!*'Unit costs'!$O$16*'Capacity (local prices)'!$C125</f>
        <v>#REF!</v>
      </c>
      <c r="I125" s="128" t="e">
        <f>I$7*'Inputs and eligible population'!#REF!*'Unit costs'!$O$16*'Capacity (local prices)'!$C125</f>
        <v>#REF!</v>
      </c>
      <c r="J125" s="288"/>
      <c r="K125" s="288"/>
      <c r="L125" s="221"/>
      <c r="M125" s="221"/>
      <c r="N125" s="288"/>
      <c r="O125" s="221"/>
      <c r="P125" s="221"/>
      <c r="Q125" s="221"/>
      <c r="R125" s="133"/>
      <c r="S125" s="133"/>
      <c r="T125" s="133"/>
      <c r="U125" s="133"/>
      <c r="V125" s="133"/>
      <c r="W125" s="133"/>
      <c r="X125" s="133"/>
      <c r="Y125" s="133"/>
      <c r="Z125" s="133"/>
      <c r="AJ125" s="285"/>
      <c r="AK125" s="285"/>
      <c r="AL125" s="285"/>
      <c r="AM125" s="285"/>
      <c r="AN125" s="285"/>
    </row>
    <row r="126" spans="1:40" hidden="1">
      <c r="A126" s="288"/>
      <c r="B126" s="350" t="s">
        <v>945</v>
      </c>
      <c r="C126" s="149">
        <f>'Inputs and eligible population'!I87</f>
        <v>0</v>
      </c>
      <c r="D126" s="128" t="e">
        <f>D$7*'Inputs and eligible population'!#REF!*'Unit costs'!#REF!*'Capacity (local prices)'!$C126</f>
        <v>#REF!</v>
      </c>
      <c r="E126" s="128" t="e">
        <f>E$7*'Inputs and eligible population'!#REF!*'Unit costs'!#REF!*'Capacity (local prices)'!$C126</f>
        <v>#REF!</v>
      </c>
      <c r="F126" s="128" t="e">
        <f>F$7*'Inputs and eligible population'!#REF!*'Unit costs'!#REF!*'Capacity (local prices)'!$C126</f>
        <v>#REF!</v>
      </c>
      <c r="G126" s="128" t="e">
        <f>G$7*'Inputs and eligible population'!#REF!*'Unit costs'!#REF!*'Capacity (local prices)'!$C126</f>
        <v>#REF!</v>
      </c>
      <c r="H126" s="128" t="e">
        <f>H$7*'Inputs and eligible population'!#REF!*'Unit costs'!#REF!*'Capacity (local prices)'!$C126</f>
        <v>#REF!</v>
      </c>
      <c r="I126" s="128" t="e">
        <f>I$7*'Inputs and eligible population'!#REF!*'Unit costs'!#REF!*'Capacity (local prices)'!$C126</f>
        <v>#REF!</v>
      </c>
      <c r="J126" s="288"/>
      <c r="K126" s="288"/>
      <c r="L126" s="221"/>
      <c r="M126" s="221"/>
      <c r="N126" s="288"/>
      <c r="O126" s="221"/>
      <c r="P126" s="221"/>
      <c r="Q126" s="221"/>
      <c r="R126" s="133"/>
      <c r="S126" s="133"/>
      <c r="T126" s="133"/>
      <c r="U126" s="133"/>
      <c r="V126" s="133"/>
      <c r="W126" s="133"/>
      <c r="X126" s="133"/>
      <c r="Y126" s="133"/>
      <c r="Z126" s="133"/>
      <c r="AJ126" s="285"/>
      <c r="AK126" s="285"/>
      <c r="AL126" s="285"/>
      <c r="AM126" s="285"/>
      <c r="AN126" s="285"/>
    </row>
    <row r="127" spans="1:40" hidden="1">
      <c r="A127" s="288"/>
      <c r="B127" s="350" t="s">
        <v>946</v>
      </c>
      <c r="C127" s="149">
        <f>'Inputs and eligible population'!J87</f>
        <v>0</v>
      </c>
      <c r="D127" s="128" t="e">
        <f>D$7*'Inputs and eligible population'!#REF!*'Unit costs'!#REF!*'Capacity (local prices)'!$C127</f>
        <v>#REF!</v>
      </c>
      <c r="E127" s="128" t="e">
        <f>E$7*'Inputs and eligible population'!#REF!*'Unit costs'!#REF!*'Capacity (local prices)'!$C127</f>
        <v>#REF!</v>
      </c>
      <c r="F127" s="128" t="e">
        <f>F$7*'Inputs and eligible population'!#REF!*'Unit costs'!#REF!*'Capacity (local prices)'!$C127</f>
        <v>#REF!</v>
      </c>
      <c r="G127" s="128" t="e">
        <f>G$7*'Inputs and eligible population'!#REF!*'Unit costs'!#REF!*'Capacity (local prices)'!$C127</f>
        <v>#REF!</v>
      </c>
      <c r="H127" s="128" t="e">
        <f>H$7*'Inputs and eligible population'!#REF!*'Unit costs'!#REF!*'Capacity (local prices)'!$C127</f>
        <v>#REF!</v>
      </c>
      <c r="I127" s="128" t="e">
        <f>I$7*'Inputs and eligible population'!#REF!*'Unit costs'!#REF!*'Capacity (local prices)'!$C127</f>
        <v>#REF!</v>
      </c>
      <c r="J127" s="288"/>
      <c r="K127" s="288"/>
      <c r="L127" s="221"/>
      <c r="M127" s="221"/>
      <c r="N127" s="288"/>
      <c r="O127" s="221"/>
      <c r="P127" s="221"/>
      <c r="Q127" s="221"/>
      <c r="R127" s="133"/>
      <c r="S127" s="133"/>
      <c r="T127" s="133"/>
      <c r="U127" s="133"/>
      <c r="V127" s="133"/>
      <c r="W127" s="133"/>
      <c r="X127" s="133"/>
      <c r="Y127" s="133"/>
      <c r="Z127" s="133"/>
      <c r="AJ127" s="285"/>
      <c r="AK127" s="285"/>
      <c r="AL127" s="285"/>
      <c r="AM127" s="285"/>
      <c r="AN127" s="285"/>
    </row>
    <row r="128" spans="1:40" hidden="1">
      <c r="A128" s="288"/>
      <c r="B128" s="282"/>
      <c r="C128" s="207"/>
      <c r="D128" s="186" t="e">
        <f t="shared" ref="D128:I128" si="71">SUM(D125:D127)</f>
        <v>#REF!</v>
      </c>
      <c r="E128" s="186" t="e">
        <f t="shared" si="71"/>
        <v>#REF!</v>
      </c>
      <c r="F128" s="186" t="e">
        <f t="shared" si="71"/>
        <v>#REF!</v>
      </c>
      <c r="G128" s="186" t="e">
        <f t="shared" si="71"/>
        <v>#REF!</v>
      </c>
      <c r="H128" s="186" t="e">
        <f t="shared" si="71"/>
        <v>#REF!</v>
      </c>
      <c r="I128" s="186" t="e">
        <f t="shared" si="71"/>
        <v>#REF!</v>
      </c>
      <c r="J128" s="288"/>
      <c r="K128" s="288"/>
      <c r="L128" s="221"/>
      <c r="M128" s="221"/>
      <c r="N128" s="288"/>
      <c r="O128" s="221"/>
      <c r="P128" s="221"/>
      <c r="Q128" s="221"/>
      <c r="V128" s="133"/>
    </row>
    <row r="129" spans="1:22" hidden="1">
      <c r="A129" s="288"/>
      <c r="B129" s="305"/>
      <c r="C129" s="225"/>
      <c r="D129" s="284" t="s">
        <v>178</v>
      </c>
      <c r="E129" s="186" t="e">
        <f>E128-$D$128</f>
        <v>#REF!</v>
      </c>
      <c r="F129" s="186" t="e">
        <f>F128-$D$128</f>
        <v>#REF!</v>
      </c>
      <c r="G129" s="186" t="e">
        <f>G128-$D$128</f>
        <v>#REF!</v>
      </c>
      <c r="H129" s="186" t="e">
        <f>H128-$D$128</f>
        <v>#REF!</v>
      </c>
      <c r="I129" s="186" t="e">
        <f>I128-$D$128</f>
        <v>#REF!</v>
      </c>
      <c r="J129" s="288"/>
      <c r="K129" s="288"/>
      <c r="L129" s="221"/>
      <c r="M129" s="221"/>
      <c r="N129" s="288"/>
      <c r="O129" s="221"/>
      <c r="P129" s="221"/>
      <c r="Q129" s="221"/>
      <c r="V129" s="133"/>
    </row>
    <row r="130" spans="1:22" hidden="1">
      <c r="A130" s="288"/>
      <c r="B130" s="326"/>
      <c r="C130" s="392"/>
      <c r="D130" s="221"/>
      <c r="E130" s="221"/>
      <c r="F130" s="221"/>
      <c r="G130" s="221"/>
      <c r="H130" s="310"/>
      <c r="I130" s="310"/>
      <c r="J130" s="288"/>
      <c r="K130" s="288"/>
      <c r="L130" s="221"/>
      <c r="M130" s="221"/>
      <c r="N130" s="288"/>
      <c r="O130" s="221"/>
      <c r="P130" s="221"/>
      <c r="Q130" s="221"/>
      <c r="V130" s="133"/>
    </row>
    <row r="131" spans="1:22" hidden="1">
      <c r="A131" s="288"/>
      <c r="B131" s="391" t="s">
        <v>763</v>
      </c>
      <c r="C131" s="392"/>
      <c r="D131" s="392"/>
      <c r="E131" s="392"/>
      <c r="F131" s="392"/>
      <c r="G131" s="392"/>
      <c r="H131" s="392"/>
      <c r="I131" s="220"/>
      <c r="J131" s="288"/>
      <c r="K131" s="288"/>
      <c r="L131" s="288"/>
      <c r="M131" s="288"/>
      <c r="N131" s="288"/>
      <c r="O131" s="288"/>
      <c r="P131" s="288"/>
      <c r="Q131" s="288"/>
      <c r="V131" s="133"/>
    </row>
    <row r="132" spans="1:22" ht="72.5" hidden="1">
      <c r="A132" s="288"/>
      <c r="B132" s="278" t="s">
        <v>125</v>
      </c>
      <c r="C132" s="165" t="s">
        <v>764</v>
      </c>
      <c r="D132" s="422" t="s">
        <v>736</v>
      </c>
      <c r="E132" s="256" t="s">
        <v>51</v>
      </c>
      <c r="F132" s="256" t="s">
        <v>52</v>
      </c>
      <c r="G132" s="164" t="s">
        <v>737</v>
      </c>
      <c r="H132" s="164" t="s">
        <v>738</v>
      </c>
      <c r="I132" s="256" t="s">
        <v>739</v>
      </c>
      <c r="J132" s="288"/>
      <c r="K132" s="288"/>
      <c r="L132" s="422" t="s">
        <v>736</v>
      </c>
      <c r="M132" s="256" t="s">
        <v>51</v>
      </c>
      <c r="N132" s="256" t="s">
        <v>52</v>
      </c>
      <c r="O132" s="164" t="s">
        <v>737</v>
      </c>
      <c r="P132" s="164" t="s">
        <v>738</v>
      </c>
      <c r="Q132" s="256" t="s">
        <v>739</v>
      </c>
      <c r="V132" s="133"/>
    </row>
    <row r="133" spans="1:22" hidden="1">
      <c r="A133" s="288"/>
      <c r="B133" s="350" t="s">
        <v>944</v>
      </c>
      <c r="C133" s="149">
        <f>'Inputs and eligible population'!G88</f>
        <v>0</v>
      </c>
      <c r="D133" s="128" t="e">
        <f>(D$7*'Inputs and eligible population'!#REF!*'Unit costs'!$O$16*'Capacity (local prices)'!$C133)/60</f>
        <v>#REF!</v>
      </c>
      <c r="E133" s="128" t="e">
        <f>(E$7*'Inputs and eligible population'!#REF!*'Unit costs'!$O$16*'Capacity (local prices)'!$C133)/60</f>
        <v>#REF!</v>
      </c>
      <c r="F133" s="128" t="e">
        <f>(F$7*'Inputs and eligible population'!#REF!*'Unit costs'!$O$16*'Capacity (local prices)'!$C133)/60</f>
        <v>#REF!</v>
      </c>
      <c r="G133" s="128" t="e">
        <f>(G$7*'Inputs and eligible population'!#REF!*'Unit costs'!$O$16*'Capacity (local prices)'!$C133)/60</f>
        <v>#REF!</v>
      </c>
      <c r="H133" s="128" t="e">
        <f>(H$7*'Inputs and eligible population'!#REF!*'Unit costs'!$O$16*'Capacity (local prices)'!$C133)/60</f>
        <v>#REF!</v>
      </c>
      <c r="I133" s="128" t="e">
        <f>(I$7*'Inputs and eligible population'!#REF!*'Unit costs'!$O$16*'Capacity (local prices)'!$C133)/60</f>
        <v>#REF!</v>
      </c>
      <c r="J133" s="288"/>
      <c r="K133" s="288"/>
      <c r="L133" s="292" t="e">
        <f>(D133*'Inputs and eligible population'!$L$88)/1000</f>
        <v>#REF!</v>
      </c>
      <c r="M133" s="292" t="e">
        <f>(E133*'Inputs and eligible population'!$L$88)/1000</f>
        <v>#REF!</v>
      </c>
      <c r="N133" s="292" t="e">
        <f>(F133*'Inputs and eligible population'!$L$88)/1000</f>
        <v>#REF!</v>
      </c>
      <c r="O133" s="292" t="e">
        <f>(G133*'Inputs and eligible population'!$L$88)/1000</f>
        <v>#REF!</v>
      </c>
      <c r="P133" s="292" t="e">
        <f>(H133*'Inputs and eligible population'!$L$88)/1000</f>
        <v>#REF!</v>
      </c>
      <c r="Q133" s="292" t="e">
        <f>(I133*'Inputs and eligible population'!$L$88)/1000</f>
        <v>#REF!</v>
      </c>
      <c r="V133" s="133"/>
    </row>
    <row r="134" spans="1:22" hidden="1">
      <c r="A134" s="288"/>
      <c r="B134" s="350" t="s">
        <v>945</v>
      </c>
      <c r="C134" s="149">
        <f>'Inputs and eligible population'!I88</f>
        <v>0</v>
      </c>
      <c r="D134" s="128" t="e">
        <f>(D$7*'Inputs and eligible population'!#REF!*'Unit costs'!#REF!*'Capacity (local prices)'!$C134)/60</f>
        <v>#REF!</v>
      </c>
      <c r="E134" s="128" t="e">
        <f>(E$7*'Inputs and eligible population'!#REF!*'Unit costs'!#REF!*'Capacity (local prices)'!$C134)/60</f>
        <v>#REF!</v>
      </c>
      <c r="F134" s="128" t="e">
        <f>(F$7*'Inputs and eligible population'!#REF!*'Unit costs'!#REF!*'Capacity (local prices)'!$C134)/60</f>
        <v>#REF!</v>
      </c>
      <c r="G134" s="128" t="e">
        <f>(G$7*'Inputs and eligible population'!#REF!*'Unit costs'!#REF!*'Capacity (local prices)'!$C134)/60</f>
        <v>#REF!</v>
      </c>
      <c r="H134" s="128" t="e">
        <f>(H$7*'Inputs and eligible population'!#REF!*'Unit costs'!#REF!*'Capacity (local prices)'!$C134)/60</f>
        <v>#REF!</v>
      </c>
      <c r="I134" s="128" t="e">
        <f>(I$7*'Inputs and eligible population'!#REF!*'Unit costs'!#REF!*'Capacity (local prices)'!$C134)/60</f>
        <v>#REF!</v>
      </c>
      <c r="J134" s="288"/>
      <c r="K134" s="288"/>
      <c r="L134" s="292" t="e">
        <f>(D134*'Inputs and eligible population'!$L$88)/1000</f>
        <v>#REF!</v>
      </c>
      <c r="M134" s="292" t="e">
        <f>(E134*'Inputs and eligible population'!$L$88)/1000</f>
        <v>#REF!</v>
      </c>
      <c r="N134" s="292" t="e">
        <f>(F134*'Inputs and eligible population'!$L$88)/1000</f>
        <v>#REF!</v>
      </c>
      <c r="O134" s="292" t="e">
        <f>(G134*'Inputs and eligible population'!$L$88)/1000</f>
        <v>#REF!</v>
      </c>
      <c r="P134" s="292" t="e">
        <f>(H134*'Inputs and eligible population'!$L$88)/1000</f>
        <v>#REF!</v>
      </c>
      <c r="Q134" s="292" t="e">
        <f>(I134*'Inputs and eligible population'!$L$88)/1000</f>
        <v>#REF!</v>
      </c>
      <c r="V134" s="133"/>
    </row>
    <row r="135" spans="1:22" hidden="1">
      <c r="A135" s="288"/>
      <c r="B135" s="350" t="s">
        <v>946</v>
      </c>
      <c r="C135" s="149">
        <f>'Inputs and eligible population'!J88</f>
        <v>0</v>
      </c>
      <c r="D135" s="128" t="e">
        <f>(D$7*'Inputs and eligible population'!#REF!*'Unit costs'!#REF!*'Capacity (local prices)'!$C135)/60</f>
        <v>#REF!</v>
      </c>
      <c r="E135" s="128" t="e">
        <f>(E$7*'Inputs and eligible population'!#REF!*'Unit costs'!#REF!*'Capacity (local prices)'!$C135)/60</f>
        <v>#REF!</v>
      </c>
      <c r="F135" s="128" t="e">
        <f>(F$7*'Inputs and eligible population'!#REF!*'Unit costs'!#REF!*'Capacity (local prices)'!$C135)/60</f>
        <v>#REF!</v>
      </c>
      <c r="G135" s="128" t="e">
        <f>(G$7*'Inputs and eligible population'!#REF!*'Unit costs'!#REF!*'Capacity (local prices)'!$C135)/60</f>
        <v>#REF!</v>
      </c>
      <c r="H135" s="128" t="e">
        <f>(H$7*'Inputs and eligible population'!#REF!*'Unit costs'!#REF!*'Capacity (local prices)'!$C135)/60</f>
        <v>#REF!</v>
      </c>
      <c r="I135" s="128" t="e">
        <f>(I$7*'Inputs and eligible population'!#REF!*'Unit costs'!#REF!*'Capacity (local prices)'!$C135)/60</f>
        <v>#REF!</v>
      </c>
      <c r="J135" s="288"/>
      <c r="K135" s="288"/>
      <c r="L135" s="292" t="e">
        <f>(D135*'Inputs and eligible population'!$L$88)/1000</f>
        <v>#REF!</v>
      </c>
      <c r="M135" s="292" t="e">
        <f>(E135*'Inputs and eligible population'!$L$88)/1000</f>
        <v>#REF!</v>
      </c>
      <c r="N135" s="292" t="e">
        <f>(F135*'Inputs and eligible population'!$L$88)/1000</f>
        <v>#REF!</v>
      </c>
      <c r="O135" s="292" t="e">
        <f>(G135*'Inputs and eligible population'!$L$88)/1000</f>
        <v>#REF!</v>
      </c>
      <c r="P135" s="292" t="e">
        <f>(H135*'Inputs and eligible population'!$L$88)/1000</f>
        <v>#REF!</v>
      </c>
      <c r="Q135" s="292" t="e">
        <f>(I135*'Inputs and eligible population'!$L$88)/1000</f>
        <v>#REF!</v>
      </c>
      <c r="V135" s="133"/>
    </row>
    <row r="136" spans="1:22" hidden="1">
      <c r="A136" s="288"/>
      <c r="B136" s="282"/>
      <c r="C136" s="207"/>
      <c r="D136" s="186" t="e">
        <f t="shared" ref="D136:I136" si="72">SUM(D133:D135)</f>
        <v>#REF!</v>
      </c>
      <c r="E136" s="186" t="e">
        <f t="shared" si="72"/>
        <v>#REF!</v>
      </c>
      <c r="F136" s="186" t="e">
        <f t="shared" si="72"/>
        <v>#REF!</v>
      </c>
      <c r="G136" s="186" t="e">
        <f t="shared" si="72"/>
        <v>#REF!</v>
      </c>
      <c r="H136" s="186" t="e">
        <f t="shared" si="72"/>
        <v>#REF!</v>
      </c>
      <c r="I136" s="186" t="e">
        <f t="shared" si="72"/>
        <v>#REF!</v>
      </c>
      <c r="J136" s="288"/>
      <c r="K136" s="288"/>
      <c r="L136" s="293" t="e">
        <f t="shared" ref="L136:Q136" si="73">SUM(L133:L135)</f>
        <v>#REF!</v>
      </c>
      <c r="M136" s="293" t="e">
        <f t="shared" si="73"/>
        <v>#REF!</v>
      </c>
      <c r="N136" s="293" t="e">
        <f t="shared" si="73"/>
        <v>#REF!</v>
      </c>
      <c r="O136" s="293" t="e">
        <f t="shared" si="73"/>
        <v>#REF!</v>
      </c>
      <c r="P136" s="293" t="e">
        <f t="shared" si="73"/>
        <v>#REF!</v>
      </c>
      <c r="Q136" s="293" t="e">
        <f t="shared" si="73"/>
        <v>#REF!</v>
      </c>
      <c r="V136" s="133"/>
    </row>
    <row r="137" spans="1:22" hidden="1">
      <c r="A137" s="288"/>
      <c r="B137" s="305"/>
      <c r="C137" s="225"/>
      <c r="D137" s="284" t="s">
        <v>179</v>
      </c>
      <c r="E137" s="186" t="e">
        <f>E136-$D$136</f>
        <v>#REF!</v>
      </c>
      <c r="F137" s="186" t="e">
        <f>F136-$D$136</f>
        <v>#REF!</v>
      </c>
      <c r="G137" s="186" t="e">
        <f>G136-$D$136</f>
        <v>#REF!</v>
      </c>
      <c r="H137" s="186" t="e">
        <f>H136-$D$136</f>
        <v>#REF!</v>
      </c>
      <c r="I137" s="186" t="e">
        <f>I136-$D$136</f>
        <v>#REF!</v>
      </c>
      <c r="J137" s="288"/>
      <c r="K137" s="288"/>
      <c r="L137" s="536"/>
      <c r="M137" s="293" t="e">
        <f>M136-$L$136</f>
        <v>#REF!</v>
      </c>
      <c r="N137" s="293" t="e">
        <f>N136-$L$136</f>
        <v>#REF!</v>
      </c>
      <c r="O137" s="293" t="e">
        <f>O136-$L$136</f>
        <v>#REF!</v>
      </c>
      <c r="P137" s="293" t="e">
        <f>P136-$L$136</f>
        <v>#REF!</v>
      </c>
      <c r="Q137" s="293" t="e">
        <f>Q136-$L$136</f>
        <v>#REF!</v>
      </c>
      <c r="V137" s="133"/>
    </row>
    <row r="138" spans="1:22" hidden="1">
      <c r="A138" s="288"/>
      <c r="B138" s="326"/>
      <c r="C138" s="392"/>
      <c r="D138" s="221"/>
      <c r="E138" s="221"/>
      <c r="F138" s="221"/>
      <c r="G138" s="221"/>
      <c r="H138" s="310"/>
      <c r="I138" s="310"/>
      <c r="J138" s="288"/>
      <c r="K138" s="288"/>
      <c r="L138" s="221"/>
      <c r="M138" s="221"/>
      <c r="N138" s="288"/>
      <c r="O138" s="221"/>
      <c r="P138" s="221"/>
      <c r="Q138" s="221"/>
      <c r="V138" s="133"/>
    </row>
    <row r="139" spans="1:22" hidden="1">
      <c r="A139" s="288"/>
      <c r="B139" s="391" t="s">
        <v>765</v>
      </c>
      <c r="C139" s="392"/>
      <c r="D139" s="392"/>
      <c r="E139" s="392"/>
      <c r="F139" s="392"/>
      <c r="G139" s="392"/>
      <c r="H139" s="392"/>
      <c r="I139" s="220"/>
      <c r="J139" s="288"/>
      <c r="K139" s="288"/>
      <c r="L139" s="288"/>
      <c r="M139" s="288"/>
      <c r="N139" s="288"/>
      <c r="O139" s="288"/>
      <c r="P139" s="288"/>
      <c r="Q139" s="288"/>
      <c r="V139" s="133"/>
    </row>
    <row r="140" spans="1:22" ht="72.5" hidden="1">
      <c r="A140" s="288"/>
      <c r="B140" s="278" t="s">
        <v>125</v>
      </c>
      <c r="C140" s="165" t="s">
        <v>766</v>
      </c>
      <c r="D140" s="422" t="s">
        <v>736</v>
      </c>
      <c r="E140" s="256" t="s">
        <v>51</v>
      </c>
      <c r="F140" s="256" t="s">
        <v>52</v>
      </c>
      <c r="G140" s="164" t="s">
        <v>737</v>
      </c>
      <c r="H140" s="164" t="s">
        <v>738</v>
      </c>
      <c r="I140" s="256" t="s">
        <v>739</v>
      </c>
      <c r="J140" s="288"/>
      <c r="K140" s="288"/>
      <c r="L140" s="422" t="s">
        <v>736</v>
      </c>
      <c r="M140" s="256" t="s">
        <v>51</v>
      </c>
      <c r="N140" s="256" t="s">
        <v>52</v>
      </c>
      <c r="O140" s="164" t="s">
        <v>737</v>
      </c>
      <c r="P140" s="164" t="s">
        <v>738</v>
      </c>
      <c r="Q140" s="256" t="s">
        <v>739</v>
      </c>
      <c r="V140" s="133"/>
    </row>
    <row r="141" spans="1:22" hidden="1">
      <c r="A141" s="288"/>
      <c r="B141" s="350" t="s">
        <v>944</v>
      </c>
      <c r="C141" s="149">
        <f>'Inputs and eligible population'!G89</f>
        <v>0</v>
      </c>
      <c r="D141" s="128" t="e">
        <f>(D$7*'Inputs and eligible population'!#REF!*'Unit costs'!$O$16*'Capacity (local prices)'!$C141)/60</f>
        <v>#REF!</v>
      </c>
      <c r="E141" s="128" t="e">
        <f>(E$7*'Inputs and eligible population'!#REF!*'Unit costs'!$O$16*'Capacity (local prices)'!$C141)/60</f>
        <v>#REF!</v>
      </c>
      <c r="F141" s="128" t="e">
        <f>(F$7*'Inputs and eligible population'!#REF!*'Unit costs'!$O$16*'Capacity (local prices)'!$C141)/60</f>
        <v>#REF!</v>
      </c>
      <c r="G141" s="128" t="e">
        <f>(G$7*'Inputs and eligible population'!#REF!*'Unit costs'!$O$16*'Capacity (local prices)'!$C141)/60</f>
        <v>#REF!</v>
      </c>
      <c r="H141" s="128" t="e">
        <f>(H$7*'Inputs and eligible population'!#REF!*'Unit costs'!$O$16*'Capacity (local prices)'!$C141)/60</f>
        <v>#REF!</v>
      </c>
      <c r="I141" s="128" t="e">
        <f>(I$7*'Inputs and eligible population'!#REF!*'Unit costs'!$O$16*'Capacity (local prices)'!$C141)/60</f>
        <v>#REF!</v>
      </c>
      <c r="J141" s="288"/>
      <c r="K141" s="288"/>
      <c r="L141" s="292" t="e">
        <f>(D141*'Inputs and eligible population'!$L$89)/1000</f>
        <v>#REF!</v>
      </c>
      <c r="M141" s="292" t="e">
        <f>(E141*'Inputs and eligible population'!$L$89)/1000</f>
        <v>#REF!</v>
      </c>
      <c r="N141" s="292" t="e">
        <f>(F141*'Inputs and eligible population'!$L$89)/1000</f>
        <v>#REF!</v>
      </c>
      <c r="O141" s="292" t="e">
        <f>(G141*'Inputs and eligible population'!$L$89)/1000</f>
        <v>#REF!</v>
      </c>
      <c r="P141" s="292" t="e">
        <f>(H141*'Inputs and eligible population'!$L$89)/1000</f>
        <v>#REF!</v>
      </c>
      <c r="Q141" s="292" t="e">
        <f>(I141*'Inputs and eligible population'!$L$89)/1000</f>
        <v>#REF!</v>
      </c>
      <c r="V141" s="133"/>
    </row>
    <row r="142" spans="1:22" hidden="1">
      <c r="A142" s="288"/>
      <c r="B142" s="350" t="s">
        <v>945</v>
      </c>
      <c r="C142" s="149">
        <f>'Inputs and eligible population'!I89</f>
        <v>0</v>
      </c>
      <c r="D142" s="128" t="e">
        <f>(D$7*'Inputs and eligible population'!#REF!*'Unit costs'!#REF!*'Capacity (local prices)'!$C142)/60</f>
        <v>#REF!</v>
      </c>
      <c r="E142" s="128" t="e">
        <f>(E$7*'Inputs and eligible population'!#REF!*'Unit costs'!#REF!*'Capacity (local prices)'!$C142)/60</f>
        <v>#REF!</v>
      </c>
      <c r="F142" s="128" t="e">
        <f>(F$7*'Inputs and eligible population'!#REF!*'Unit costs'!#REF!*'Capacity (local prices)'!$C142)/60</f>
        <v>#REF!</v>
      </c>
      <c r="G142" s="128" t="e">
        <f>(G$7*'Inputs and eligible population'!#REF!*'Unit costs'!#REF!*'Capacity (local prices)'!$C142)/60</f>
        <v>#REF!</v>
      </c>
      <c r="H142" s="128" t="e">
        <f>(H$7*'Inputs and eligible population'!#REF!*'Unit costs'!#REF!*'Capacity (local prices)'!$C142)/60</f>
        <v>#REF!</v>
      </c>
      <c r="I142" s="128" t="e">
        <f>(I$7*'Inputs and eligible population'!#REF!*'Unit costs'!#REF!*'Capacity (local prices)'!$C142)/60</f>
        <v>#REF!</v>
      </c>
      <c r="J142" s="288"/>
      <c r="K142" s="288"/>
      <c r="L142" s="292" t="e">
        <f>(D142*'Inputs and eligible population'!$L$89)/1000</f>
        <v>#REF!</v>
      </c>
      <c r="M142" s="292" t="e">
        <f>(E142*'Inputs and eligible population'!$L$89)/1000</f>
        <v>#REF!</v>
      </c>
      <c r="N142" s="292" t="e">
        <f>(F142*'Inputs and eligible population'!$L$89)/1000</f>
        <v>#REF!</v>
      </c>
      <c r="O142" s="292" t="e">
        <f>(G142*'Inputs and eligible population'!$L$89)/1000</f>
        <v>#REF!</v>
      </c>
      <c r="P142" s="292" t="e">
        <f>(H142*'Inputs and eligible population'!$L$89)/1000</f>
        <v>#REF!</v>
      </c>
      <c r="Q142" s="292" t="e">
        <f>(I142*'Inputs and eligible population'!$L$89)/1000</f>
        <v>#REF!</v>
      </c>
      <c r="V142" s="133"/>
    </row>
    <row r="143" spans="1:22" hidden="1">
      <c r="A143" s="288"/>
      <c r="B143" s="350" t="s">
        <v>946</v>
      </c>
      <c r="C143" s="149">
        <f>'Inputs and eligible population'!J89</f>
        <v>0</v>
      </c>
      <c r="D143" s="128" t="e">
        <f>(D$7*'Inputs and eligible population'!#REF!*'Unit costs'!#REF!*'Capacity (local prices)'!$C143)/60</f>
        <v>#REF!</v>
      </c>
      <c r="E143" s="128" t="e">
        <f>(E$7*'Inputs and eligible population'!#REF!*'Unit costs'!#REF!*'Capacity (local prices)'!$C143)/60</f>
        <v>#REF!</v>
      </c>
      <c r="F143" s="128" t="e">
        <f>(F$7*'Inputs and eligible population'!#REF!*'Unit costs'!#REF!*'Capacity (local prices)'!$C143)/60</f>
        <v>#REF!</v>
      </c>
      <c r="G143" s="128" t="e">
        <f>(G$7*'Inputs and eligible population'!#REF!*'Unit costs'!#REF!*'Capacity (local prices)'!$C143)/60</f>
        <v>#REF!</v>
      </c>
      <c r="H143" s="128" t="e">
        <f>(H$7*'Inputs and eligible population'!#REF!*'Unit costs'!#REF!*'Capacity (local prices)'!$C143)/60</f>
        <v>#REF!</v>
      </c>
      <c r="I143" s="128" t="e">
        <f>(I$7*'Inputs and eligible population'!#REF!*'Unit costs'!#REF!*'Capacity (local prices)'!$C143)/60</f>
        <v>#REF!</v>
      </c>
      <c r="J143" s="288"/>
      <c r="K143" s="288"/>
      <c r="L143" s="292" t="e">
        <f>(D143*'Inputs and eligible population'!$L$89)/1000</f>
        <v>#REF!</v>
      </c>
      <c r="M143" s="292" t="e">
        <f>(E143*'Inputs and eligible population'!$L$89)/1000</f>
        <v>#REF!</v>
      </c>
      <c r="N143" s="292" t="e">
        <f>(F143*'Inputs and eligible population'!$L$89)/1000</f>
        <v>#REF!</v>
      </c>
      <c r="O143" s="292" t="e">
        <f>(G143*'Inputs and eligible population'!$L$89)/1000</f>
        <v>#REF!</v>
      </c>
      <c r="P143" s="292" t="e">
        <f>(H143*'Inputs and eligible population'!$L$89)/1000</f>
        <v>#REF!</v>
      </c>
      <c r="Q143" s="292" t="e">
        <f>(I143*'Inputs and eligible population'!$L$89)/1000</f>
        <v>#REF!</v>
      </c>
      <c r="V143" s="133"/>
    </row>
    <row r="144" spans="1:22" hidden="1">
      <c r="A144" s="288"/>
      <c r="B144" s="282"/>
      <c r="C144" s="207"/>
      <c r="D144" s="186" t="e">
        <f t="shared" ref="D144:I144" si="74">SUM(D141:D143)</f>
        <v>#REF!</v>
      </c>
      <c r="E144" s="186" t="e">
        <f t="shared" si="74"/>
        <v>#REF!</v>
      </c>
      <c r="F144" s="186" t="e">
        <f t="shared" si="74"/>
        <v>#REF!</v>
      </c>
      <c r="G144" s="186" t="e">
        <f t="shared" si="74"/>
        <v>#REF!</v>
      </c>
      <c r="H144" s="186" t="e">
        <f t="shared" si="74"/>
        <v>#REF!</v>
      </c>
      <c r="I144" s="186" t="e">
        <f t="shared" si="74"/>
        <v>#REF!</v>
      </c>
      <c r="J144" s="288"/>
      <c r="K144" s="288"/>
      <c r="L144" s="293" t="e">
        <f t="shared" ref="L144:Q144" si="75">SUM(L141:L143)</f>
        <v>#REF!</v>
      </c>
      <c r="M144" s="293" t="e">
        <f t="shared" si="75"/>
        <v>#REF!</v>
      </c>
      <c r="N144" s="293" t="e">
        <f t="shared" si="75"/>
        <v>#REF!</v>
      </c>
      <c r="O144" s="293" t="e">
        <f t="shared" si="75"/>
        <v>#REF!</v>
      </c>
      <c r="P144" s="293" t="e">
        <f t="shared" si="75"/>
        <v>#REF!</v>
      </c>
      <c r="Q144" s="293" t="e">
        <f t="shared" si="75"/>
        <v>#REF!</v>
      </c>
      <c r="V144" s="133"/>
    </row>
    <row r="145" spans="1:40" hidden="1">
      <c r="A145" s="288"/>
      <c r="B145" s="305"/>
      <c r="C145" s="225"/>
      <c r="D145" s="284" t="s">
        <v>180</v>
      </c>
      <c r="E145" s="186" t="e">
        <f>E144-$D$144</f>
        <v>#REF!</v>
      </c>
      <c r="F145" s="186" t="e">
        <f>F144-$D$144</f>
        <v>#REF!</v>
      </c>
      <c r="G145" s="186" t="e">
        <f>G144-$D$144</f>
        <v>#REF!</v>
      </c>
      <c r="H145" s="186" t="e">
        <f>H144-$D$144</f>
        <v>#REF!</v>
      </c>
      <c r="I145" s="186" t="e">
        <f>I144-$D$144</f>
        <v>#REF!</v>
      </c>
      <c r="J145" s="288"/>
      <c r="K145" s="288"/>
      <c r="L145" s="536"/>
      <c r="M145" s="293" t="e">
        <f>M144-$L$144</f>
        <v>#REF!</v>
      </c>
      <c r="N145" s="293" t="e">
        <f>N144-$L$144</f>
        <v>#REF!</v>
      </c>
      <c r="O145" s="293" t="e">
        <f>O144-$L$144</f>
        <v>#REF!</v>
      </c>
      <c r="P145" s="293" t="e">
        <f>P144-$L$144</f>
        <v>#REF!</v>
      </c>
      <c r="Q145" s="293" t="e">
        <f>Q144-$L$144</f>
        <v>#REF!</v>
      </c>
      <c r="V145" s="133"/>
    </row>
    <row r="146" spans="1:40" hidden="1">
      <c r="A146" s="288"/>
      <c r="B146" s="326"/>
      <c r="C146" s="392"/>
      <c r="D146" s="221"/>
      <c r="E146" s="221"/>
      <c r="F146" s="221"/>
      <c r="G146" s="221"/>
      <c r="H146" s="310"/>
      <c r="I146" s="310"/>
      <c r="J146" s="288"/>
      <c r="K146" s="288"/>
      <c r="L146" s="221"/>
      <c r="M146" s="221"/>
      <c r="N146" s="288"/>
      <c r="O146" s="221"/>
      <c r="P146" s="221"/>
      <c r="Q146" s="221"/>
      <c r="V146" s="133"/>
    </row>
    <row r="147" spans="1:40" hidden="1">
      <c r="A147" s="288"/>
      <c r="B147" s="391" t="s">
        <v>767</v>
      </c>
      <c r="C147" s="392"/>
      <c r="D147" s="392"/>
      <c r="E147" s="392"/>
      <c r="F147" s="392"/>
      <c r="G147" s="392"/>
      <c r="H147" s="392"/>
      <c r="I147" s="220"/>
      <c r="J147" s="288"/>
      <c r="K147" s="288"/>
      <c r="L147" s="288"/>
      <c r="M147" s="288"/>
      <c r="N147" s="288"/>
      <c r="O147" s="288"/>
      <c r="P147" s="288"/>
      <c r="Q147" s="288"/>
      <c r="V147" s="133"/>
    </row>
    <row r="148" spans="1:40" ht="43.5" hidden="1">
      <c r="A148" s="288"/>
      <c r="B148" s="278" t="s">
        <v>125</v>
      </c>
      <c r="C148" s="165" t="s">
        <v>96</v>
      </c>
      <c r="D148" s="422" t="s">
        <v>736</v>
      </c>
      <c r="E148" s="256" t="s">
        <v>51</v>
      </c>
      <c r="F148" s="256" t="s">
        <v>52</v>
      </c>
      <c r="G148" s="164" t="s">
        <v>737</v>
      </c>
      <c r="H148" s="164" t="s">
        <v>738</v>
      </c>
      <c r="I148" s="256" t="s">
        <v>739</v>
      </c>
      <c r="J148" s="288"/>
      <c r="K148" s="288"/>
      <c r="L148" s="422" t="s">
        <v>736</v>
      </c>
      <c r="M148" s="256" t="s">
        <v>51</v>
      </c>
      <c r="N148" s="256" t="s">
        <v>52</v>
      </c>
      <c r="O148" s="164" t="s">
        <v>737</v>
      </c>
      <c r="P148" s="164" t="s">
        <v>738</v>
      </c>
      <c r="Q148" s="256" t="s">
        <v>739</v>
      </c>
      <c r="V148" s="133"/>
    </row>
    <row r="149" spans="1:40" hidden="1">
      <c r="A149" s="288"/>
      <c r="B149" s="350" t="s">
        <v>944</v>
      </c>
      <c r="C149" s="149">
        <f>'Inputs and eligible population'!G90</f>
        <v>0</v>
      </c>
      <c r="D149" s="128" t="e">
        <f>($C149*'Financial impact (cash)'!#REF!*'Unit costs'!$O$16)/60</f>
        <v>#REF!</v>
      </c>
      <c r="E149" s="128" t="e">
        <f>($C149*'Financial impact (cash)'!#REF!*'Unit costs'!$O$16)/60</f>
        <v>#REF!</v>
      </c>
      <c r="F149" s="128" t="e">
        <f>($C149*'Financial impact (cash)'!#REF!*'Unit costs'!$O$16)/60</f>
        <v>#REF!</v>
      </c>
      <c r="G149" s="128" t="e">
        <f>($C149*'Financial impact (cash)'!#REF!*'Unit costs'!$O$16)/60</f>
        <v>#REF!</v>
      </c>
      <c r="H149" s="128" t="e">
        <f>($C149*'Financial impact (cash)'!#REF!*'Unit costs'!$O$16)/60</f>
        <v>#REF!</v>
      </c>
      <c r="I149" s="128" t="e">
        <f>($C149*'Financial impact (cash)'!#REF!*'Unit costs'!$O$16)/60</f>
        <v>#REF!</v>
      </c>
      <c r="J149" s="288"/>
      <c r="K149" s="288"/>
      <c r="L149" s="292" t="e">
        <f>(D149*'Inputs and eligible population'!$L$90)/1000</f>
        <v>#REF!</v>
      </c>
      <c r="M149" s="292" t="e">
        <f>(E149*'Inputs and eligible population'!$L$90)/1000</f>
        <v>#REF!</v>
      </c>
      <c r="N149" s="292" t="e">
        <f>(F149*'Inputs and eligible population'!$L$90)/1000</f>
        <v>#REF!</v>
      </c>
      <c r="O149" s="292" t="e">
        <f>(G149*'Inputs and eligible population'!$L$90)/1000</f>
        <v>#REF!</v>
      </c>
      <c r="P149" s="292" t="e">
        <f>(H149*'Inputs and eligible population'!$L$90)/1000</f>
        <v>#REF!</v>
      </c>
      <c r="Q149" s="292" t="e">
        <f>(I149*'Inputs and eligible population'!$L$90)/1000</f>
        <v>#REF!</v>
      </c>
      <c r="V149" s="133"/>
    </row>
    <row r="150" spans="1:40" hidden="1">
      <c r="A150" s="288"/>
      <c r="B150" s="350" t="s">
        <v>945</v>
      </c>
      <c r="C150" s="149">
        <f>'Inputs and eligible population'!I90</f>
        <v>0</v>
      </c>
      <c r="D150" s="128" t="e">
        <f>($C150*'Financial impact (cash)'!#REF!*'Unit costs'!#REF!)/60</f>
        <v>#REF!</v>
      </c>
      <c r="E150" s="128" t="e">
        <f>($C150*'Financial impact (cash)'!#REF!*'Unit costs'!#REF!)/60</f>
        <v>#REF!</v>
      </c>
      <c r="F150" s="128" t="e">
        <f>($C150*'Financial impact (cash)'!#REF!*'Unit costs'!#REF!)/60</f>
        <v>#REF!</v>
      </c>
      <c r="G150" s="128" t="e">
        <f>($C150*'Financial impact (cash)'!#REF!*'Unit costs'!#REF!)/60</f>
        <v>#REF!</v>
      </c>
      <c r="H150" s="128" t="e">
        <f>($C150*'Financial impact (cash)'!#REF!*'Unit costs'!#REF!)/60</f>
        <v>#REF!</v>
      </c>
      <c r="I150" s="128" t="e">
        <f>($C150*'Financial impact (cash)'!#REF!*'Unit costs'!#REF!)/60</f>
        <v>#REF!</v>
      </c>
      <c r="J150" s="288"/>
      <c r="K150" s="288"/>
      <c r="L150" s="292" t="e">
        <f>(D150*'Inputs and eligible population'!$L$90)/1000</f>
        <v>#REF!</v>
      </c>
      <c r="M150" s="292" t="e">
        <f>(E150*'Inputs and eligible population'!$L$90)/1000</f>
        <v>#REF!</v>
      </c>
      <c r="N150" s="292" t="e">
        <f>(F150*'Inputs and eligible population'!$L$90)/1000</f>
        <v>#REF!</v>
      </c>
      <c r="O150" s="292" t="e">
        <f>(G150*'Inputs and eligible population'!$L$90)/1000</f>
        <v>#REF!</v>
      </c>
      <c r="P150" s="292" t="e">
        <f>(H150*'Inputs and eligible population'!$L$90)/1000</f>
        <v>#REF!</v>
      </c>
      <c r="Q150" s="292" t="e">
        <f>(I150*'Inputs and eligible population'!$L$90)/1000</f>
        <v>#REF!</v>
      </c>
      <c r="V150" s="133"/>
    </row>
    <row r="151" spans="1:40" hidden="1">
      <c r="A151" s="288"/>
      <c r="B151" s="350" t="s">
        <v>946</v>
      </c>
      <c r="C151" s="149">
        <f>'Inputs and eligible population'!J90</f>
        <v>0</v>
      </c>
      <c r="D151" s="128" t="e">
        <f>($C151*'Financial impact (cash)'!#REF!*'Unit costs'!#REF!)/60</f>
        <v>#REF!</v>
      </c>
      <c r="E151" s="128" t="e">
        <f>($C151*'Financial impact (cash)'!#REF!*'Unit costs'!#REF!)/60</f>
        <v>#REF!</v>
      </c>
      <c r="F151" s="128" t="e">
        <f>($C151*'Financial impact (cash)'!#REF!*'Unit costs'!#REF!)/60</f>
        <v>#REF!</v>
      </c>
      <c r="G151" s="128" t="e">
        <f>($C151*'Financial impact (cash)'!#REF!*'Unit costs'!#REF!)/60</f>
        <v>#REF!</v>
      </c>
      <c r="H151" s="128" t="e">
        <f>($C151*'Financial impact (cash)'!#REF!*'Unit costs'!#REF!)/60</f>
        <v>#REF!</v>
      </c>
      <c r="I151" s="128" t="e">
        <f>($C151*'Financial impact (cash)'!#REF!*'Unit costs'!#REF!)/60</f>
        <v>#REF!</v>
      </c>
      <c r="J151" s="288"/>
      <c r="K151" s="288"/>
      <c r="L151" s="292" t="e">
        <f>(D151*'Inputs and eligible population'!$L$90)/1000</f>
        <v>#REF!</v>
      </c>
      <c r="M151" s="292" t="e">
        <f>(E151*'Inputs and eligible population'!$L$90)/1000</f>
        <v>#REF!</v>
      </c>
      <c r="N151" s="292" t="e">
        <f>(F151*'Inputs and eligible population'!$L$90)/1000</f>
        <v>#REF!</v>
      </c>
      <c r="O151" s="292" t="e">
        <f>(G151*'Inputs and eligible population'!$L$90)/1000</f>
        <v>#REF!</v>
      </c>
      <c r="P151" s="292" t="e">
        <f>(H151*'Inputs and eligible population'!$L$90)/1000</f>
        <v>#REF!</v>
      </c>
      <c r="Q151" s="292" t="e">
        <f>(I151*'Inputs and eligible population'!$L$90)/1000</f>
        <v>#REF!</v>
      </c>
      <c r="V151" s="133"/>
    </row>
    <row r="152" spans="1:40" hidden="1">
      <c r="A152" s="288"/>
      <c r="B152" s="282"/>
      <c r="C152" s="207"/>
      <c r="D152" s="186" t="e">
        <f t="shared" ref="D152:I152" si="76">SUM(D149:D151)</f>
        <v>#REF!</v>
      </c>
      <c r="E152" s="186" t="e">
        <f t="shared" si="76"/>
        <v>#REF!</v>
      </c>
      <c r="F152" s="186" t="e">
        <f t="shared" si="76"/>
        <v>#REF!</v>
      </c>
      <c r="G152" s="186" t="e">
        <f t="shared" si="76"/>
        <v>#REF!</v>
      </c>
      <c r="H152" s="186" t="e">
        <f t="shared" si="76"/>
        <v>#REF!</v>
      </c>
      <c r="I152" s="186" t="e">
        <f t="shared" si="76"/>
        <v>#REF!</v>
      </c>
      <c r="J152" s="288"/>
      <c r="K152" s="288"/>
      <c r="L152" s="293" t="e">
        <f t="shared" ref="L152:Q152" si="77">SUM(L149:L151)</f>
        <v>#REF!</v>
      </c>
      <c r="M152" s="293" t="e">
        <f t="shared" si="77"/>
        <v>#REF!</v>
      </c>
      <c r="N152" s="293" t="e">
        <f t="shared" si="77"/>
        <v>#REF!</v>
      </c>
      <c r="O152" s="293" t="e">
        <f t="shared" si="77"/>
        <v>#REF!</v>
      </c>
      <c r="P152" s="293" t="e">
        <f t="shared" si="77"/>
        <v>#REF!</v>
      </c>
      <c r="Q152" s="293" t="e">
        <f t="shared" si="77"/>
        <v>#REF!</v>
      </c>
      <c r="V152" s="133"/>
    </row>
    <row r="153" spans="1:40" hidden="1">
      <c r="A153" s="288"/>
      <c r="B153" s="305"/>
      <c r="C153" s="225"/>
      <c r="D153" s="284" t="s">
        <v>181</v>
      </c>
      <c r="E153" s="186" t="e">
        <f>E152-$D$152</f>
        <v>#REF!</v>
      </c>
      <c r="F153" s="186" t="e">
        <f>F152-$D$152</f>
        <v>#REF!</v>
      </c>
      <c r="G153" s="186" t="e">
        <f>G152-$D$152</f>
        <v>#REF!</v>
      </c>
      <c r="H153" s="186" t="e">
        <f>H152-$D$152</f>
        <v>#REF!</v>
      </c>
      <c r="I153" s="186" t="e">
        <f>I152-$D$152</f>
        <v>#REF!</v>
      </c>
      <c r="J153" s="288"/>
      <c r="K153" s="288"/>
      <c r="L153" s="536"/>
      <c r="M153" s="293" t="e">
        <f>M152-$L$152</f>
        <v>#REF!</v>
      </c>
      <c r="N153" s="293" t="e">
        <f>N152-$L$152</f>
        <v>#REF!</v>
      </c>
      <c r="O153" s="293" t="e">
        <f>O152-$L$152</f>
        <v>#REF!</v>
      </c>
      <c r="P153" s="293" t="e">
        <f>P152-$L$152</f>
        <v>#REF!</v>
      </c>
      <c r="Q153" s="293" t="e">
        <f>Q152-$L$152</f>
        <v>#REF!</v>
      </c>
      <c r="V153" s="133"/>
    </row>
    <row r="154" spans="1:40" hidden="1">
      <c r="A154" s="288"/>
      <c r="B154" s="326"/>
      <c r="C154" s="392"/>
      <c r="D154" s="221"/>
      <c r="E154" s="221"/>
      <c r="F154" s="221"/>
      <c r="G154" s="221"/>
      <c r="H154" s="221"/>
      <c r="I154" s="221"/>
      <c r="J154" s="221"/>
      <c r="K154" s="221"/>
      <c r="L154" s="221"/>
      <c r="M154" s="221"/>
      <c r="N154" s="221"/>
      <c r="O154" s="221"/>
      <c r="P154" s="221"/>
      <c r="Q154" s="221"/>
      <c r="R154" s="133"/>
      <c r="S154" s="133"/>
      <c r="T154" s="133"/>
      <c r="U154" s="133"/>
      <c r="V154" s="133"/>
      <c r="W154" s="133"/>
      <c r="X154" s="133"/>
      <c r="Y154" s="133"/>
      <c r="Z154" s="133"/>
      <c r="AJ154" s="285"/>
      <c r="AK154" s="285"/>
      <c r="AL154" s="285"/>
      <c r="AM154" s="285"/>
      <c r="AN154" s="285"/>
    </row>
    <row r="155" spans="1:40">
      <c r="A155" s="331"/>
      <c r="B155" s="332" t="s">
        <v>768</v>
      </c>
      <c r="C155" s="333"/>
      <c r="D155" s="333"/>
      <c r="E155" s="334"/>
      <c r="F155" s="335"/>
      <c r="G155" s="336"/>
      <c r="H155" s="336"/>
      <c r="I155" s="385"/>
      <c r="J155" s="331"/>
      <c r="K155" s="331"/>
      <c r="L155" s="331"/>
      <c r="M155" s="331"/>
      <c r="N155" s="331"/>
      <c r="O155" s="331"/>
      <c r="P155" s="331"/>
      <c r="Q155" s="406"/>
      <c r="R155" s="133"/>
      <c r="S155" s="133"/>
      <c r="T155" s="133"/>
      <c r="U155" s="133"/>
      <c r="V155" s="133"/>
      <c r="W155" s="133"/>
      <c r="X155" s="133"/>
      <c r="Y155" s="133"/>
      <c r="Z155" s="133"/>
      <c r="AJ155" s="285"/>
      <c r="AK155" s="285"/>
      <c r="AL155" s="285"/>
      <c r="AM155" s="285"/>
      <c r="AN155" s="285"/>
    </row>
    <row r="156" spans="1:40">
      <c r="A156" s="331"/>
      <c r="B156" s="395" t="s">
        <v>100</v>
      </c>
      <c r="C156" s="396"/>
      <c r="D156" s="396"/>
      <c r="E156" s="396"/>
      <c r="F156" s="396"/>
      <c r="G156" s="396"/>
      <c r="H156" s="396"/>
      <c r="I156" s="337"/>
      <c r="J156" s="406"/>
      <c r="K156" s="406"/>
      <c r="L156" s="434"/>
      <c r="M156" s="434"/>
      <c r="N156" s="434"/>
      <c r="O156" s="434"/>
      <c r="P156" s="434"/>
      <c r="Q156" s="434"/>
      <c r="R156" s="133"/>
      <c r="S156" s="133"/>
      <c r="T156" s="133"/>
      <c r="U156" s="133"/>
      <c r="V156" s="133"/>
      <c r="W156" s="133"/>
      <c r="X156" s="133"/>
      <c r="Y156" s="133"/>
      <c r="Z156" s="133"/>
      <c r="AJ156" s="285"/>
      <c r="AK156" s="285"/>
      <c r="AL156" s="285"/>
      <c r="AM156" s="285"/>
      <c r="AN156" s="285"/>
    </row>
    <row r="157" spans="1:40" ht="43.5">
      <c r="A157" s="331"/>
      <c r="B157" s="278" t="s">
        <v>125</v>
      </c>
      <c r="C157" s="165" t="s">
        <v>100</v>
      </c>
      <c r="D157" s="422" t="s">
        <v>736</v>
      </c>
      <c r="E157" s="256" t="s">
        <v>51</v>
      </c>
      <c r="F157" s="256" t="s">
        <v>52</v>
      </c>
      <c r="G157" s="164" t="s">
        <v>737</v>
      </c>
      <c r="H157" s="164" t="s">
        <v>738</v>
      </c>
      <c r="I157" s="256" t="s">
        <v>739</v>
      </c>
      <c r="J157" s="331"/>
      <c r="K157" s="668" t="s">
        <v>976</v>
      </c>
      <c r="L157" s="422" t="s">
        <v>736</v>
      </c>
      <c r="M157" s="256" t="s">
        <v>51</v>
      </c>
      <c r="N157" s="256" t="s">
        <v>52</v>
      </c>
      <c r="O157" s="164" t="s">
        <v>737</v>
      </c>
      <c r="P157" s="164" t="s">
        <v>738</v>
      </c>
      <c r="Q157" s="256" t="s">
        <v>739</v>
      </c>
      <c r="R157" s="133"/>
      <c r="S157" s="133"/>
      <c r="T157" s="133"/>
      <c r="U157" s="133"/>
      <c r="V157" s="133"/>
      <c r="W157" s="133"/>
      <c r="X157" s="133"/>
      <c r="Y157" s="133"/>
      <c r="Z157" s="133"/>
      <c r="AJ157" s="285"/>
      <c r="AK157" s="285"/>
      <c r="AL157" s="285"/>
      <c r="AM157" s="285"/>
      <c r="AN157" s="285"/>
    </row>
    <row r="158" spans="1:40">
      <c r="A158" s="331"/>
      <c r="B158" s="350" t="s">
        <v>1112</v>
      </c>
      <c r="C158" s="149">
        <f>'Inputs and eligible population'!F91</f>
        <v>0</v>
      </c>
      <c r="D158" s="128">
        <f>('Financial impact (cash)'!D$13)*'Capacity (local prices)'!$C158</f>
        <v>0</v>
      </c>
      <c r="E158" s="128">
        <f>('Financial impact (cash)'!E$13)*'Capacity (local prices)'!$C158</f>
        <v>0</v>
      </c>
      <c r="F158" s="128">
        <f>('Financial impact (cash)'!F$13)*'Capacity (local prices)'!$C158</f>
        <v>0</v>
      </c>
      <c r="G158" s="128">
        <f>('Financial impact (cash)'!G$13)*'Capacity (local prices)'!$C158</f>
        <v>0</v>
      </c>
      <c r="H158" s="128">
        <f>('Financial impact (cash)'!H$13)*'Capacity (local prices)'!$C158</f>
        <v>0</v>
      </c>
      <c r="I158" s="128">
        <f>('Financial impact (cash)'!I$13)*'Capacity (local prices)'!$C158</f>
        <v>0</v>
      </c>
      <c r="J158" s="331"/>
      <c r="K158" s="669">
        <f>'Inputs and eligible population'!$M$92</f>
        <v>121.08</v>
      </c>
      <c r="L158" s="292">
        <f>(D158*'Inputs and eligible population'!$J$92/60*'Inputs and eligible population'!$M$92)/1000</f>
        <v>0</v>
      </c>
      <c r="M158" s="292">
        <f>(E158*'Inputs and eligible population'!$J$92/60*'Inputs and eligible population'!$M$92)/1000</f>
        <v>0</v>
      </c>
      <c r="N158" s="292">
        <f>(F158*'Inputs and eligible population'!$J$92/60*'Inputs and eligible population'!$M$92)/1000</f>
        <v>0</v>
      </c>
      <c r="O158" s="292">
        <f>(G158*'Inputs and eligible population'!$J$92/60*'Inputs and eligible population'!$M$92)/1000</f>
        <v>0</v>
      </c>
      <c r="P158" s="292">
        <f>(H158*'Inputs and eligible population'!$J$92/60*'Inputs and eligible population'!$M$92)/1000</f>
        <v>0</v>
      </c>
      <c r="Q158" s="292">
        <f>(I158*'Inputs and eligible population'!$J$92/60*'Inputs and eligible population'!$M$92)/1000</f>
        <v>0</v>
      </c>
      <c r="R158" s="133"/>
      <c r="S158" s="133"/>
      <c r="T158" s="133"/>
      <c r="U158" s="133"/>
      <c r="V158" s="133"/>
      <c r="W158" s="133"/>
      <c r="X158" s="133"/>
      <c r="Y158" s="133"/>
      <c r="Z158" s="133"/>
      <c r="AJ158" s="285"/>
      <c r="AK158" s="285"/>
      <c r="AL158" s="285"/>
      <c r="AM158" s="285"/>
      <c r="AN158" s="285"/>
    </row>
    <row r="159" spans="1:40">
      <c r="A159" s="331"/>
      <c r="B159" s="350" t="s">
        <v>1142</v>
      </c>
      <c r="C159" s="149">
        <f>'Inputs and eligible population'!G91</f>
        <v>0</v>
      </c>
      <c r="D159" s="128">
        <f>'Financial impact (cash)'!D$14*'Capacity (local prices)'!$C159</f>
        <v>0</v>
      </c>
      <c r="E159" s="128">
        <f>'Financial impact (cash)'!E$14*'Capacity (local prices)'!$C159</f>
        <v>0</v>
      </c>
      <c r="F159" s="128">
        <f>'Financial impact (cash)'!F$14*'Capacity (local prices)'!$C159</f>
        <v>0</v>
      </c>
      <c r="G159" s="128">
        <f>'Financial impact (cash)'!G$14*'Capacity (local prices)'!$C159</f>
        <v>0</v>
      </c>
      <c r="H159" s="128">
        <f>'Financial impact (cash)'!H$14*'Capacity (local prices)'!$C159</f>
        <v>0</v>
      </c>
      <c r="I159" s="128">
        <f>'Financial impact (cash)'!I$14*'Capacity (local prices)'!$C159</f>
        <v>0</v>
      </c>
      <c r="J159" s="331"/>
      <c r="K159" s="669">
        <f>'Inputs and eligible population'!$M$92</f>
        <v>121.08</v>
      </c>
      <c r="L159" s="292">
        <f>(D159*'Inputs and eligible population'!$G$92/60*'Inputs and eligible population'!$M$92)/1000</f>
        <v>0</v>
      </c>
      <c r="M159" s="292">
        <f>(E159*'Inputs and eligible population'!$G$92/60*'Inputs and eligible population'!$M$92)/1000</f>
        <v>0</v>
      </c>
      <c r="N159" s="292">
        <f>(F159*'Inputs and eligible population'!$G$92/60*'Inputs and eligible population'!$M$92)/1000</f>
        <v>0</v>
      </c>
      <c r="O159" s="292">
        <f>(G159*'Inputs and eligible population'!$G$92/60*'Inputs and eligible population'!$M$92)/1000</f>
        <v>0</v>
      </c>
      <c r="P159" s="292">
        <f>(H159*'Inputs and eligible population'!$G$92/60*'Inputs and eligible population'!$M$92)/1000</f>
        <v>0</v>
      </c>
      <c r="Q159" s="292">
        <f>(I159*'Inputs and eligible population'!$G$92/60*'Inputs and eligible population'!$M$92)/1000</f>
        <v>0</v>
      </c>
      <c r="R159" s="133"/>
      <c r="S159" s="133"/>
      <c r="T159" s="133"/>
      <c r="U159" s="133"/>
      <c r="V159" s="133"/>
      <c r="W159" s="133"/>
      <c r="X159" s="133"/>
      <c r="Y159" s="133"/>
      <c r="Z159" s="133"/>
      <c r="AJ159" s="285"/>
      <c r="AK159" s="285"/>
      <c r="AL159" s="285"/>
      <c r="AM159" s="285"/>
      <c r="AN159" s="285"/>
    </row>
    <row r="160" spans="1:40">
      <c r="A160" s="331"/>
      <c r="B160" s="350" t="s">
        <v>997</v>
      </c>
      <c r="C160" s="149">
        <f>'Inputs and eligible population'!H91</f>
        <v>0</v>
      </c>
      <c r="D160" s="128">
        <f>'Financial impact (cash)'!D$15*'Capacity (local prices)'!$C160</f>
        <v>0</v>
      </c>
      <c r="E160" s="128">
        <f>'Financial impact (cash)'!E$15*'Capacity (local prices)'!$C160</f>
        <v>0</v>
      </c>
      <c r="F160" s="128">
        <f>'Financial impact (cash)'!F$15*'Capacity (local prices)'!$C160</f>
        <v>0</v>
      </c>
      <c r="G160" s="128">
        <f>'Financial impact (cash)'!G$15*'Capacity (local prices)'!$C160</f>
        <v>0</v>
      </c>
      <c r="H160" s="128">
        <f>'Financial impact (cash)'!H$15*'Capacity (local prices)'!$C160</f>
        <v>0</v>
      </c>
      <c r="I160" s="128">
        <f>'Financial impact (cash)'!I$15*'Capacity (local prices)'!$C160</f>
        <v>0</v>
      </c>
      <c r="J160" s="331"/>
      <c r="K160" s="669">
        <f>'Inputs and eligible population'!$M$92</f>
        <v>121.08</v>
      </c>
      <c r="L160" s="292">
        <f>(D160*'Inputs and eligible population'!$H$92/60*'Inputs and eligible population'!$M$92)/1000</f>
        <v>0</v>
      </c>
      <c r="M160" s="292">
        <f>(E160*'Inputs and eligible population'!$H$92/60*'Inputs and eligible population'!$M$92)/1000</f>
        <v>0</v>
      </c>
      <c r="N160" s="292">
        <f>(F160*'Inputs and eligible population'!$H$92/60*'Inputs and eligible population'!$M$92)/1000</f>
        <v>0</v>
      </c>
      <c r="O160" s="292">
        <f>(G160*'Inputs and eligible population'!$H$92/60*'Inputs and eligible population'!$M$92)/1000</f>
        <v>0</v>
      </c>
      <c r="P160" s="292">
        <f>(H160*'Inputs and eligible population'!$H$92/60*'Inputs and eligible population'!$M$92)/1000</f>
        <v>0</v>
      </c>
      <c r="Q160" s="292">
        <f>(I160*'Inputs and eligible population'!$H$92/60*'Inputs and eligible population'!$M$92)/1000</f>
        <v>0</v>
      </c>
      <c r="R160" s="133"/>
      <c r="S160" s="133"/>
      <c r="T160" s="133"/>
      <c r="U160" s="133"/>
      <c r="V160" s="133"/>
      <c r="W160" s="133"/>
      <c r="X160" s="133"/>
      <c r="Y160" s="133"/>
      <c r="Z160" s="133"/>
      <c r="AJ160" s="285"/>
      <c r="AK160" s="285"/>
      <c r="AL160" s="285"/>
      <c r="AM160" s="285"/>
      <c r="AN160" s="285"/>
    </row>
    <row r="161" spans="1:40">
      <c r="A161" s="331"/>
      <c r="B161" s="350" t="s">
        <v>998</v>
      </c>
      <c r="C161" s="149">
        <f>'Inputs and eligible population'!I91</f>
        <v>0</v>
      </c>
      <c r="D161" s="128">
        <f>'Financial impact (cash)'!D$16*'Capacity (local prices)'!$C161</f>
        <v>0</v>
      </c>
      <c r="E161" s="128">
        <f>'Financial impact (cash)'!E$16*'Capacity (local prices)'!$C161</f>
        <v>0</v>
      </c>
      <c r="F161" s="128">
        <f>'Financial impact (cash)'!F$16*'Capacity (local prices)'!$C161</f>
        <v>0</v>
      </c>
      <c r="G161" s="128">
        <f>'Financial impact (cash)'!G$16*'Capacity (local prices)'!$C161</f>
        <v>0</v>
      </c>
      <c r="H161" s="128">
        <f>'Financial impact (cash)'!H$16*'Capacity (local prices)'!$C161</f>
        <v>0</v>
      </c>
      <c r="I161" s="128">
        <f>'Financial impact (cash)'!I$16*'Capacity (local prices)'!$C161</f>
        <v>0</v>
      </c>
      <c r="J161" s="331"/>
      <c r="K161" s="669">
        <f>'Inputs and eligible population'!$M$92</f>
        <v>121.08</v>
      </c>
      <c r="L161" s="292">
        <f>(D161*'Inputs and eligible population'!$I$92/60*'Inputs and eligible population'!$M$92)/1000</f>
        <v>0</v>
      </c>
      <c r="M161" s="292">
        <f>(E161*'Inputs and eligible population'!$I$92/60*'Inputs and eligible population'!$M$92)/1000</f>
        <v>0</v>
      </c>
      <c r="N161" s="292">
        <f>(F161*'Inputs and eligible population'!$I$92/60*'Inputs and eligible population'!$M$92)/1000</f>
        <v>0</v>
      </c>
      <c r="O161" s="292">
        <f>(G161*'Inputs and eligible population'!$I$92/60*'Inputs and eligible population'!$M$92)/1000</f>
        <v>0</v>
      </c>
      <c r="P161" s="292">
        <f>(H161*'Inputs and eligible population'!$I$92/60*'Inputs and eligible population'!$M$92)/1000</f>
        <v>0</v>
      </c>
      <c r="Q161" s="292">
        <f>(I161*'Inputs and eligible population'!$I$92/60*'Inputs and eligible population'!$M$92)/1000</f>
        <v>0</v>
      </c>
      <c r="R161" s="133"/>
      <c r="S161" s="133"/>
      <c r="T161" s="133"/>
      <c r="U161" s="133"/>
      <c r="V161" s="133"/>
      <c r="W161" s="133"/>
      <c r="X161" s="133"/>
      <c r="Y161" s="133"/>
      <c r="Z161" s="133"/>
      <c r="AJ161" s="285"/>
      <c r="AK161" s="285"/>
      <c r="AL161" s="285"/>
      <c r="AM161" s="285"/>
      <c r="AN161" s="285"/>
    </row>
    <row r="162" spans="1:40">
      <c r="A162" s="331"/>
      <c r="B162" s="350" t="s">
        <v>1095</v>
      </c>
      <c r="C162" s="149">
        <f>'Inputs and eligible population'!J91</f>
        <v>0</v>
      </c>
      <c r="D162" s="128">
        <f>'Financial impact (cash)'!D$17*'Capacity (local prices)'!$C162</f>
        <v>0</v>
      </c>
      <c r="E162" s="128">
        <f>'Financial impact (cash)'!E$17*'Capacity (local prices)'!$C162</f>
        <v>0</v>
      </c>
      <c r="F162" s="128">
        <f>'Financial impact (cash)'!F$17*'Capacity (local prices)'!$C162</f>
        <v>0</v>
      </c>
      <c r="G162" s="128">
        <f>'Financial impact (cash)'!G$17*'Capacity (local prices)'!$C162</f>
        <v>0</v>
      </c>
      <c r="H162" s="128">
        <f>'Financial impact (cash)'!H$17*'Capacity (local prices)'!$C162</f>
        <v>0</v>
      </c>
      <c r="I162" s="128">
        <f>'Financial impact (cash)'!I$17*'Capacity (local prices)'!$C162</f>
        <v>0</v>
      </c>
      <c r="J162" s="331"/>
      <c r="K162" s="669">
        <f>'Inputs and eligible population'!$M$92</f>
        <v>121.08</v>
      </c>
      <c r="L162" s="292">
        <f>(D162*'Inputs and eligible population'!$J$92/60*'Inputs and eligible population'!$M$92)/1000</f>
        <v>0</v>
      </c>
      <c r="M162" s="292">
        <f>(E162*'Inputs and eligible population'!$J$92/60*'Inputs and eligible population'!$M$92)/1000</f>
        <v>0</v>
      </c>
      <c r="N162" s="292">
        <f>(F162*'Inputs and eligible population'!$J$92/60*'Inputs and eligible population'!$M$92)/1000</f>
        <v>0</v>
      </c>
      <c r="O162" s="292">
        <f>(G162*'Inputs and eligible population'!$J$92/60*'Inputs and eligible population'!$M$92)/1000</f>
        <v>0</v>
      </c>
      <c r="P162" s="292">
        <f>(H162*'Inputs and eligible population'!$J$92/60*'Inputs and eligible population'!$M$92)/1000</f>
        <v>0</v>
      </c>
      <c r="Q162" s="292">
        <f>(I162*'Inputs and eligible population'!$J$92/60*'Inputs and eligible population'!$M$92)/1000</f>
        <v>0</v>
      </c>
      <c r="R162" s="133"/>
      <c r="S162" s="133"/>
      <c r="T162" s="133"/>
      <c r="U162" s="133"/>
      <c r="V162" s="133"/>
      <c r="W162" s="133"/>
      <c r="X162" s="133"/>
      <c r="Y162" s="133"/>
      <c r="Z162" s="133"/>
      <c r="AJ162" s="285"/>
      <c r="AK162" s="285"/>
      <c r="AL162" s="285"/>
      <c r="AM162" s="285"/>
      <c r="AN162" s="285"/>
    </row>
    <row r="163" spans="1:40">
      <c r="A163" s="331"/>
      <c r="B163" s="282"/>
      <c r="C163" s="207"/>
      <c r="D163" s="186">
        <f>SUM(D158:D162)</f>
        <v>0</v>
      </c>
      <c r="E163" s="186">
        <f t="shared" ref="E163:I163" si="78">SUM(E158:E162)</f>
        <v>0</v>
      </c>
      <c r="F163" s="186">
        <f t="shared" si="78"/>
        <v>0</v>
      </c>
      <c r="G163" s="186">
        <f t="shared" si="78"/>
        <v>0</v>
      </c>
      <c r="H163" s="186">
        <f t="shared" si="78"/>
        <v>0</v>
      </c>
      <c r="I163" s="186">
        <f t="shared" si="78"/>
        <v>0</v>
      </c>
      <c r="J163" s="331"/>
      <c r="K163" s="331"/>
      <c r="L163" s="293">
        <f>SUM(L158:L162)</f>
        <v>0</v>
      </c>
      <c r="M163" s="293">
        <f t="shared" ref="M163:Q163" si="79">SUM(M158:M162)</f>
        <v>0</v>
      </c>
      <c r="N163" s="293">
        <f t="shared" si="79"/>
        <v>0</v>
      </c>
      <c r="O163" s="293">
        <f t="shared" si="79"/>
        <v>0</v>
      </c>
      <c r="P163" s="293">
        <f t="shared" si="79"/>
        <v>0</v>
      </c>
      <c r="Q163" s="293">
        <f t="shared" si="79"/>
        <v>0</v>
      </c>
      <c r="R163" s="133"/>
      <c r="S163" s="133"/>
      <c r="T163" s="133"/>
      <c r="U163" s="133"/>
      <c r="V163" s="133"/>
      <c r="W163" s="133"/>
      <c r="X163" s="133"/>
      <c r="Y163" s="133"/>
      <c r="Z163" s="133"/>
      <c r="AJ163" s="285"/>
      <c r="AK163" s="285"/>
      <c r="AL163" s="285"/>
      <c r="AM163" s="285"/>
      <c r="AN163" s="285"/>
    </row>
    <row r="164" spans="1:40">
      <c r="A164" s="331"/>
      <c r="B164" s="305"/>
      <c r="C164" s="257"/>
      <c r="D164" s="284" t="s">
        <v>769</v>
      </c>
      <c r="E164" s="186">
        <f>E163-$D$163</f>
        <v>0</v>
      </c>
      <c r="F164" s="186">
        <f>F163-$D$163</f>
        <v>0</v>
      </c>
      <c r="G164" s="186">
        <f>G163-$D$163</f>
        <v>0</v>
      </c>
      <c r="H164" s="186">
        <f>H163-$D$163</f>
        <v>0</v>
      </c>
      <c r="I164" s="186">
        <f>I163-$D$163</f>
        <v>0</v>
      </c>
      <c r="J164" s="331"/>
      <c r="K164" s="331"/>
      <c r="L164" s="537"/>
      <c r="M164" s="293">
        <f>M163-$L$163</f>
        <v>0</v>
      </c>
      <c r="N164" s="293">
        <f t="shared" ref="N164:Q164" si="80">N163-$L$163</f>
        <v>0</v>
      </c>
      <c r="O164" s="293">
        <f t="shared" si="80"/>
        <v>0</v>
      </c>
      <c r="P164" s="293">
        <f t="shared" si="80"/>
        <v>0</v>
      </c>
      <c r="Q164" s="293">
        <f t="shared" si="80"/>
        <v>0</v>
      </c>
      <c r="V164" s="133"/>
    </row>
    <row r="165" spans="1:40">
      <c r="A165" s="331"/>
      <c r="B165" s="331"/>
      <c r="C165" s="331"/>
      <c r="D165" s="331"/>
      <c r="E165" s="331"/>
      <c r="F165" s="331"/>
      <c r="G165" s="331"/>
      <c r="H165" s="331"/>
      <c r="I165" s="331"/>
      <c r="J165" s="331"/>
      <c r="K165" s="331"/>
      <c r="L165" s="331"/>
      <c r="M165" s="331"/>
      <c r="N165" s="331"/>
      <c r="O165" s="331"/>
      <c r="P165" s="331"/>
      <c r="Q165" s="331"/>
      <c r="V165" s="133"/>
    </row>
    <row r="166" spans="1:40">
      <c r="A166" s="289"/>
      <c r="B166" s="327" t="s">
        <v>770</v>
      </c>
      <c r="C166" s="311"/>
      <c r="D166" s="312"/>
      <c r="E166" s="313"/>
      <c r="F166" s="314"/>
      <c r="G166" s="314"/>
      <c r="H166" s="314"/>
      <c r="I166" s="435"/>
      <c r="J166" s="289"/>
      <c r="K166" s="289"/>
      <c r="L166" s="289"/>
      <c r="M166" s="289"/>
      <c r="N166" s="289"/>
      <c r="O166" s="289"/>
      <c r="P166" s="289"/>
      <c r="Q166" s="223"/>
      <c r="R166" s="133"/>
      <c r="S166" s="133"/>
      <c r="T166" s="133"/>
      <c r="U166" s="133"/>
      <c r="V166" s="133"/>
      <c r="W166" s="133"/>
      <c r="X166" s="133"/>
      <c r="Y166" s="133"/>
      <c r="Z166" s="133"/>
      <c r="AJ166" s="285"/>
      <c r="AK166" s="285"/>
      <c r="AL166" s="285"/>
      <c r="AM166" s="285"/>
      <c r="AN166" s="285"/>
    </row>
    <row r="167" spans="1:40">
      <c r="A167" s="289"/>
      <c r="B167" s="397" t="s">
        <v>941</v>
      </c>
      <c r="C167" s="398"/>
      <c r="D167" s="398"/>
      <c r="E167" s="398"/>
      <c r="F167" s="398"/>
      <c r="G167" s="398"/>
      <c r="H167" s="398"/>
      <c r="I167" s="222"/>
      <c r="J167" s="223"/>
      <c r="K167" s="223"/>
      <c r="L167" s="431"/>
      <c r="M167" s="431"/>
      <c r="N167" s="431"/>
      <c r="O167" s="431"/>
      <c r="P167" s="431"/>
      <c r="Q167" s="431"/>
      <c r="R167" s="133"/>
      <c r="S167" s="133"/>
      <c r="T167" s="133"/>
      <c r="U167" s="133"/>
      <c r="V167" s="133"/>
      <c r="W167" s="133"/>
      <c r="X167" s="133"/>
      <c r="Y167" s="133"/>
      <c r="Z167" s="133"/>
      <c r="AJ167" s="285"/>
      <c r="AK167" s="285"/>
      <c r="AL167" s="285"/>
      <c r="AM167" s="285"/>
      <c r="AN167" s="285"/>
    </row>
    <row r="168" spans="1:40" ht="43.5">
      <c r="A168" s="289"/>
      <c r="B168" s="278" t="s">
        <v>125</v>
      </c>
      <c r="C168" s="165" t="s">
        <v>941</v>
      </c>
      <c r="D168" s="422" t="s">
        <v>736</v>
      </c>
      <c r="E168" s="256" t="s">
        <v>51</v>
      </c>
      <c r="F168" s="256" t="s">
        <v>52</v>
      </c>
      <c r="G168" s="164" t="s">
        <v>737</v>
      </c>
      <c r="H168" s="164" t="s">
        <v>738</v>
      </c>
      <c r="I168" s="256" t="s">
        <v>739</v>
      </c>
      <c r="J168" s="289"/>
      <c r="K168" s="668" t="s">
        <v>976</v>
      </c>
      <c r="L168" s="422" t="s">
        <v>736</v>
      </c>
      <c r="M168" s="256" t="s">
        <v>51</v>
      </c>
      <c r="N168" s="256" t="s">
        <v>52</v>
      </c>
      <c r="O168" s="164" t="s">
        <v>737</v>
      </c>
      <c r="P168" s="164" t="s">
        <v>738</v>
      </c>
      <c r="Q168" s="256" t="s">
        <v>739</v>
      </c>
      <c r="R168" s="133"/>
      <c r="S168" s="133"/>
      <c r="T168" s="133"/>
      <c r="U168" s="133"/>
      <c r="V168" s="133"/>
      <c r="W168" s="133"/>
      <c r="X168" s="133"/>
      <c r="Y168" s="133"/>
      <c r="Z168" s="133"/>
      <c r="AJ168" s="285"/>
      <c r="AK168" s="285"/>
      <c r="AL168" s="285"/>
      <c r="AM168" s="285"/>
      <c r="AN168" s="285"/>
    </row>
    <row r="169" spans="1:40">
      <c r="A169" s="289"/>
      <c r="B169" s="350" t="s">
        <v>1112</v>
      </c>
      <c r="C169" s="632">
        <f>'Inputs and eligible population'!F93</f>
        <v>7.14</v>
      </c>
      <c r="D169" s="128">
        <f>D$7*'Inputs and eligible population'!E$64*$C169</f>
        <v>0</v>
      </c>
      <c r="E169" s="128">
        <f>E$7*'Inputs and eligible population'!F$64*$C169</f>
        <v>1131.2836543555445</v>
      </c>
      <c r="F169" s="128">
        <f>F$7*'Inputs and eligible population'!G$64*$C169</f>
        <v>1856.0608194991369</v>
      </c>
      <c r="G169" s="128">
        <f>G$7*'Inputs and eligible population'!H$64*$C169</f>
        <v>1873.95660056209</v>
      </c>
      <c r="H169" s="128">
        <f>H$7*'Inputs and eligible population'!I$64*$C169</f>
        <v>1892.0249293004681</v>
      </c>
      <c r="I169" s="128">
        <f>I$7*'Inputs and eligible population'!J$64*$C169</f>
        <v>1910.2674693857368</v>
      </c>
      <c r="J169" s="289"/>
      <c r="K169" s="669">
        <f>'Inputs and eligible population'!$M$94</f>
        <v>42.15</v>
      </c>
      <c r="L169" s="292">
        <f>(D169*'Inputs and eligible population'!$F$94/60*'Inputs and eligible population'!$M$94)/1000</f>
        <v>0</v>
      </c>
      <c r="M169" s="292">
        <f>(E169*'Inputs and eligible population'!$F$94/60*'Inputs and eligible population'!$M$94)/1000</f>
        <v>0</v>
      </c>
      <c r="N169" s="292">
        <f>(F169*'Inputs and eligible population'!$F$94/60*'Inputs and eligible population'!$M$94)/1000</f>
        <v>0</v>
      </c>
      <c r="O169" s="292">
        <f>(G169*'Inputs and eligible population'!$F$94/60*'Inputs and eligible population'!$M$94)/1000</f>
        <v>0</v>
      </c>
      <c r="P169" s="292">
        <f>(H169*'Inputs and eligible population'!$F$94/60*'Inputs and eligible population'!$M$94)/1000</f>
        <v>0</v>
      </c>
      <c r="Q169" s="292">
        <f>(I169*'Inputs and eligible population'!$F$94/60*'Inputs and eligible population'!$M$94)/1000</f>
        <v>0</v>
      </c>
      <c r="R169" s="133"/>
      <c r="S169" s="133"/>
      <c r="T169" s="133"/>
      <c r="U169" s="133"/>
      <c r="V169" s="133"/>
      <c r="W169" s="133"/>
      <c r="X169" s="133"/>
      <c r="Y169" s="133"/>
      <c r="Z169" s="133"/>
      <c r="AJ169" s="285"/>
      <c r="AK169" s="285"/>
      <c r="AL169" s="285"/>
      <c r="AM169" s="285"/>
      <c r="AN169" s="285"/>
    </row>
    <row r="170" spans="1:40">
      <c r="A170" s="289"/>
      <c r="B170" s="350" t="s">
        <v>1142</v>
      </c>
      <c r="C170" s="632">
        <f>'Inputs and eligible population'!G93</f>
        <v>5.29</v>
      </c>
      <c r="D170" s="128">
        <f>D$7*'Inputs and eligible population'!E$65*$C170</f>
        <v>0</v>
      </c>
      <c r="E170" s="128">
        <f>E$7*'Inputs and eligible population'!F$65*$C170</f>
        <v>838.16393999171305</v>
      </c>
      <c r="F170" s="128">
        <f>F$7*'Inputs and eligible population'!G$65*$C170</f>
        <v>1375.1487024020216</v>
      </c>
      <c r="G170" s="128">
        <f>G$7*'Inputs and eligible population'!H$65*$C170</f>
        <v>1388.4076214248539</v>
      </c>
      <c r="H170" s="128">
        <f>H$7*'Inputs and eligible population'!I$65*$C170</f>
        <v>1401.7943803920837</v>
      </c>
      <c r="I170" s="128">
        <f>I$7*'Inputs and eligible population'!J$65*$C170</f>
        <v>1415.3102119118414</v>
      </c>
      <c r="J170" s="289"/>
      <c r="K170" s="669">
        <f>'Inputs and eligible population'!$M$94</f>
        <v>42.15</v>
      </c>
      <c r="L170" s="292">
        <f>(D170*'Inputs and eligible population'!$G$94/60*'Inputs and eligible population'!$M$94)/1000</f>
        <v>0</v>
      </c>
      <c r="M170" s="292">
        <f>(E170*'Inputs and eligible population'!$G$94/60*'Inputs and eligible population'!$M$94)/1000</f>
        <v>0</v>
      </c>
      <c r="N170" s="292">
        <f>(F170*'Inputs and eligible population'!$G$94/60*'Inputs and eligible population'!$M$94)/1000</f>
        <v>0</v>
      </c>
      <c r="O170" s="292">
        <f>(G170*'Inputs and eligible population'!$G$94/60*'Inputs and eligible population'!$M$94)/1000</f>
        <v>0</v>
      </c>
      <c r="P170" s="292">
        <f>(H170*'Inputs and eligible population'!$G$94/60*'Inputs and eligible population'!$M$94)/1000</f>
        <v>0</v>
      </c>
      <c r="Q170" s="292">
        <f>(I170*'Inputs and eligible population'!$G$94/60*'Inputs and eligible population'!$M$94)/1000</f>
        <v>0</v>
      </c>
      <c r="R170" s="133"/>
      <c r="S170" s="133"/>
      <c r="T170" s="133"/>
      <c r="U170" s="133"/>
      <c r="V170" s="133"/>
      <c r="W170" s="133"/>
      <c r="X170" s="133"/>
      <c r="Y170" s="133"/>
      <c r="Z170" s="133"/>
      <c r="AJ170" s="285"/>
      <c r="AK170" s="285"/>
      <c r="AL170" s="285"/>
      <c r="AM170" s="285"/>
      <c r="AN170" s="285"/>
    </row>
    <row r="171" spans="1:40">
      <c r="A171" s="289"/>
      <c r="B171" s="350" t="s">
        <v>997</v>
      </c>
      <c r="C171" s="632">
        <f>'Inputs and eligible population'!H93</f>
        <v>6.44</v>
      </c>
      <c r="D171" s="128">
        <f>D$7*'Inputs and eligible population'!E$66*$C171</f>
        <v>505.31460000000004</v>
      </c>
      <c r="E171" s="128">
        <f>E$7*'Inputs and eligible population'!F$66*$C171</f>
        <v>510.1867460819123</v>
      </c>
      <c r="F171" s="128">
        <f>F$7*'Inputs and eligible population'!G$66*$C171</f>
        <v>515.10586845828243</v>
      </c>
      <c r="G171" s="128">
        <f>G$7*'Inputs and eligible population'!H$66*$C171</f>
        <v>520.07242006549711</v>
      </c>
      <c r="H171" s="128">
        <f>H$7*'Inputs and eligible population'!I$66*$C171</f>
        <v>525.08685820706819</v>
      </c>
      <c r="I171" s="128">
        <f>I$7*'Inputs and eligible population'!J$66*$C171</f>
        <v>530.14964459573991</v>
      </c>
      <c r="J171" s="289"/>
      <c r="K171" s="669">
        <f>'Inputs and eligible population'!$M$94</f>
        <v>42.15</v>
      </c>
      <c r="L171" s="292">
        <f>(D171*'Inputs and eligible population'!$H$94/60*'Inputs and eligible population'!$M$94)/1000</f>
        <v>0</v>
      </c>
      <c r="M171" s="292">
        <f>(E171*'Inputs and eligible population'!$H$94/60*'Inputs and eligible population'!$M$94)/1000</f>
        <v>0</v>
      </c>
      <c r="N171" s="292">
        <f>(F171*'Inputs and eligible population'!$H$94/60*'Inputs and eligible population'!$M$94)/1000</f>
        <v>0</v>
      </c>
      <c r="O171" s="292">
        <f>(G171*'Inputs and eligible population'!$H$94/60*'Inputs and eligible population'!$M$94)/1000</f>
        <v>0</v>
      </c>
      <c r="P171" s="292">
        <f>(H171*'Inputs and eligible population'!$H$94/60*'Inputs and eligible population'!$M$94)/1000</f>
        <v>0</v>
      </c>
      <c r="Q171" s="292">
        <f>(I171*'Inputs and eligible population'!$H$94/60*'Inputs and eligible population'!$M$94)/1000</f>
        <v>0</v>
      </c>
      <c r="R171" s="133"/>
      <c r="S171" s="133"/>
      <c r="T171" s="133"/>
      <c r="U171" s="133"/>
      <c r="V171" s="133"/>
      <c r="W171" s="133"/>
      <c r="X171" s="133"/>
      <c r="Y171" s="133"/>
      <c r="Z171" s="133"/>
      <c r="AJ171" s="285"/>
      <c r="AK171" s="285"/>
      <c r="AL171" s="285"/>
      <c r="AM171" s="285"/>
      <c r="AN171" s="285"/>
    </row>
    <row r="172" spans="1:40">
      <c r="A172" s="289"/>
      <c r="B172" s="350" t="s">
        <v>998</v>
      </c>
      <c r="C172" s="632">
        <f>'Inputs and eligible population'!I93</f>
        <v>3.68</v>
      </c>
      <c r="D172" s="128">
        <f>D$7*'Inputs and eligible population'!E$67*$C172</f>
        <v>2598.7608</v>
      </c>
      <c r="E172" s="128">
        <f>E$7*'Inputs and eligible population'!F$67*$C172</f>
        <v>1457.6764173768922</v>
      </c>
      <c r="F172" s="128">
        <f>F$7*'Inputs and eligible population'!G$67*$C172</f>
        <v>735.86552636897488</v>
      </c>
      <c r="G172" s="128">
        <f>G$7*'Inputs and eligible population'!H$67*$C172</f>
        <v>742.96060009356722</v>
      </c>
      <c r="H172" s="128">
        <f>H$7*'Inputs and eligible population'!I$67*$C172</f>
        <v>750.12408315295443</v>
      </c>
      <c r="I172" s="128">
        <f>I$7*'Inputs and eligible population'!J$67*$C172</f>
        <v>757.35663513677127</v>
      </c>
      <c r="J172" s="289"/>
      <c r="K172" s="669">
        <f>'Inputs and eligible population'!$M$94</f>
        <v>42.15</v>
      </c>
      <c r="L172" s="292">
        <f>(D172*'Inputs and eligible population'!$I$94/60*'Inputs and eligible population'!$M$94)/1000</f>
        <v>0</v>
      </c>
      <c r="M172" s="292">
        <f>(E172*'Inputs and eligible population'!$I$94/60*'Inputs and eligible population'!$M$94)/1000</f>
        <v>0</v>
      </c>
      <c r="N172" s="292">
        <f>(F172*'Inputs and eligible population'!$I$94/60*'Inputs and eligible population'!$M$94)/1000</f>
        <v>0</v>
      </c>
      <c r="O172" s="292">
        <f>(G172*'Inputs and eligible population'!$I$94/60*'Inputs and eligible population'!$M$94)/1000</f>
        <v>0</v>
      </c>
      <c r="P172" s="292">
        <f>(H172*'Inputs and eligible population'!$I$94/60*'Inputs and eligible population'!$M$94)/1000</f>
        <v>0</v>
      </c>
      <c r="Q172" s="292">
        <f>(I172*'Inputs and eligible population'!$I$94/60*'Inputs and eligible population'!$M$94)/1000</f>
        <v>0</v>
      </c>
      <c r="R172" s="133"/>
      <c r="S172" s="133"/>
      <c r="T172" s="133"/>
      <c r="U172" s="133"/>
      <c r="V172" s="133"/>
      <c r="W172" s="133"/>
      <c r="X172" s="133"/>
      <c r="Y172" s="133"/>
      <c r="Z172" s="133"/>
      <c r="AJ172" s="285"/>
      <c r="AK172" s="285"/>
      <c r="AL172" s="285"/>
      <c r="AM172" s="285"/>
      <c r="AN172" s="285"/>
    </row>
    <row r="173" spans="1:40">
      <c r="A173" s="289"/>
      <c r="B173" s="350" t="s">
        <v>1095</v>
      </c>
      <c r="C173" s="632">
        <f>'Inputs and eligible population'!J93</f>
        <v>0</v>
      </c>
      <c r="D173" s="128">
        <f>D$7*'Inputs and eligible population'!E$68*$C173</f>
        <v>0</v>
      </c>
      <c r="E173" s="128">
        <f>E$7*'Inputs and eligible population'!F$68*$C173</f>
        <v>0</v>
      </c>
      <c r="F173" s="128">
        <f>F$7*'Inputs and eligible population'!G$68*$C173</f>
        <v>0</v>
      </c>
      <c r="G173" s="128">
        <f>G$7*'Inputs and eligible population'!H$68*$C173</f>
        <v>0</v>
      </c>
      <c r="H173" s="128">
        <f>H$7*'Inputs and eligible population'!I$68*$C173</f>
        <v>0</v>
      </c>
      <c r="I173" s="128">
        <f>I$7*'Inputs and eligible population'!J$68*$C173</f>
        <v>0</v>
      </c>
      <c r="J173" s="289"/>
      <c r="K173" s="669">
        <f>'Inputs and eligible population'!$M$94</f>
        <v>42.15</v>
      </c>
      <c r="L173" s="292">
        <f>(D173*'Inputs and eligible population'!$J$94/60*'Inputs and eligible population'!$M$94)/1000</f>
        <v>0</v>
      </c>
      <c r="M173" s="292">
        <f>(E173*'Inputs and eligible population'!$J$94/60*'Inputs and eligible population'!$M$94)/1000</f>
        <v>0</v>
      </c>
      <c r="N173" s="292">
        <f>(F173*'Inputs and eligible population'!$J$94/60*'Inputs and eligible population'!$M$94)/1000</f>
        <v>0</v>
      </c>
      <c r="O173" s="292">
        <f>(G173*'Inputs and eligible population'!$J$94/60*'Inputs and eligible population'!$M$94)/1000</f>
        <v>0</v>
      </c>
      <c r="P173" s="292">
        <f>(H173*'Inputs and eligible population'!$J$94/60*'Inputs and eligible population'!$M$94)/1000</f>
        <v>0</v>
      </c>
      <c r="Q173" s="292">
        <f>(I173*'Inputs and eligible population'!$J$94/60*'Inputs and eligible population'!$M$94)/1000</f>
        <v>0</v>
      </c>
      <c r="R173" s="133"/>
      <c r="S173" s="133"/>
      <c r="T173" s="133"/>
      <c r="U173" s="133"/>
      <c r="V173" s="133"/>
      <c r="W173" s="133"/>
      <c r="X173" s="133"/>
      <c r="Y173" s="133"/>
      <c r="Z173" s="133"/>
      <c r="AJ173" s="285"/>
      <c r="AK173" s="285"/>
      <c r="AL173" s="285"/>
      <c r="AM173" s="285"/>
      <c r="AN173" s="285"/>
    </row>
    <row r="174" spans="1:40">
      <c r="A174" s="289"/>
      <c r="B174" s="282"/>
      <c r="C174" s="207"/>
      <c r="D174" s="186">
        <f>SUM(D169:D173)</f>
        <v>3104.0754000000002</v>
      </c>
      <c r="E174" s="186">
        <f t="shared" ref="E174" si="81">SUM(E169:E173)</f>
        <v>3937.3107578060617</v>
      </c>
      <c r="F174" s="186">
        <f t="shared" ref="F174" si="82">SUM(F169:F173)</f>
        <v>4482.1809167284164</v>
      </c>
      <c r="G174" s="186">
        <f t="shared" ref="G174" si="83">SUM(G169:G173)</f>
        <v>4525.3972421460085</v>
      </c>
      <c r="H174" s="186">
        <f t="shared" ref="H174" si="84">SUM(H169:H173)</f>
        <v>4569.0302510525744</v>
      </c>
      <c r="I174" s="186">
        <f t="shared" ref="I174" si="85">SUM(I169:I173)</f>
        <v>4613.08396103009</v>
      </c>
      <c r="J174" s="289"/>
      <c r="K174" s="289"/>
      <c r="L174" s="293">
        <f>SUM(L169:L173)</f>
        <v>0</v>
      </c>
      <c r="M174" s="293">
        <f t="shared" ref="M174:Q174" si="86">SUM(M169:M173)</f>
        <v>0</v>
      </c>
      <c r="N174" s="293">
        <f t="shared" si="86"/>
        <v>0</v>
      </c>
      <c r="O174" s="293">
        <f t="shared" si="86"/>
        <v>0</v>
      </c>
      <c r="P174" s="293">
        <f t="shared" si="86"/>
        <v>0</v>
      </c>
      <c r="Q174" s="293">
        <f t="shared" si="86"/>
        <v>0</v>
      </c>
      <c r="R174" s="133"/>
      <c r="S174" s="133"/>
      <c r="T174" s="133"/>
      <c r="U174" s="133"/>
      <c r="V174" s="133"/>
      <c r="W174" s="133"/>
      <c r="X174" s="133"/>
      <c r="Y174" s="133"/>
      <c r="Z174" s="133"/>
      <c r="AJ174" s="285"/>
      <c r="AK174" s="285"/>
      <c r="AL174" s="285"/>
      <c r="AM174" s="285"/>
      <c r="AN174" s="285"/>
    </row>
    <row r="175" spans="1:40">
      <c r="A175" s="289"/>
      <c r="B175" s="305"/>
      <c r="C175" s="257"/>
      <c r="D175" s="284" t="s">
        <v>947</v>
      </c>
      <c r="E175" s="186">
        <f>E174-$D$174</f>
        <v>833.23535780606153</v>
      </c>
      <c r="F175" s="186">
        <f>F174-$D$174</f>
        <v>1378.1055167284162</v>
      </c>
      <c r="G175" s="186">
        <f>G174-$D$174</f>
        <v>1421.3218421460083</v>
      </c>
      <c r="H175" s="186">
        <f>H174-$D$174</f>
        <v>1464.9548510525742</v>
      </c>
      <c r="I175" s="186">
        <f>I174-$D$174</f>
        <v>1509.0085610300898</v>
      </c>
      <c r="J175" s="289"/>
      <c r="K175" s="289"/>
      <c r="L175" s="538"/>
      <c r="M175" s="293">
        <f>M174-$L$174</f>
        <v>0</v>
      </c>
      <c r="N175" s="293">
        <f>N174-$L$174</f>
        <v>0</v>
      </c>
      <c r="O175" s="293">
        <f>O174-$L$174</f>
        <v>0</v>
      </c>
      <c r="P175" s="293">
        <f>P174-$L$174</f>
        <v>0</v>
      </c>
      <c r="Q175" s="293">
        <f>Q174-$L$174</f>
        <v>0</v>
      </c>
      <c r="V175" s="133"/>
    </row>
    <row r="176" spans="1:40">
      <c r="A176" s="289"/>
      <c r="B176" s="328"/>
      <c r="C176" s="223"/>
      <c r="D176" s="223"/>
      <c r="E176" s="223"/>
      <c r="F176" s="223"/>
      <c r="G176" s="223"/>
      <c r="H176" s="223"/>
      <c r="I176" s="223"/>
      <c r="J176" s="289"/>
      <c r="K176" s="289"/>
      <c r="L176" s="223"/>
      <c r="M176" s="223"/>
      <c r="N176" s="223"/>
      <c r="O176" s="223"/>
      <c r="P176" s="223"/>
      <c r="Q176" s="223"/>
      <c r="V176" s="133"/>
    </row>
    <row r="177" spans="1:40">
      <c r="A177" s="289"/>
      <c r="B177" s="397" t="s">
        <v>942</v>
      </c>
      <c r="C177" s="398"/>
      <c r="D177" s="398"/>
      <c r="E177" s="398"/>
      <c r="F177" s="398"/>
      <c r="G177" s="398"/>
      <c r="H177" s="398"/>
      <c r="I177" s="222"/>
      <c r="J177" s="289"/>
      <c r="K177" s="289"/>
      <c r="L177" s="431"/>
      <c r="M177" s="431"/>
      <c r="N177" s="431"/>
      <c r="O177" s="431"/>
      <c r="P177" s="431"/>
      <c r="Q177" s="431"/>
      <c r="R177" s="133"/>
      <c r="S177" s="133"/>
      <c r="T177" s="133"/>
      <c r="U177" s="133"/>
      <c r="V177" s="133"/>
      <c r="W177" s="133"/>
      <c r="X177" s="133"/>
      <c r="Y177" s="133"/>
      <c r="Z177" s="133"/>
      <c r="AJ177" s="285"/>
      <c r="AK177" s="285"/>
      <c r="AL177" s="285"/>
      <c r="AM177" s="285"/>
      <c r="AN177" s="285"/>
    </row>
    <row r="178" spans="1:40" ht="43.5">
      <c r="A178" s="289"/>
      <c r="B178" s="278" t="s">
        <v>125</v>
      </c>
      <c r="C178" s="165" t="s">
        <v>948</v>
      </c>
      <c r="D178" s="422" t="s">
        <v>736</v>
      </c>
      <c r="E178" s="256" t="s">
        <v>51</v>
      </c>
      <c r="F178" s="256" t="s">
        <v>52</v>
      </c>
      <c r="G178" s="164" t="s">
        <v>737</v>
      </c>
      <c r="H178" s="164" t="s">
        <v>738</v>
      </c>
      <c r="I178" s="256" t="s">
        <v>739</v>
      </c>
      <c r="J178" s="289"/>
      <c r="K178" s="668" t="s">
        <v>976</v>
      </c>
      <c r="L178" s="422" t="s">
        <v>736</v>
      </c>
      <c r="M178" s="256" t="s">
        <v>51</v>
      </c>
      <c r="N178" s="256" t="s">
        <v>52</v>
      </c>
      <c r="O178" s="164" t="s">
        <v>737</v>
      </c>
      <c r="P178" s="164" t="s">
        <v>738</v>
      </c>
      <c r="Q178" s="256" t="s">
        <v>739</v>
      </c>
      <c r="R178" s="133"/>
      <c r="S178" s="133"/>
      <c r="T178" s="133"/>
      <c r="U178" s="133"/>
      <c r="V178" s="133"/>
      <c r="W178" s="133"/>
      <c r="X178" s="133"/>
      <c r="Y178" s="133"/>
      <c r="Z178" s="133"/>
      <c r="AJ178" s="285"/>
      <c r="AK178" s="285"/>
      <c r="AL178" s="285"/>
      <c r="AM178" s="285"/>
      <c r="AN178" s="285"/>
    </row>
    <row r="179" spans="1:40">
      <c r="A179" s="289"/>
      <c r="B179" s="350" t="s">
        <v>1112</v>
      </c>
      <c r="C179" s="632">
        <f>'Inputs and eligible population'!F95</f>
        <v>6.46</v>
      </c>
      <c r="D179" s="128">
        <f>D$7*'Inputs and eligible population'!E$64*$C179</f>
        <v>0</v>
      </c>
      <c r="E179" s="128">
        <f>E$7*'Inputs and eligible population'!F$64*$C179</f>
        <v>1023.5423539407309</v>
      </c>
      <c r="F179" s="128">
        <f>F$7*'Inputs and eligible population'!G$64*$C179</f>
        <v>1679.293122403981</v>
      </c>
      <c r="G179" s="128">
        <f>G$7*'Inputs and eligible population'!H$64*$C179</f>
        <v>1695.4845433657006</v>
      </c>
      <c r="H179" s="128">
        <f>H$7*'Inputs and eligible population'!I$64*$C179</f>
        <v>1711.8320788908998</v>
      </c>
      <c r="I179" s="128">
        <f>I$7*'Inputs and eligible population'!J$64*$C179</f>
        <v>1728.337234206143</v>
      </c>
      <c r="J179" s="289"/>
      <c r="K179" s="669">
        <f>'Inputs and eligible population'!$M$96</f>
        <v>34.07</v>
      </c>
      <c r="L179" s="292">
        <f>(D179*'Inputs and eligible population'!$F$96/60*'Inputs and eligible population'!$M$96)/1000</f>
        <v>0</v>
      </c>
      <c r="M179" s="292">
        <f>(E179*'Inputs and eligible population'!$F$96/60*'Inputs and eligible population'!$M$96)/1000</f>
        <v>0</v>
      </c>
      <c r="N179" s="292">
        <f>(F179*'Inputs and eligible population'!$F$96/60*'Inputs and eligible population'!$M$96)/1000</f>
        <v>0</v>
      </c>
      <c r="O179" s="292">
        <f>(G179*'Inputs and eligible population'!$F$96/60*'Inputs and eligible population'!$M$96)/1000</f>
        <v>0</v>
      </c>
      <c r="P179" s="292">
        <f>(H179*'Inputs and eligible population'!$F$96/60*'Inputs and eligible population'!$M$96)/1000</f>
        <v>0</v>
      </c>
      <c r="Q179" s="292">
        <f>(I179*'Inputs and eligible population'!$F$96/60*'Inputs and eligible population'!$M$96)/1000</f>
        <v>0</v>
      </c>
      <c r="R179" s="133"/>
      <c r="S179" s="133"/>
      <c r="T179" s="133"/>
      <c r="U179" s="133"/>
      <c r="V179" s="133"/>
      <c r="W179" s="133"/>
      <c r="X179" s="133"/>
      <c r="Y179" s="133"/>
      <c r="Z179" s="133"/>
      <c r="AJ179" s="285"/>
      <c r="AK179" s="285"/>
      <c r="AL179" s="285"/>
      <c r="AM179" s="285"/>
      <c r="AN179" s="285"/>
    </row>
    <row r="180" spans="1:40">
      <c r="A180" s="289"/>
      <c r="B180" s="350" t="s">
        <v>1142</v>
      </c>
      <c r="C180" s="632">
        <f>'Inputs and eligible population'!G95</f>
        <v>5.29</v>
      </c>
      <c r="D180" s="128">
        <f>D$7*'Inputs and eligible population'!E$65*$C180</f>
        <v>0</v>
      </c>
      <c r="E180" s="128">
        <f>E$7*'Inputs and eligible population'!F$65*$C180</f>
        <v>838.16393999171305</v>
      </c>
      <c r="F180" s="128">
        <f>F$7*'Inputs and eligible population'!G$65*$C180</f>
        <v>1375.1487024020216</v>
      </c>
      <c r="G180" s="128">
        <f>G$7*'Inputs and eligible population'!H$65*$C180</f>
        <v>1388.4076214248539</v>
      </c>
      <c r="H180" s="128">
        <f>H$7*'Inputs and eligible population'!I$65*$C180</f>
        <v>1401.7943803920837</v>
      </c>
      <c r="I180" s="128">
        <f>I$7*'Inputs and eligible population'!J$65*$C180</f>
        <v>1415.3102119118414</v>
      </c>
      <c r="J180" s="289"/>
      <c r="K180" s="669">
        <f>'Inputs and eligible population'!$M$96</f>
        <v>34.07</v>
      </c>
      <c r="L180" s="292">
        <f>(D180*'Inputs and eligible population'!$G$96/60*'Inputs and eligible population'!$M$96)/1000</f>
        <v>0</v>
      </c>
      <c r="M180" s="292">
        <f>(E180*'Inputs and eligible population'!$G$96/60*'Inputs and eligible population'!$M$96)/1000</f>
        <v>0</v>
      </c>
      <c r="N180" s="292">
        <f>(F180*'Inputs and eligible population'!$G$96/60*'Inputs and eligible population'!$M$96)/1000</f>
        <v>0</v>
      </c>
      <c r="O180" s="292">
        <f>(G180*'Inputs and eligible population'!$G$96/60*'Inputs and eligible population'!$M$96)/1000</f>
        <v>0</v>
      </c>
      <c r="P180" s="292">
        <f>(H180*'Inputs and eligible population'!$G$96/60*'Inputs and eligible population'!$M$96)/1000</f>
        <v>0</v>
      </c>
      <c r="Q180" s="292">
        <f>(I180*'Inputs and eligible population'!$G$96/60*'Inputs and eligible population'!$M$96)/1000</f>
        <v>0</v>
      </c>
      <c r="R180" s="133"/>
      <c r="S180" s="133"/>
      <c r="T180" s="133"/>
      <c r="U180" s="133"/>
      <c r="V180" s="133"/>
      <c r="W180" s="133"/>
      <c r="X180" s="133"/>
      <c r="Y180" s="133"/>
      <c r="Z180" s="133"/>
      <c r="AJ180" s="285"/>
      <c r="AK180" s="285"/>
      <c r="AL180" s="285"/>
      <c r="AM180" s="285"/>
      <c r="AN180" s="285"/>
    </row>
    <row r="181" spans="1:40">
      <c r="A181" s="289"/>
      <c r="B181" s="350" t="s">
        <v>997</v>
      </c>
      <c r="C181" s="632">
        <f>'Inputs and eligible population'!H95</f>
        <v>6.44</v>
      </c>
      <c r="D181" s="128">
        <f>D$7*'Inputs and eligible population'!E$66*$C181</f>
        <v>505.31460000000004</v>
      </c>
      <c r="E181" s="128">
        <f>E$7*'Inputs and eligible population'!F$66*$C181</f>
        <v>510.1867460819123</v>
      </c>
      <c r="F181" s="128">
        <f>F$7*'Inputs and eligible population'!G$66*$C181</f>
        <v>515.10586845828243</v>
      </c>
      <c r="G181" s="128">
        <f>G$7*'Inputs and eligible population'!H$66*$C181</f>
        <v>520.07242006549711</v>
      </c>
      <c r="H181" s="128">
        <f>H$7*'Inputs and eligible population'!I$66*$C181</f>
        <v>525.08685820706819</v>
      </c>
      <c r="I181" s="128">
        <f>I$7*'Inputs and eligible population'!J$66*$C181</f>
        <v>530.14964459573991</v>
      </c>
      <c r="J181" s="289"/>
      <c r="K181" s="669">
        <f>'Inputs and eligible population'!$M$96</f>
        <v>34.07</v>
      </c>
      <c r="L181" s="292">
        <f>(D181*'Inputs and eligible population'!$H$96/60*'Inputs and eligible population'!$M$96)/1000</f>
        <v>0</v>
      </c>
      <c r="M181" s="292">
        <f>(E181*'Inputs and eligible population'!$H$96/60*'Inputs and eligible population'!$M$96)/1000</f>
        <v>0</v>
      </c>
      <c r="N181" s="292">
        <f>(F181*'Inputs and eligible population'!$H$96/60*'Inputs and eligible population'!$M$96)/1000</f>
        <v>0</v>
      </c>
      <c r="O181" s="292">
        <f>(G181*'Inputs and eligible population'!$H$96/60*'Inputs and eligible population'!$M$96)/1000</f>
        <v>0</v>
      </c>
      <c r="P181" s="292">
        <f>(H181*'Inputs and eligible population'!$H$96/60*'Inputs and eligible population'!$M$96)/1000</f>
        <v>0</v>
      </c>
      <c r="Q181" s="292">
        <f>(I181*'Inputs and eligible population'!$H$96/60*'Inputs and eligible population'!$M$96)/1000</f>
        <v>0</v>
      </c>
      <c r="R181" s="133"/>
      <c r="S181" s="133"/>
      <c r="T181" s="133"/>
      <c r="U181" s="133"/>
      <c r="V181" s="133"/>
      <c r="W181" s="133"/>
      <c r="X181" s="133"/>
      <c r="Y181" s="133"/>
      <c r="Z181" s="133"/>
      <c r="AJ181" s="285"/>
      <c r="AK181" s="285"/>
      <c r="AL181" s="285"/>
      <c r="AM181" s="285"/>
      <c r="AN181" s="285"/>
    </row>
    <row r="182" spans="1:40">
      <c r="A182" s="289"/>
      <c r="B182" s="350" t="s">
        <v>998</v>
      </c>
      <c r="C182" s="632">
        <f>'Inputs and eligible population'!I95</f>
        <v>3.68</v>
      </c>
      <c r="D182" s="128">
        <f>D$7*'Inputs and eligible population'!E$67*$C182</f>
        <v>2598.7608</v>
      </c>
      <c r="E182" s="128">
        <f>E$7*'Inputs and eligible population'!F$67*$C182</f>
        <v>1457.6764173768922</v>
      </c>
      <c r="F182" s="128">
        <f>F$7*'Inputs and eligible population'!G$67*$C182</f>
        <v>735.86552636897488</v>
      </c>
      <c r="G182" s="128">
        <f>G$7*'Inputs and eligible population'!H$67*$C182</f>
        <v>742.96060009356722</v>
      </c>
      <c r="H182" s="128">
        <f>H$7*'Inputs and eligible population'!I$67*$C182</f>
        <v>750.12408315295443</v>
      </c>
      <c r="I182" s="128">
        <f>I$7*'Inputs and eligible population'!J$67*$C182</f>
        <v>757.35663513677127</v>
      </c>
      <c r="J182" s="289"/>
      <c r="K182" s="669">
        <f>'Inputs and eligible population'!$M$96</f>
        <v>34.07</v>
      </c>
      <c r="L182" s="292">
        <f>(D182*'Inputs and eligible population'!$I$96/60*'Inputs and eligible population'!$M$96)/1000</f>
        <v>0</v>
      </c>
      <c r="M182" s="292">
        <f>(E182*'Inputs and eligible population'!$I$96/60*'Inputs and eligible population'!$M$96)/1000</f>
        <v>0</v>
      </c>
      <c r="N182" s="292">
        <f>(F182*'Inputs and eligible population'!$I$96/60*'Inputs and eligible population'!$M$96)/1000</f>
        <v>0</v>
      </c>
      <c r="O182" s="292">
        <f>(G182*'Inputs and eligible population'!$I$96/60*'Inputs and eligible population'!$M$96)/1000</f>
        <v>0</v>
      </c>
      <c r="P182" s="292">
        <f>(H182*'Inputs and eligible population'!$I$96/60*'Inputs and eligible population'!$M$96)/1000</f>
        <v>0</v>
      </c>
      <c r="Q182" s="292">
        <f>(I182*'Inputs and eligible population'!$I$96/60*'Inputs and eligible population'!$M$96)/1000</f>
        <v>0</v>
      </c>
      <c r="R182" s="133"/>
      <c r="S182" s="133"/>
      <c r="T182" s="133"/>
      <c r="U182" s="133"/>
      <c r="V182" s="133"/>
      <c r="W182" s="133"/>
      <c r="X182" s="133"/>
      <c r="Y182" s="133"/>
      <c r="Z182" s="133"/>
      <c r="AJ182" s="285"/>
      <c r="AK182" s="285"/>
      <c r="AL182" s="285"/>
      <c r="AM182" s="285"/>
      <c r="AN182" s="285"/>
    </row>
    <row r="183" spans="1:40">
      <c r="A183" s="289"/>
      <c r="B183" s="350" t="s">
        <v>1095</v>
      </c>
      <c r="C183" s="632">
        <f>'Inputs and eligible population'!J95</f>
        <v>0</v>
      </c>
      <c r="D183" s="128">
        <f>D$7*'Inputs and eligible population'!E$68*$C183</f>
        <v>0</v>
      </c>
      <c r="E183" s="128">
        <f>E$7*'Inputs and eligible population'!F$68*$C183</f>
        <v>0</v>
      </c>
      <c r="F183" s="128">
        <f>F$7*'Inputs and eligible population'!G$68*$C183</f>
        <v>0</v>
      </c>
      <c r="G183" s="128">
        <f>G$7*'Inputs and eligible population'!H$68*$C183</f>
        <v>0</v>
      </c>
      <c r="H183" s="128">
        <f>H$7*'Inputs and eligible population'!I$68*$C183</f>
        <v>0</v>
      </c>
      <c r="I183" s="128">
        <f>I$7*'Inputs and eligible population'!J$68*$C183</f>
        <v>0</v>
      </c>
      <c r="J183" s="289"/>
      <c r="K183" s="669">
        <f>'Inputs and eligible population'!$M$96</f>
        <v>34.07</v>
      </c>
      <c r="L183" s="292">
        <f>(D183*'Inputs and eligible population'!$J$96/60*'Inputs and eligible population'!$M$96)/1000</f>
        <v>0</v>
      </c>
      <c r="M183" s="292">
        <f>(E183*'Inputs and eligible population'!$J$96/60*'Inputs and eligible population'!$M$96)/1000</f>
        <v>0</v>
      </c>
      <c r="N183" s="292">
        <f>(F183*'Inputs and eligible population'!$J$96/60*'Inputs and eligible population'!$M$96)/1000</f>
        <v>0</v>
      </c>
      <c r="O183" s="292">
        <f>(G183*'Inputs and eligible population'!$J$96/60*'Inputs and eligible population'!$M$96)/1000</f>
        <v>0</v>
      </c>
      <c r="P183" s="292">
        <f>(H183*'Inputs and eligible population'!$J$96/60*'Inputs and eligible population'!$M$96)/1000</f>
        <v>0</v>
      </c>
      <c r="Q183" s="292">
        <f>(I183*'Inputs and eligible population'!$J$96/60*'Inputs and eligible population'!$M$96)/1000</f>
        <v>0</v>
      </c>
      <c r="R183" s="133"/>
      <c r="S183" s="133"/>
      <c r="T183" s="133"/>
      <c r="U183" s="133"/>
      <c r="V183" s="133"/>
      <c r="W183" s="133"/>
      <c r="X183" s="133"/>
      <c r="Y183" s="133"/>
      <c r="Z183" s="133"/>
      <c r="AJ183" s="285"/>
      <c r="AK183" s="285"/>
      <c r="AL183" s="285"/>
      <c r="AM183" s="285"/>
      <c r="AN183" s="285"/>
    </row>
    <row r="184" spans="1:40">
      <c r="A184" s="289"/>
      <c r="B184" s="282"/>
      <c r="C184" s="207"/>
      <c r="D184" s="186">
        <f>SUM(D179:D183)</f>
        <v>3104.0754000000002</v>
      </c>
      <c r="E184" s="186">
        <f t="shared" ref="E184" si="87">SUM(E179:E183)</f>
        <v>3829.5694573912488</v>
      </c>
      <c r="F184" s="186">
        <f t="shared" ref="F184" si="88">SUM(F179:F183)</f>
        <v>4305.4132196332603</v>
      </c>
      <c r="G184" s="186">
        <f t="shared" ref="G184" si="89">SUM(G179:G183)</f>
        <v>4346.9251849496186</v>
      </c>
      <c r="H184" s="186">
        <f t="shared" ref="H184" si="90">SUM(H179:H183)</f>
        <v>4388.8374006430058</v>
      </c>
      <c r="I184" s="186">
        <f t="shared" ref="I184" si="91">SUM(I179:I183)</f>
        <v>4431.1537258504959</v>
      </c>
      <c r="J184" s="289"/>
      <c r="K184" s="289"/>
      <c r="L184" s="293">
        <f>SUM(L179:L183)</f>
        <v>0</v>
      </c>
      <c r="M184" s="293">
        <f t="shared" ref="M184:Q184" si="92">SUM(M179:M183)</f>
        <v>0</v>
      </c>
      <c r="N184" s="293">
        <f t="shared" si="92"/>
        <v>0</v>
      </c>
      <c r="O184" s="293">
        <f t="shared" si="92"/>
        <v>0</v>
      </c>
      <c r="P184" s="293">
        <f t="shared" si="92"/>
        <v>0</v>
      </c>
      <c r="Q184" s="293">
        <f t="shared" si="92"/>
        <v>0</v>
      </c>
      <c r="R184" s="133"/>
      <c r="S184" s="133"/>
      <c r="T184" s="133"/>
      <c r="U184" s="133"/>
      <c r="V184" s="133"/>
      <c r="W184" s="133"/>
      <c r="X184" s="133"/>
      <c r="Y184" s="133"/>
      <c r="Z184" s="133"/>
      <c r="AJ184" s="285"/>
      <c r="AK184" s="285"/>
      <c r="AL184" s="285"/>
      <c r="AM184" s="285"/>
      <c r="AN184" s="285"/>
    </row>
    <row r="185" spans="1:40">
      <c r="A185" s="289"/>
      <c r="B185" s="305"/>
      <c r="C185" s="257"/>
      <c r="D185" s="284" t="s">
        <v>949</v>
      </c>
      <c r="E185" s="186">
        <f>E184-$D$184</f>
        <v>725.49405739124859</v>
      </c>
      <c r="F185" s="186">
        <f>F184-$D$184</f>
        <v>1201.3378196332601</v>
      </c>
      <c r="G185" s="186">
        <f>G184-$D$184</f>
        <v>1242.8497849496184</v>
      </c>
      <c r="H185" s="186">
        <f>H184-$D$184</f>
        <v>1284.7620006430056</v>
      </c>
      <c r="I185" s="186">
        <f>I184-$D$184</f>
        <v>1327.0783258504957</v>
      </c>
      <c r="J185" s="289"/>
      <c r="K185" s="289"/>
      <c r="L185" s="538"/>
      <c r="M185" s="293">
        <f>M184-$L$184</f>
        <v>0</v>
      </c>
      <c r="N185" s="293">
        <f>N184-$L$184</f>
        <v>0</v>
      </c>
      <c r="O185" s="293">
        <f>O184-$L$184</f>
        <v>0</v>
      </c>
      <c r="P185" s="293">
        <f>P184-$L$184</f>
        <v>0</v>
      </c>
      <c r="Q185" s="293">
        <f>Q184-$L$184</f>
        <v>0</v>
      </c>
      <c r="V185" s="133"/>
    </row>
    <row r="186" spans="1:40">
      <c r="A186" s="289"/>
      <c r="B186" s="328"/>
      <c r="C186" s="223"/>
      <c r="D186" s="223"/>
      <c r="E186" s="223"/>
      <c r="F186" s="223"/>
      <c r="G186" s="223"/>
      <c r="H186" s="223"/>
      <c r="I186" s="223"/>
      <c r="J186" s="223"/>
      <c r="K186" s="223"/>
      <c r="L186" s="223"/>
      <c r="M186" s="223"/>
      <c r="N186" s="223"/>
      <c r="O186" s="223"/>
      <c r="P186" s="223"/>
      <c r="Q186" s="223"/>
      <c r="V186" s="133"/>
    </row>
    <row r="187" spans="1:40">
      <c r="A187" s="290"/>
      <c r="B187" s="329" t="s">
        <v>103</v>
      </c>
      <c r="C187" s="315"/>
      <c r="D187" s="316"/>
      <c r="E187" s="317"/>
      <c r="F187" s="318"/>
      <c r="G187" s="318"/>
      <c r="H187" s="318"/>
      <c r="I187" s="432"/>
      <c r="J187" s="438"/>
      <c r="K187" s="290"/>
      <c r="L187" s="290"/>
      <c r="M187" s="290"/>
      <c r="N187" s="290"/>
      <c r="O187" s="290"/>
      <c r="P187" s="290"/>
      <c r="Q187" s="290"/>
      <c r="R187" s="133"/>
      <c r="S187" s="133"/>
      <c r="T187" s="133"/>
      <c r="U187" s="133"/>
      <c r="V187" s="133"/>
      <c r="W187" s="133"/>
      <c r="X187" s="133"/>
      <c r="Y187" s="133"/>
      <c r="Z187" s="133"/>
      <c r="AJ187" s="285"/>
      <c r="AK187" s="285"/>
      <c r="AL187" s="285"/>
      <c r="AM187" s="285"/>
      <c r="AN187" s="285"/>
    </row>
    <row r="188" spans="1:40">
      <c r="A188" s="290"/>
      <c r="B188" s="399" t="s">
        <v>771</v>
      </c>
      <c r="C188" s="400"/>
      <c r="D188" s="400"/>
      <c r="E188" s="400"/>
      <c r="F188" s="400"/>
      <c r="G188" s="400"/>
      <c r="H188" s="400"/>
      <c r="I188" s="224"/>
      <c r="J188" s="436"/>
      <c r="K188" s="436"/>
      <c r="L188" s="437"/>
      <c r="M188" s="437"/>
      <c r="N188" s="437"/>
      <c r="O188" s="437"/>
      <c r="P188" s="437"/>
      <c r="Q188" s="437"/>
      <c r="R188" s="133"/>
      <c r="S188" s="133"/>
      <c r="T188" s="133"/>
      <c r="U188" s="133"/>
      <c r="V188" s="133"/>
      <c r="W188" s="133"/>
      <c r="X188" s="133"/>
      <c r="Y188" s="133"/>
      <c r="Z188" s="133"/>
      <c r="AJ188" s="285"/>
      <c r="AK188" s="285"/>
      <c r="AL188" s="285"/>
      <c r="AM188" s="285"/>
      <c r="AN188" s="285"/>
    </row>
    <row r="189" spans="1:40" ht="43.5">
      <c r="A189" s="290"/>
      <c r="B189" s="278" t="s">
        <v>125</v>
      </c>
      <c r="C189" s="209"/>
      <c r="D189" s="422" t="s">
        <v>736</v>
      </c>
      <c r="E189" s="256" t="s">
        <v>51</v>
      </c>
      <c r="F189" s="256" t="s">
        <v>52</v>
      </c>
      <c r="G189" s="164" t="s">
        <v>737</v>
      </c>
      <c r="H189" s="164" t="s">
        <v>738</v>
      </c>
      <c r="I189" s="256" t="s">
        <v>739</v>
      </c>
      <c r="J189" s="290"/>
      <c r="K189" s="290"/>
      <c r="L189" s="422" t="s">
        <v>736</v>
      </c>
      <c r="M189" s="256" t="s">
        <v>51</v>
      </c>
      <c r="N189" s="256" t="s">
        <v>52</v>
      </c>
      <c r="O189" s="164" t="s">
        <v>737</v>
      </c>
      <c r="P189" s="164" t="s">
        <v>738</v>
      </c>
      <c r="Q189" s="256" t="s">
        <v>739</v>
      </c>
      <c r="R189" s="133"/>
      <c r="S189" s="133"/>
      <c r="T189" s="133"/>
      <c r="U189" s="133"/>
      <c r="V189" s="133"/>
      <c r="W189" s="133"/>
      <c r="X189" s="133"/>
      <c r="Y189" s="133"/>
      <c r="Z189" s="133"/>
      <c r="AJ189" s="285"/>
      <c r="AK189" s="285"/>
      <c r="AL189" s="285"/>
      <c r="AM189" s="285"/>
      <c r="AN189" s="285"/>
    </row>
    <row r="190" spans="1:40">
      <c r="A190" s="290"/>
      <c r="B190" s="251" t="s">
        <v>1002</v>
      </c>
      <c r="C190" s="167"/>
      <c r="D190" s="128">
        <f>('Unit costs'!$D123*'Financial impact (cash)'!D$14)+('Unit costs'!$E123*'Financial impact (cash)'!D$15)+('Unit costs'!$F123*'Financial impact (cash)'!D$16)+('Unit costs'!$C123*'Financial impact (cash)'!D$13)+('Unit costs'!$G123*'Financial impact (cash)'!D$17)</f>
        <v>0</v>
      </c>
      <c r="E190" s="128">
        <f>('Unit costs'!$D123*'Financial impact (cash)'!E$14)+('Unit costs'!$E123*'Financial impact (cash)'!E$15)+('Unit costs'!$F123*'Financial impact (cash)'!E$16)+('Unit costs'!$C123*'Financial impact (cash)'!E$13)+('Unit costs'!$G123*'Financial impact (cash)'!E$17)</f>
        <v>0</v>
      </c>
      <c r="F190" s="128">
        <f>('Unit costs'!$D123*'Financial impact (cash)'!F$14)+('Unit costs'!$E123*'Financial impact (cash)'!F$15)+('Unit costs'!$F123*'Financial impact (cash)'!F$16)+('Unit costs'!$C123*'Financial impact (cash)'!F$13)+('Unit costs'!$G123*'Financial impact (cash)'!F$17)</f>
        <v>0</v>
      </c>
      <c r="G190" s="128">
        <f>('Unit costs'!$D123*'Financial impact (cash)'!G$14)+('Unit costs'!$E123*'Financial impact (cash)'!G$15)+('Unit costs'!$F123*'Financial impact (cash)'!G$16)+('Unit costs'!$C123*'Financial impact (cash)'!G$13)+('Unit costs'!$G123*'Financial impact (cash)'!G$17)</f>
        <v>0</v>
      </c>
      <c r="H190" s="128">
        <f>('Unit costs'!$D123*'Financial impact (cash)'!H$14)+('Unit costs'!$E123*'Financial impact (cash)'!H$15)+('Unit costs'!$F123*'Financial impact (cash)'!H$16)+('Unit costs'!$C123*'Financial impact (cash)'!H$13)+('Unit costs'!$G123*'Financial impact (cash)'!H$17)</f>
        <v>0</v>
      </c>
      <c r="I190" s="128">
        <f>('Unit costs'!$D123*'Financial impact (cash)'!I$14)+('Unit costs'!$E123*'Financial impact (cash)'!I$15)+('Unit costs'!$F123*'Financial impact (cash)'!I$16)+('Unit costs'!$C123*'Financial impact (cash)'!I$13)+('Unit costs'!$G123*'Financial impact (cash)'!I$17)</f>
        <v>0</v>
      </c>
      <c r="J190" s="290"/>
      <c r="K190" s="290"/>
      <c r="L190" s="292">
        <f>(D190*'Unit costs'!$P123)/1000</f>
        <v>0</v>
      </c>
      <c r="M190" s="292">
        <f>(E190*'Unit costs'!$P123)/1000</f>
        <v>0</v>
      </c>
      <c r="N190" s="292">
        <f>(F190*'Unit costs'!$P123)/1000</f>
        <v>0</v>
      </c>
      <c r="O190" s="292">
        <f>(G190*'Unit costs'!$P123)/1000</f>
        <v>0</v>
      </c>
      <c r="P190" s="292">
        <f>(H190*'Unit costs'!$P123)/1000</f>
        <v>0</v>
      </c>
      <c r="Q190" s="292">
        <f>(I190*'Unit costs'!$P123)/1000</f>
        <v>0</v>
      </c>
      <c r="R190" s="133"/>
      <c r="S190" s="133"/>
      <c r="T190" s="133"/>
      <c r="U190" s="133"/>
      <c r="V190" s="133"/>
      <c r="W190" s="133"/>
      <c r="X190" s="133"/>
      <c r="Y190" s="133"/>
      <c r="Z190" s="133"/>
      <c r="AJ190" s="285"/>
      <c r="AK190" s="285"/>
      <c r="AL190" s="285"/>
      <c r="AM190" s="285"/>
      <c r="AN190" s="285"/>
    </row>
    <row r="191" spans="1:40">
      <c r="A191" s="290"/>
      <c r="B191" s="251" t="s">
        <v>1003</v>
      </c>
      <c r="C191" s="167"/>
      <c r="D191" s="128">
        <f>('Unit costs'!$D124*'Financial impact (cash)'!D$14)+('Unit costs'!$E124*'Financial impact (cash)'!D$15)+('Unit costs'!$F124*'Financial impact (cash)'!D$16)+('Unit costs'!$C124*'Financial impact (cash)'!D$13)+('Unit costs'!$G124*'Financial impact (cash)'!D$17)</f>
        <v>0</v>
      </c>
      <c r="E191" s="128">
        <f>('Unit costs'!$D124*'Financial impact (cash)'!E$14)+('Unit costs'!$E124*'Financial impact (cash)'!E$15)+('Unit costs'!$F124*'Financial impact (cash)'!E$16)+('Unit costs'!$C124*'Financial impact (cash)'!E$13)+('Unit costs'!$G124*'Financial impact (cash)'!E$17)</f>
        <v>0</v>
      </c>
      <c r="F191" s="128">
        <f>('Unit costs'!$D124*'Financial impact (cash)'!F$14)+('Unit costs'!$E124*'Financial impact (cash)'!F$15)+('Unit costs'!$F124*'Financial impact (cash)'!F$16)+('Unit costs'!$C124*'Financial impact (cash)'!F$13)+('Unit costs'!$G124*'Financial impact (cash)'!F$17)</f>
        <v>0</v>
      </c>
      <c r="G191" s="128">
        <f>('Unit costs'!$D124*'Financial impact (cash)'!G$14)+('Unit costs'!$E124*'Financial impact (cash)'!G$15)+('Unit costs'!$F124*'Financial impact (cash)'!G$16)+('Unit costs'!$C124*'Financial impact (cash)'!G$13)+('Unit costs'!$G124*'Financial impact (cash)'!G$17)</f>
        <v>0</v>
      </c>
      <c r="H191" s="128">
        <f>('Unit costs'!$D124*'Financial impact (cash)'!H$14)+('Unit costs'!$E124*'Financial impact (cash)'!H$15)+('Unit costs'!$F124*'Financial impact (cash)'!H$16)+('Unit costs'!$C124*'Financial impact (cash)'!H$13)+('Unit costs'!$G124*'Financial impact (cash)'!H$17)</f>
        <v>0</v>
      </c>
      <c r="I191" s="128">
        <f>('Unit costs'!$D124*'Financial impact (cash)'!I$14)+('Unit costs'!$E124*'Financial impact (cash)'!I$15)+('Unit costs'!$F124*'Financial impact (cash)'!I$16)+('Unit costs'!$C124*'Financial impact (cash)'!I$13)+('Unit costs'!$G124*'Financial impact (cash)'!I$17)</f>
        <v>0</v>
      </c>
      <c r="J191" s="290"/>
      <c r="K191" s="290"/>
      <c r="L191" s="292">
        <f>(D191*'Unit costs'!$P124)/1000</f>
        <v>0</v>
      </c>
      <c r="M191" s="292">
        <f>(E191*'Unit costs'!$P124)/1000</f>
        <v>0</v>
      </c>
      <c r="N191" s="292">
        <f>(F191*'Unit costs'!$P124)/1000</f>
        <v>0</v>
      </c>
      <c r="O191" s="292">
        <f>(G191*'Unit costs'!$P124)/1000</f>
        <v>0</v>
      </c>
      <c r="P191" s="292">
        <f>(H191*'Unit costs'!$P124)/1000</f>
        <v>0</v>
      </c>
      <c r="Q191" s="292">
        <f>(I191*'Unit costs'!$P124)/1000</f>
        <v>0</v>
      </c>
      <c r="R191" s="133"/>
      <c r="S191" s="133"/>
      <c r="T191" s="133"/>
      <c r="U191" s="133"/>
      <c r="V191" s="133"/>
      <c r="W191" s="133"/>
      <c r="X191" s="133"/>
      <c r="Y191" s="133"/>
      <c r="Z191" s="133"/>
      <c r="AJ191" s="285"/>
      <c r="AK191" s="285"/>
      <c r="AL191" s="285"/>
      <c r="AM191" s="285"/>
      <c r="AN191" s="285"/>
    </row>
    <row r="192" spans="1:40">
      <c r="A192" s="290"/>
      <c r="B192" s="251" t="s">
        <v>1004</v>
      </c>
      <c r="C192" s="167"/>
      <c r="D192" s="128">
        <f>('Unit costs'!$D125*'Financial impact (cash)'!D$14)+('Unit costs'!$E125*'Financial impact (cash)'!D$15)+('Unit costs'!$F125*'Financial impact (cash)'!D$16)+('Unit costs'!$C125*'Financial impact (cash)'!D$13)+('Unit costs'!$G125*'Financial impact (cash)'!D$17)</f>
        <v>0</v>
      </c>
      <c r="E192" s="128">
        <f>('Unit costs'!$D125*'Financial impact (cash)'!E$14)+('Unit costs'!$E125*'Financial impact (cash)'!E$15)+('Unit costs'!$F125*'Financial impact (cash)'!E$16)+('Unit costs'!$C125*'Financial impact (cash)'!E$13)+('Unit costs'!$G125*'Financial impact (cash)'!E$17)</f>
        <v>205.50068623237274</v>
      </c>
      <c r="F192" s="128">
        <f>('Unit costs'!$D125*'Financial impact (cash)'!F$14)+('Unit costs'!$E125*'Financial impact (cash)'!F$15)+('Unit costs'!$F125*'Financial impact (cash)'!F$16)+('Unit costs'!$C125*'Financial impact (cash)'!F$13)+('Unit costs'!$G125*'Financial impact (cash)'!F$17)</f>
        <v>337.15838695943705</v>
      </c>
      <c r="G192" s="128">
        <f>('Unit costs'!$D125*'Financial impact (cash)'!G$14)+('Unit costs'!$E125*'Financial impact (cash)'!G$15)+('Unit costs'!$F125*'Financial impact (cash)'!G$16)+('Unit costs'!$C125*'Financial impact (cash)'!G$13)+('Unit costs'!$G125*'Financial impact (cash)'!G$17)</f>
        <v>340.40920321134888</v>
      </c>
      <c r="H192" s="128">
        <f>('Unit costs'!$D125*'Financial impact (cash)'!H$14)+('Unit costs'!$E125*'Financial impact (cash)'!H$15)+('Unit costs'!$F125*'Financial impact (cash)'!H$16)+('Unit costs'!$C125*'Financial impact (cash)'!H$13)+('Unit costs'!$G125*'Financial impact (cash)'!H$17)</f>
        <v>343.69136320766211</v>
      </c>
      <c r="I192" s="128">
        <f>('Unit costs'!$D125*'Financial impact (cash)'!I$14)+('Unit costs'!$E125*'Financial impact (cash)'!I$15)+('Unit costs'!$F125*'Financial impact (cash)'!I$16)+('Unit costs'!$C125*'Financial impact (cash)'!I$13)+('Unit costs'!$G125*'Financial impact (cash)'!I$17)</f>
        <v>347.00516915872561</v>
      </c>
      <c r="J192" s="290"/>
      <c r="K192" s="290"/>
      <c r="L192" s="292">
        <f>(D192*'Unit costs'!$P125)/1000</f>
        <v>0</v>
      </c>
      <c r="M192" s="292">
        <f>(E192*'Unit costs'!$P125)/1000</f>
        <v>452.89392035733209</v>
      </c>
      <c r="N192" s="292">
        <f>(F192*'Unit costs'!$P125)/1000</f>
        <v>743.04853405087715</v>
      </c>
      <c r="O192" s="292">
        <f>(G192*'Unit costs'!$P125)/1000</f>
        <v>750.2128649525506</v>
      </c>
      <c r="P192" s="292">
        <f>(H192*'Unit costs'!$P125)/1000</f>
        <v>757.44627295338546</v>
      </c>
      <c r="Q192" s="292">
        <f>(I192*'Unit costs'!$P125)/1000</f>
        <v>764.7494240814724</v>
      </c>
      <c r="R192" s="133"/>
      <c r="S192" s="133"/>
      <c r="T192" s="133"/>
      <c r="U192" s="133"/>
      <c r="V192" s="133"/>
      <c r="W192" s="133"/>
      <c r="X192" s="133"/>
      <c r="Y192" s="133"/>
      <c r="Z192" s="133"/>
      <c r="AJ192" s="285"/>
      <c r="AK192" s="285"/>
      <c r="AL192" s="285"/>
      <c r="AM192" s="285"/>
      <c r="AN192" s="285"/>
    </row>
    <row r="193" spans="1:40">
      <c r="A193" s="290"/>
      <c r="B193" s="251" t="s">
        <v>1013</v>
      </c>
      <c r="C193" s="167"/>
      <c r="D193" s="128">
        <f>('Unit costs'!$D126*'Financial impact (cash)'!D$14)+('Unit costs'!$E126*'Financial impact (cash)'!D$15)+('Unit costs'!$F126*'Financial impact (cash)'!D$16)+('Unit costs'!$C126*'Financial impact (cash)'!D$13)+('Unit costs'!$G126*'Financial impact (cash)'!D$17)</f>
        <v>0</v>
      </c>
      <c r="E193" s="128">
        <f>('Unit costs'!$D126*'Financial impact (cash)'!E$14)+('Unit costs'!$E126*'Financial impact (cash)'!E$15)+('Unit costs'!$F126*'Financial impact (cash)'!E$16)+('Unit costs'!$C126*'Financial impact (cash)'!E$13)+('Unit costs'!$G126*'Financial impact (cash)'!E$17)</f>
        <v>130.08177594200311</v>
      </c>
      <c r="F193" s="128">
        <f>('Unit costs'!$D126*'Financial impact (cash)'!F$14)+('Unit costs'!$E126*'Financial impact (cash)'!F$15)+('Unit costs'!$F126*'Financial impact (cash)'!F$16)+('Unit costs'!$C126*'Financial impact (cash)'!F$13)+('Unit costs'!$G126*'Financial impact (cash)'!F$17)</f>
        <v>213.42099899282795</v>
      </c>
      <c r="G193" s="128">
        <f>('Unit costs'!$D126*'Financial impact (cash)'!G$14)+('Unit costs'!$E126*'Financial impact (cash)'!G$15)+('Unit costs'!$F126*'Financial impact (cash)'!G$16)+('Unit costs'!$C126*'Financial impact (cash)'!G$13)+('Unit costs'!$G126*'Financial impact (cash)'!G$17)</f>
        <v>215.47876317387619</v>
      </c>
      <c r="H193" s="128">
        <f>('Unit costs'!$D126*'Financial impact (cash)'!H$14)+('Unit costs'!$E126*'Financial impact (cash)'!H$15)+('Unit costs'!$F126*'Financial impact (cash)'!H$16)+('Unit costs'!$C126*'Financial impact (cash)'!H$13)+('Unit costs'!$G126*'Financial impact (cash)'!H$17)</f>
        <v>217.55636792096419</v>
      </c>
      <c r="I193" s="128">
        <f>('Unit costs'!$D126*'Financial impact (cash)'!I$14)+('Unit costs'!$E126*'Financial impact (cash)'!I$15)+('Unit costs'!$F126*'Financial impact (cash)'!I$16)+('Unit costs'!$C126*'Financial impact (cash)'!I$13)+('Unit costs'!$G126*'Financial impact (cash)'!I$17)</f>
        <v>219.65400453300981</v>
      </c>
      <c r="J193" s="290"/>
      <c r="K193" s="290"/>
      <c r="L193" s="292">
        <f>(D193*'Unit costs'!$P126)/1000</f>
        <v>0</v>
      </c>
      <c r="M193" s="292">
        <f>(E193*'Unit costs'!$P126)/1000</f>
        <v>0</v>
      </c>
      <c r="N193" s="292">
        <f>(F193*'Unit costs'!$P126)/1000</f>
        <v>0</v>
      </c>
      <c r="O193" s="292">
        <f>(G193*'Unit costs'!$P126)/1000</f>
        <v>0</v>
      </c>
      <c r="P193" s="292">
        <f>(H193*'Unit costs'!$P126)/1000</f>
        <v>0</v>
      </c>
      <c r="Q193" s="292">
        <f>(I193*'Unit costs'!$P126)/1000</f>
        <v>0</v>
      </c>
      <c r="R193" s="133"/>
      <c r="S193" s="133"/>
      <c r="T193" s="133"/>
      <c r="U193" s="133"/>
      <c r="V193" s="133"/>
      <c r="W193" s="133"/>
      <c r="X193" s="133"/>
      <c r="Y193" s="133"/>
      <c r="Z193" s="133"/>
      <c r="AJ193" s="285"/>
      <c r="AK193" s="285"/>
      <c r="AL193" s="285"/>
      <c r="AM193" s="285"/>
      <c r="AN193" s="285"/>
    </row>
    <row r="194" spans="1:40">
      <c r="A194" s="290"/>
      <c r="B194" s="251" t="s">
        <v>1000</v>
      </c>
      <c r="C194" s="167"/>
      <c r="D194" s="128">
        <f>('Unit costs'!$D127*'Financial impact (cash)'!D$14)+('Unit costs'!$E127*'Financial impact (cash)'!D$15)+('Unit costs'!$F127*'Financial impact (cash)'!D$16)+('Unit costs'!$C127*'Financial impact (cash)'!D$13)+('Unit costs'!$G127*'Financial impact (cash)'!D$17)</f>
        <v>0</v>
      </c>
      <c r="E194" s="128">
        <f>('Unit costs'!$D127*'Financial impact (cash)'!E$14)+('Unit costs'!$E127*'Financial impact (cash)'!E$15)+('Unit costs'!$F127*'Financial impact (cash)'!E$16)+('Unit costs'!$C127*'Financial impact (cash)'!E$13)+('Unit costs'!$G127*'Financial impact (cash)'!E$17)</f>
        <v>9.0312560641829194</v>
      </c>
      <c r="F194" s="128">
        <f>('Unit costs'!$D127*'Financial impact (cash)'!F$14)+('Unit costs'!$E127*'Financial impact (cash)'!F$15)+('Unit costs'!$F127*'Financial impact (cash)'!F$16)+('Unit costs'!$C127*'Financial impact (cash)'!F$13)+('Unit costs'!$G127*'Financial impact (cash)'!F$17)</f>
        <v>14.817292256505716</v>
      </c>
      <c r="G194" s="128">
        <f>('Unit costs'!$D127*'Financial impact (cash)'!G$14)+('Unit costs'!$E127*'Financial impact (cash)'!G$15)+('Unit costs'!$F127*'Financial impact (cash)'!G$16)+('Unit costs'!$C127*'Financial impact (cash)'!G$13)+('Unit costs'!$G127*'Financial impact (cash)'!G$17)</f>
        <v>14.960157735579712</v>
      </c>
      <c r="H194" s="128">
        <f>('Unit costs'!$D127*'Financial impact (cash)'!H$14)+('Unit costs'!$E127*'Financial impact (cash)'!H$15)+('Unit costs'!$F127*'Financial impact (cash)'!H$16)+('Unit costs'!$C127*'Financial impact (cash)'!H$13)+('Unit costs'!$G127*'Financial impact (cash)'!H$17)</f>
        <v>15.104400696096176</v>
      </c>
      <c r="I194" s="128">
        <f>('Unit costs'!$D127*'Financial impact (cash)'!I$14)+('Unit costs'!$E127*'Financial impact (cash)'!I$15)+('Unit costs'!$F127*'Financial impact (cash)'!I$16)+('Unit costs'!$C127*'Financial impact (cash)'!I$13)+('Unit costs'!$G127*'Financial impact (cash)'!I$17)</f>
        <v>15.250034419465967</v>
      </c>
      <c r="J194" s="290"/>
      <c r="K194" s="290"/>
      <c r="L194" s="292">
        <f>(D194*'Unit costs'!$P127)/1000</f>
        <v>0</v>
      </c>
      <c r="M194" s="292">
        <f>(E194*'Unit costs'!$P127)/1000</f>
        <v>2.7816268677683391</v>
      </c>
      <c r="N194" s="292">
        <f>(F194*'Unit costs'!$P127)/1000</f>
        <v>4.5637260150037608</v>
      </c>
      <c r="O194" s="292">
        <f>(G194*'Unit costs'!$P127)/1000</f>
        <v>4.6077285825585514</v>
      </c>
      <c r="P194" s="292">
        <f>(H194*'Unit costs'!$P127)/1000</f>
        <v>4.6521554143976225</v>
      </c>
      <c r="Q194" s="292">
        <f>(I194*'Unit costs'!$P127)/1000</f>
        <v>4.6970106011955179</v>
      </c>
      <c r="R194" s="133"/>
      <c r="S194" s="133"/>
      <c r="T194" s="133"/>
      <c r="U194" s="133"/>
      <c r="V194" s="133"/>
      <c r="W194" s="133"/>
      <c r="X194" s="133"/>
      <c r="Y194" s="133"/>
      <c r="Z194" s="133"/>
      <c r="AJ194" s="285"/>
      <c r="AK194" s="285"/>
      <c r="AL194" s="285"/>
      <c r="AM194" s="285"/>
      <c r="AN194" s="285"/>
    </row>
    <row r="195" spans="1:40">
      <c r="A195" s="290"/>
      <c r="B195" s="251" t="s">
        <v>929</v>
      </c>
      <c r="C195" s="167"/>
      <c r="D195" s="128">
        <f>('Unit costs'!$D128*'Financial impact (cash)'!D$14)+('Unit costs'!$E128*'Financial impact (cash)'!D$15)+('Unit costs'!$F128*'Financial impact (cash)'!D$16)+('Unit costs'!$C128*'Financial impact (cash)'!D$13)+('Unit costs'!$G128*'Financial impact (cash)'!D$17)</f>
        <v>246.3801</v>
      </c>
      <c r="E195" s="128">
        <f>('Unit costs'!$D128*'Financial impact (cash)'!E$14)+('Unit costs'!$E128*'Financial impact (cash)'!E$15)+('Unit costs'!$F128*'Financial impact (cash)'!E$16)+('Unit costs'!$C128*'Financial impact (cash)'!E$13)+('Unit costs'!$G128*'Financial impact (cash)'!E$17)</f>
        <v>262.06486895014996</v>
      </c>
      <c r="F195" s="128">
        <f>('Unit costs'!$D128*'Financial impact (cash)'!F$14)+('Unit costs'!$E128*'Financial impact (cash)'!F$15)+('Unit costs'!$F128*'Financial impact (cash)'!F$16)+('Unit costs'!$C128*'Financial impact (cash)'!F$13)+('Unit costs'!$G128*'Financial impact (cash)'!F$17)</f>
        <v>272.99011320622947</v>
      </c>
      <c r="G195" s="128">
        <f>('Unit costs'!$D128*'Financial impact (cash)'!G$14)+('Unit costs'!$E128*'Financial impact (cash)'!G$15)+('Unit costs'!$F128*'Financial impact (cash)'!G$16)+('Unit costs'!$C128*'Financial impact (cash)'!G$13)+('Unit costs'!$G128*'Financial impact (cash)'!G$17)</f>
        <v>275.62223131732014</v>
      </c>
      <c r="H195" s="128">
        <f>('Unit costs'!$D128*'Financial impact (cash)'!H$14)+('Unit costs'!$E128*'Financial impact (cash)'!H$15)+('Unit costs'!$F128*'Financial impact (cash)'!H$16)+('Unit costs'!$C128*'Financial impact (cash)'!H$13)+('Unit costs'!$G128*'Financial impact (cash)'!H$17)</f>
        <v>278.27972780446015</v>
      </c>
      <c r="I195" s="128">
        <f>('Unit costs'!$D128*'Financial impact (cash)'!I$14)+('Unit costs'!$E128*'Financial impact (cash)'!I$15)+('Unit costs'!$F128*'Financial impact (cash)'!I$16)+('Unit costs'!$C128*'Financial impact (cash)'!I$13)+('Unit costs'!$G128*'Financial impact (cash)'!I$17)</f>
        <v>280.96284736106531</v>
      </c>
      <c r="J195" s="290"/>
      <c r="K195" s="290"/>
      <c r="L195" s="292">
        <f>(D195*'Unit costs'!$P128)/1000</f>
        <v>170.69213328000001</v>
      </c>
      <c r="M195" s="292">
        <f>(E195*'Unit costs'!$P128)/1000</f>
        <v>181.55854120866391</v>
      </c>
      <c r="N195" s="292">
        <f>(F195*'Unit costs'!$P128)/1000</f>
        <v>189.12755042927577</v>
      </c>
      <c r="O195" s="292">
        <f>(G195*'Unit costs'!$P128)/1000</f>
        <v>190.95108185663941</v>
      </c>
      <c r="P195" s="292">
        <f>(H195*'Unit costs'!$P128)/1000</f>
        <v>192.79219542293001</v>
      </c>
      <c r="Q195" s="292">
        <f>(I195*'Unit costs'!$P128)/1000</f>
        <v>194.65106065174606</v>
      </c>
      <c r="R195" s="133"/>
      <c r="S195" s="133"/>
      <c r="T195" s="133"/>
      <c r="U195" s="133"/>
      <c r="V195" s="133"/>
      <c r="W195" s="133"/>
      <c r="X195" s="133"/>
      <c r="Y195" s="133"/>
      <c r="Z195" s="133"/>
      <c r="AJ195" s="285"/>
      <c r="AK195" s="285"/>
      <c r="AL195" s="285"/>
      <c r="AM195" s="285"/>
      <c r="AN195" s="285"/>
    </row>
    <row r="196" spans="1:40">
      <c r="A196" s="290"/>
      <c r="B196" s="251" t="s">
        <v>930</v>
      </c>
      <c r="C196" s="167"/>
      <c r="D196" s="128">
        <f>('Unit costs'!$D129*'Financial impact (cash)'!D$14)+('Unit costs'!$E129*'Financial impact (cash)'!D$15)+('Unit costs'!$F129*'Financial impact (cash)'!D$16)+('Unit costs'!$C129*'Financial impact (cash)'!D$13)+('Unit costs'!$G129*'Financial impact (cash)'!D$17)</f>
        <v>35.309249999999999</v>
      </c>
      <c r="E196" s="128">
        <f>('Unit costs'!$D129*'Financial impact (cash)'!E$14)+('Unit costs'!$E129*'Financial impact (cash)'!E$15)+('Unit costs'!$F129*'Financial impact (cash)'!E$16)+('Unit costs'!$C129*'Financial impact (cash)'!E$13)+('Unit costs'!$G129*'Financial impact (cash)'!E$17)</f>
        <v>28.202869814465959</v>
      </c>
      <c r="F196" s="128">
        <f>('Unit costs'!$D129*'Financial impact (cash)'!F$14)+('Unit costs'!$E129*'Financial impact (cash)'!F$15)+('Unit costs'!$F129*'Financial impact (cash)'!F$16)+('Unit costs'!$C129*'Financial impact (cash)'!F$13)+('Unit costs'!$G129*'Financial impact (cash)'!F$17)</f>
        <v>23.775655186214976</v>
      </c>
      <c r="G196" s="128">
        <f>('Unit costs'!$D129*'Financial impact (cash)'!G$14)+('Unit costs'!$E129*'Financial impact (cash)'!G$15)+('Unit costs'!$F129*'Financial impact (cash)'!G$16)+('Unit costs'!$C129*'Financial impact (cash)'!G$13)+('Unit costs'!$G129*'Financial impact (cash)'!G$17)</f>
        <v>24.004895475849224</v>
      </c>
      <c r="H196" s="128">
        <f>('Unit costs'!$D129*'Financial impact (cash)'!H$14)+('Unit costs'!$E129*'Financial impact (cash)'!H$15)+('Unit costs'!$F129*'Financial impact (cash)'!H$16)+('Unit costs'!$C129*'Financial impact (cash)'!H$13)+('Unit costs'!$G129*'Financial impact (cash)'!H$17)</f>
        <v>24.236346056219102</v>
      </c>
      <c r="I196" s="128">
        <f>('Unit costs'!$D129*'Financial impact (cash)'!I$14)+('Unit costs'!$E129*'Financial impact (cash)'!I$15)+('Unit costs'!$F129*'Financial impact (cash)'!I$16)+('Unit costs'!$C129*'Financial impact (cash)'!I$13)+('Unit costs'!$G129*'Financial impact (cash)'!I$17)</f>
        <v>24.470028238522314</v>
      </c>
      <c r="J196" s="290"/>
      <c r="K196" s="290"/>
      <c r="L196" s="292">
        <f>(D196*'Unit costs'!$P129)/1000</f>
        <v>15.112358999999998</v>
      </c>
      <c r="M196" s="292">
        <f>(E196*'Unit costs'!$P129)/1000</f>
        <v>12.070828280591432</v>
      </c>
      <c r="N196" s="292">
        <f>(F196*'Unit costs'!$P129)/1000</f>
        <v>10.175980419700011</v>
      </c>
      <c r="O196" s="292">
        <f>(G196*'Unit costs'!$P129)/1000</f>
        <v>10.274095263663469</v>
      </c>
      <c r="P196" s="292">
        <f>(H196*'Unit costs'!$P129)/1000</f>
        <v>10.373156112061775</v>
      </c>
      <c r="Q196" s="292">
        <f>(I196*'Unit costs'!$P129)/1000</f>
        <v>10.473172086087549</v>
      </c>
      <c r="R196" s="133"/>
      <c r="S196" s="133"/>
      <c r="T196" s="133"/>
      <c r="U196" s="133"/>
      <c r="V196" s="133"/>
      <c r="W196" s="133"/>
      <c r="X196" s="133"/>
      <c r="Y196" s="133"/>
      <c r="Z196" s="133"/>
      <c r="AJ196" s="285"/>
      <c r="AK196" s="285"/>
      <c r="AL196" s="285"/>
      <c r="AM196" s="285"/>
      <c r="AN196" s="285"/>
    </row>
    <row r="197" spans="1:40">
      <c r="A197" s="290"/>
      <c r="B197" s="251" t="s">
        <v>931</v>
      </c>
      <c r="C197" s="167"/>
      <c r="D197" s="128">
        <f>('Unit costs'!$D130*'Financial impact (cash)'!D$14)+('Unit costs'!$E130*'Financial impact (cash)'!D$15)+('Unit costs'!$F130*'Financial impact (cash)'!D$16)+('Unit costs'!$C130*'Financial impact (cash)'!D$13)+('Unit costs'!$G130*'Financial impact (cash)'!D$17)</f>
        <v>0</v>
      </c>
      <c r="E197" s="128">
        <f>('Unit costs'!$D130*'Financial impact (cash)'!E$14)+('Unit costs'!$E130*'Financial impact (cash)'!E$15)+('Unit costs'!$F130*'Financial impact (cash)'!E$16)+('Unit costs'!$C130*'Financial impact (cash)'!E$13)+('Unit costs'!$G130*'Financial impact (cash)'!E$17)</f>
        <v>19.811826881633621</v>
      </c>
      <c r="F197" s="128">
        <f>('Unit costs'!$D130*'Financial impact (cash)'!F$14)+('Unit costs'!$E130*'Financial impact (cash)'!F$15)+('Unit costs'!$F130*'Financial impact (cash)'!F$16)+('Unit costs'!$C130*'Financial impact (cash)'!F$13)+('Unit costs'!$G130*'Financial impact (cash)'!F$17)</f>
        <v>32.504629140644404</v>
      </c>
      <c r="G197" s="128">
        <f>('Unit costs'!$D130*'Financial impact (cash)'!G$14)+('Unit costs'!$E130*'Financial impact (cash)'!G$15)+('Unit costs'!$F130*'Financial impact (cash)'!G$16)+('Unit costs'!$C130*'Financial impact (cash)'!G$13)+('Unit costs'!$G130*'Financial impact (cash)'!G$17)</f>
        <v>32.818032516504914</v>
      </c>
      <c r="H197" s="128">
        <f>('Unit costs'!$D130*'Financial impact (cash)'!H$14)+('Unit costs'!$E130*'Financial impact (cash)'!H$15)+('Unit costs'!$F130*'Financial impact (cash)'!H$16)+('Unit costs'!$C130*'Financial impact (cash)'!H$13)+('Unit costs'!$G130*'Financial impact (cash)'!H$17)</f>
        <v>33.134457667374008</v>
      </c>
      <c r="I197" s="128">
        <f>('Unit costs'!$D130*'Financial impact (cash)'!I$14)+('Unit costs'!$E130*'Financial impact (cash)'!I$15)+('Unit costs'!$F130*'Financial impact (cash)'!I$16)+('Unit costs'!$C130*'Financial impact (cash)'!I$13)+('Unit costs'!$G130*'Financial impact (cash)'!I$17)</f>
        <v>33.453933728624527</v>
      </c>
      <c r="J197" s="290"/>
      <c r="K197" s="290"/>
      <c r="L197" s="292">
        <f>(D197*'Unit costs'!$P130)/1000</f>
        <v>0</v>
      </c>
      <c r="M197" s="292">
        <f>(E197*'Unit costs'!$P130)/1000</f>
        <v>10.143655363396414</v>
      </c>
      <c r="N197" s="292">
        <f>(F197*'Unit costs'!$P130)/1000</f>
        <v>16.642370120009936</v>
      </c>
      <c r="O197" s="292">
        <f>(G197*'Unit costs'!$P130)/1000</f>
        <v>16.802832648450515</v>
      </c>
      <c r="P197" s="292">
        <f>(H197*'Unit costs'!$P130)/1000</f>
        <v>16.964842325695493</v>
      </c>
      <c r="Q197" s="292">
        <f>(I197*'Unit costs'!$P130)/1000</f>
        <v>17.128414069055758</v>
      </c>
      <c r="R197" s="133"/>
      <c r="S197" s="133"/>
      <c r="T197" s="133"/>
      <c r="U197" s="133"/>
      <c r="V197" s="133"/>
      <c r="W197" s="133"/>
      <c r="X197" s="133"/>
      <c r="Y197" s="133"/>
      <c r="Z197" s="133"/>
      <c r="AJ197" s="285"/>
      <c r="AK197" s="285"/>
      <c r="AL197" s="285"/>
      <c r="AM197" s="285"/>
      <c r="AN197" s="285"/>
    </row>
    <row r="198" spans="1:40">
      <c r="A198" s="290"/>
      <c r="B198" s="251" t="s">
        <v>932</v>
      </c>
      <c r="C198" s="167"/>
      <c r="D198" s="128">
        <f>('Unit costs'!$D131*'Financial impact (cash)'!D$14)+('Unit costs'!$E131*'Financial impact (cash)'!D$15)+('Unit costs'!$F131*'Financial impact (cash)'!D$16)+('Unit costs'!$C131*'Financial impact (cash)'!D$13)+('Unit costs'!$G131*'Financial impact (cash)'!D$17)</f>
        <v>82.388249999999999</v>
      </c>
      <c r="E198" s="128">
        <f>('Unit costs'!$D131*'Financial impact (cash)'!E$14)+('Unit costs'!$E131*'Financial impact (cash)'!E$15)+('Unit costs'!$F131*'Financial impact (cash)'!E$16)+('Unit costs'!$C131*'Financial impact (cash)'!E$13)+('Unit costs'!$G131*'Financial impact (cash)'!E$17)</f>
        <v>86.364364972634974</v>
      </c>
      <c r="F198" s="128">
        <f>('Unit costs'!$D131*'Financial impact (cash)'!F$14)+('Unit costs'!$E131*'Financial impact (cash)'!F$15)+('Unit costs'!$F131*'Financial impact (cash)'!F$16)+('Unit costs'!$C131*'Financial impact (cash)'!F$13)+('Unit costs'!$G131*'Financial impact (cash)'!F$17)</f>
        <v>89.204836729833886</v>
      </c>
      <c r="G198" s="128">
        <f>('Unit costs'!$D131*'Financial impact (cash)'!G$14)+('Unit costs'!$E131*'Financial impact (cash)'!G$15)+('Unit costs'!$F131*'Financial impact (cash)'!G$16)+('Unit costs'!$C131*'Financial impact (cash)'!G$13)+('Unit costs'!$G131*'Financial impact (cash)'!G$17)</f>
        <v>90.064932590434182</v>
      </c>
      <c r="H198" s="128">
        <f>('Unit costs'!$D131*'Financial impact (cash)'!H$14)+('Unit costs'!$E131*'Financial impact (cash)'!H$15)+('Unit costs'!$F131*'Financial impact (cash)'!H$16)+('Unit costs'!$C131*'Financial impact (cash)'!H$13)+('Unit costs'!$G131*'Financial impact (cash)'!H$17)</f>
        <v>90.933321329722887</v>
      </c>
      <c r="I198" s="128">
        <f>('Unit costs'!$D131*'Financial impact (cash)'!I$14)+('Unit costs'!$E131*'Financial impact (cash)'!I$15)+('Unit costs'!$F131*'Financial impact (cash)'!I$16)+('Unit costs'!$C131*'Financial impact (cash)'!I$13)+('Unit costs'!$G131*'Financial impact (cash)'!I$17)</f>
        <v>91.810082906039639</v>
      </c>
      <c r="J198" s="290"/>
      <c r="K198" s="290"/>
      <c r="L198" s="292">
        <f>(D198*'Unit costs'!$P131)/1000</f>
        <v>89.967968999999997</v>
      </c>
      <c r="M198" s="292">
        <f>(E198*'Unit costs'!$P131)/1000</f>
        <v>94.309886550117383</v>
      </c>
      <c r="N198" s="292">
        <f>(F198*'Unit costs'!$P131)/1000</f>
        <v>97.411681708978605</v>
      </c>
      <c r="O198" s="292">
        <f>(G198*'Unit costs'!$P131)/1000</f>
        <v>98.350906388754126</v>
      </c>
      <c r="P198" s="292">
        <f>(H198*'Unit costs'!$P131)/1000</f>
        <v>99.299186892057392</v>
      </c>
      <c r="Q198" s="292">
        <f>(I198*'Unit costs'!$P131)/1000</f>
        <v>100.25661053339529</v>
      </c>
      <c r="R198" s="133"/>
      <c r="S198" s="133"/>
      <c r="T198" s="133"/>
      <c r="U198" s="133"/>
      <c r="V198" s="133"/>
      <c r="W198" s="133"/>
      <c r="X198" s="133"/>
      <c r="Y198" s="133"/>
      <c r="Z198" s="133"/>
      <c r="AJ198" s="285"/>
      <c r="AK198" s="285"/>
      <c r="AL198" s="285"/>
      <c r="AM198" s="285"/>
      <c r="AN198" s="285"/>
    </row>
    <row r="199" spans="1:40">
      <c r="A199" s="290"/>
      <c r="B199" s="251" t="s">
        <v>933</v>
      </c>
      <c r="C199" s="167"/>
      <c r="D199" s="128">
        <f>('Unit costs'!$D132*'Financial impact (cash)'!D$14)+('Unit costs'!$E132*'Financial impact (cash)'!D$15)+('Unit costs'!$F132*'Financial impact (cash)'!D$16)+('Unit costs'!$C132*'Financial impact (cash)'!D$13)+('Unit costs'!$G132*'Financial impact (cash)'!D$17)</f>
        <v>42.371100000000006</v>
      </c>
      <c r="E199" s="128">
        <f>('Unit costs'!$D132*'Financial impact (cash)'!E$14)+('Unit costs'!$E132*'Financial impact (cash)'!E$15)+('Unit costs'!$F132*'Financial impact (cash)'!E$16)+('Unit costs'!$C132*'Financial impact (cash)'!E$13)+('Unit costs'!$G132*'Financial impact (cash)'!E$17)</f>
        <v>133.41423342853017</v>
      </c>
      <c r="F199" s="128">
        <f>('Unit costs'!$D132*'Financial impact (cash)'!F$14)+('Unit costs'!$E132*'Financial impact (cash)'!F$15)+('Unit costs'!$F132*'Financial impact (cash)'!F$16)+('Unit costs'!$C132*'Financial impact (cash)'!F$13)+('Unit costs'!$G132*'Financial impact (cash)'!F$17)</f>
        <v>191.89338827873877</v>
      </c>
      <c r="G199" s="128">
        <f>('Unit costs'!$D132*'Financial impact (cash)'!G$14)+('Unit costs'!$E132*'Financial impact (cash)'!G$15)+('Unit costs'!$F132*'Financial impact (cash)'!G$16)+('Unit costs'!$C132*'Financial impact (cash)'!G$13)+('Unit costs'!$G132*'Financial impact (cash)'!G$17)</f>
        <v>193.74358738212334</v>
      </c>
      <c r="H199" s="128">
        <f>('Unit costs'!$D132*'Financial impact (cash)'!H$14)+('Unit costs'!$E132*'Financial impact (cash)'!H$15)+('Unit costs'!$F132*'Financial impact (cash)'!H$16)+('Unit costs'!$C132*'Financial impact (cash)'!H$13)+('Unit costs'!$G132*'Financial impact (cash)'!H$17)</f>
        <v>195.61162574903261</v>
      </c>
      <c r="I199" s="128">
        <f>('Unit costs'!$D132*'Financial impact (cash)'!I$14)+('Unit costs'!$E132*'Financial impact (cash)'!I$15)+('Unit costs'!$F132*'Financial impact (cash)'!I$16)+('Unit costs'!$C132*'Financial impact (cash)'!I$13)+('Unit costs'!$G132*'Financial impact (cash)'!I$17)</f>
        <v>197.4976753822109</v>
      </c>
      <c r="J199" s="290"/>
      <c r="K199" s="290"/>
      <c r="L199" s="292">
        <f>(D199*'Unit costs'!$P132)/1000</f>
        <v>46.269241200000003</v>
      </c>
      <c r="M199" s="292">
        <f>(E199*'Unit costs'!$P132)/1000</f>
        <v>145.68834290395495</v>
      </c>
      <c r="N199" s="292">
        <f>(F199*'Unit costs'!$P132)/1000</f>
        <v>209.54758000038274</v>
      </c>
      <c r="O199" s="292">
        <f>(G199*'Unit costs'!$P132)/1000</f>
        <v>211.56799742127868</v>
      </c>
      <c r="P199" s="292">
        <f>(H199*'Unit costs'!$P132)/1000</f>
        <v>213.60789531794362</v>
      </c>
      <c r="Q199" s="292">
        <f>(I199*'Unit costs'!$P132)/1000</f>
        <v>215.66746151737431</v>
      </c>
      <c r="R199" s="133"/>
      <c r="S199" s="133"/>
      <c r="T199" s="133"/>
      <c r="U199" s="133"/>
      <c r="V199" s="133"/>
      <c r="W199" s="133"/>
      <c r="X199" s="133"/>
      <c r="Y199" s="133"/>
      <c r="Z199" s="133"/>
      <c r="AJ199" s="285"/>
      <c r="AK199" s="285"/>
      <c r="AL199" s="285"/>
      <c r="AM199" s="285"/>
      <c r="AN199" s="285"/>
    </row>
    <row r="200" spans="1:40">
      <c r="A200" s="290"/>
      <c r="B200" s="251" t="s">
        <v>934</v>
      </c>
      <c r="C200" s="167"/>
      <c r="D200" s="128">
        <f>('Unit costs'!$D133*'Financial impact (cash)'!D$14)+('Unit costs'!$E133*'Financial impact (cash)'!D$15)+('Unit costs'!$F133*'Financial impact (cash)'!D$16)+('Unit costs'!$C133*'Financial impact (cash)'!D$13)+('Unit costs'!$G133*'Financial impact (cash)'!D$17)</f>
        <v>368.00085000000001</v>
      </c>
      <c r="E200" s="128">
        <f>('Unit costs'!$D133*'Financial impact (cash)'!E$14)+('Unit costs'!$E133*'Financial impact (cash)'!E$15)+('Unit costs'!$F133*'Financial impact (cash)'!E$16)+('Unit costs'!$C133*'Financial impact (cash)'!E$13)+('Unit costs'!$G133*'Financial impact (cash)'!E$17)</f>
        <v>398.16748226827497</v>
      </c>
      <c r="F200" s="128">
        <f>('Unit costs'!$D133*'Financial impact (cash)'!F$14)+('Unit costs'!$E133*'Financial impact (cash)'!F$15)+('Unit costs'!$F133*'Financial impact (cash)'!F$16)+('Unit costs'!$C133*'Financial impact (cash)'!F$13)+('Unit costs'!$G133*'Financial impact (cash)'!F$17)</f>
        <v>418.80346696390785</v>
      </c>
      <c r="G200" s="128">
        <f>('Unit costs'!$D133*'Financial impact (cash)'!G$14)+('Unit costs'!$E133*'Financial impact (cash)'!G$15)+('Unit costs'!$F133*'Financial impact (cash)'!G$16)+('Unit costs'!$C133*'Financial impact (cash)'!G$13)+('Unit costs'!$G133*'Financial impact (cash)'!G$17)</f>
        <v>422.84148935759981</v>
      </c>
      <c r="H200" s="128">
        <f>('Unit costs'!$D133*'Financial impact (cash)'!H$14)+('Unit costs'!$E133*'Financial impact (cash)'!H$15)+('Unit costs'!$F133*'Financial impact (cash)'!H$16)+('Unit costs'!$C133*'Financial impact (cash)'!H$13)+('Unit costs'!$G133*'Financial impact (cash)'!H$17)</f>
        <v>426.91844558574667</v>
      </c>
      <c r="I200" s="128">
        <f>('Unit costs'!$D133*'Financial impact (cash)'!I$14)+('Unit costs'!$E133*'Financial impact (cash)'!I$15)+('Unit costs'!$F133*'Financial impact (cash)'!I$16)+('Unit costs'!$C133*'Financial impact (cash)'!I$13)+('Unit costs'!$G133*'Financial impact (cash)'!I$17)</f>
        <v>431.03471104088419</v>
      </c>
      <c r="J200" s="290"/>
      <c r="K200" s="290"/>
      <c r="L200" s="292">
        <f>(D200*'Unit costs'!$P133)/1000</f>
        <v>401.85692820000003</v>
      </c>
      <c r="M200" s="292">
        <f>(E200*'Unit costs'!$P133)/1000</f>
        <v>434.79889063695629</v>
      </c>
      <c r="N200" s="292">
        <f>(F200*'Unit costs'!$P133)/1000</f>
        <v>457.33338592458739</v>
      </c>
      <c r="O200" s="292">
        <f>(G200*'Unit costs'!$P133)/1000</f>
        <v>461.74290637849901</v>
      </c>
      <c r="P200" s="292">
        <f>(H200*'Unit costs'!$P133)/1000</f>
        <v>466.19494257963538</v>
      </c>
      <c r="Q200" s="292">
        <f>(I200*'Unit costs'!$P133)/1000</f>
        <v>470.68990445664554</v>
      </c>
      <c r="R200" s="133"/>
      <c r="S200" s="133"/>
      <c r="T200" s="133"/>
      <c r="U200" s="133"/>
      <c r="V200" s="133"/>
      <c r="W200" s="133"/>
      <c r="X200" s="133"/>
      <c r="Y200" s="133"/>
      <c r="Z200" s="133"/>
      <c r="AJ200" s="285"/>
      <c r="AK200" s="285"/>
      <c r="AL200" s="285"/>
      <c r="AM200" s="285"/>
      <c r="AN200" s="285"/>
    </row>
    <row r="201" spans="1:40">
      <c r="A201" s="290"/>
      <c r="B201" s="251" t="s">
        <v>935</v>
      </c>
      <c r="C201" s="167"/>
      <c r="D201" s="128">
        <f>('Unit costs'!$D134*'Financial impact (cash)'!D$14)+('Unit costs'!$E134*'Financial impact (cash)'!D$15)+('Unit costs'!$F134*'Financial impact (cash)'!D$16)+('Unit costs'!$C134*'Financial impact (cash)'!D$13)+('Unit costs'!$G134*'Financial impact (cash)'!D$17)</f>
        <v>109.06635</v>
      </c>
      <c r="E201" s="128">
        <f>('Unit costs'!$D134*'Financial impact (cash)'!E$14)+('Unit costs'!$E134*'Financial impact (cash)'!E$15)+('Unit costs'!$F134*'Financial impact (cash)'!E$16)+('Unit costs'!$C134*'Financial impact (cash)'!E$13)+('Unit costs'!$G134*'Financial impact (cash)'!E$17)</f>
        <v>97.917828906404281</v>
      </c>
      <c r="F201" s="128">
        <f>('Unit costs'!$D134*'Financial impact (cash)'!F$14)+('Unit costs'!$E134*'Financial impact (cash)'!F$15)+('Unit costs'!$F134*'Financial impact (cash)'!F$16)+('Unit costs'!$C134*'Financial impact (cash)'!F$13)+('Unit costs'!$G134*'Financial impact (cash)'!F$17)</f>
        <v>91.163340617286849</v>
      </c>
      <c r="G201" s="128">
        <f>('Unit costs'!$D134*'Financial impact (cash)'!G$14)+('Unit costs'!$E134*'Financial impact (cash)'!G$15)+('Unit costs'!$F134*'Financial impact (cash)'!G$16)+('Unit costs'!$C134*'Financial impact (cash)'!G$13)+('Unit costs'!$G134*'Financial impact (cash)'!G$17)</f>
        <v>92.042319995287315</v>
      </c>
      <c r="H201" s="128">
        <f>('Unit costs'!$D134*'Financial impact (cash)'!H$14)+('Unit costs'!$E134*'Financial impact (cash)'!H$15)+('Unit costs'!$F134*'Financial impact (cash)'!H$16)+('Unit costs'!$C134*'Financial impact (cash)'!H$13)+('Unit costs'!$G134*'Financial impact (cash)'!H$17)</f>
        <v>92.929774323215213</v>
      </c>
      <c r="I201" s="128">
        <f>('Unit costs'!$D134*'Financial impact (cash)'!I$14)+('Unit costs'!$E134*'Financial impact (cash)'!I$15)+('Unit costs'!$F134*'Financial impact (cash)'!I$16)+('Unit costs'!$C134*'Financial impact (cash)'!I$13)+('Unit costs'!$G134*'Financial impact (cash)'!I$17)</f>
        <v>93.825785314906</v>
      </c>
      <c r="J201" s="290"/>
      <c r="K201" s="290"/>
      <c r="L201" s="292">
        <f>(D201*'Unit costs'!$P134)/1000</f>
        <v>219.17973696000001</v>
      </c>
      <c r="M201" s="292">
        <f>(E201*'Unit costs'!$P134)/1000</f>
        <v>196.77566897031008</v>
      </c>
      <c r="N201" s="292">
        <f>(F201*'Unit costs'!$P134)/1000</f>
        <v>183.20184930449966</v>
      </c>
      <c r="O201" s="292">
        <f>(G201*'Unit costs'!$P134)/1000</f>
        <v>184.96824626252939</v>
      </c>
      <c r="P201" s="292">
        <f>(H201*'Unit costs'!$P134)/1000</f>
        <v>186.75167447993331</v>
      </c>
      <c r="Q201" s="292">
        <f>(I201*'Unit costs'!$P134)/1000</f>
        <v>188.55229816883511</v>
      </c>
      <c r="R201" s="133"/>
      <c r="S201" s="133"/>
      <c r="T201" s="133"/>
      <c r="U201" s="133"/>
      <c r="V201" s="133"/>
      <c r="W201" s="133"/>
      <c r="X201" s="133"/>
      <c r="Y201" s="133"/>
      <c r="Z201" s="133"/>
      <c r="AJ201" s="285"/>
      <c r="AK201" s="285"/>
      <c r="AL201" s="285"/>
      <c r="AM201" s="285"/>
      <c r="AN201" s="285"/>
    </row>
    <row r="202" spans="1:40">
      <c r="A202" s="290"/>
      <c r="B202" s="251" t="s">
        <v>1001</v>
      </c>
      <c r="C202" s="167"/>
      <c r="D202" s="128">
        <f>('Unit costs'!$D135*'Financial impact (cash)'!D$14)+('Unit costs'!$E135*'Financial impact (cash)'!D$15)+('Unit costs'!$F135*'Financial impact (cash)'!D$16)+('Unit costs'!$C135*'Financial impact (cash)'!D$13)+('Unit costs'!$G135*'Financial impact (cash)'!D$17)</f>
        <v>0</v>
      </c>
      <c r="E202" s="128">
        <f>('Unit costs'!$D135*'Financial impact (cash)'!E$14)+('Unit costs'!$E135*'Financial impact (cash)'!E$15)+('Unit costs'!$F135*'Financial impact (cash)'!E$16)+('Unit costs'!$C135*'Financial impact (cash)'!E$13)+('Unit costs'!$G135*'Financial impact (cash)'!E$17)</f>
        <v>10.305241550914758</v>
      </c>
      <c r="F202" s="128">
        <f>('Unit costs'!$D135*'Financial impact (cash)'!F$14)+('Unit costs'!$E135*'Financial impact (cash)'!F$15)+('Unit costs'!$F135*'Financial impact (cash)'!F$16)+('Unit costs'!$C135*'Financial impact (cash)'!F$13)+('Unit costs'!$G135*'Financial impact (cash)'!F$17)</f>
        <v>16.907479396954177</v>
      </c>
      <c r="G202" s="128">
        <f>('Unit costs'!$D135*'Financial impact (cash)'!G$14)+('Unit costs'!$E135*'Financial impact (cash)'!G$15)+('Unit costs'!$F135*'Financial impact (cash)'!G$16)+('Unit costs'!$C135*'Financial impact (cash)'!G$13)+('Unit costs'!$G135*'Financial impact (cash)'!G$17)</f>
        <v>17.070498057999956</v>
      </c>
      <c r="H202" s="128">
        <f>('Unit costs'!$D135*'Financial impact (cash)'!H$14)+('Unit costs'!$E135*'Financial impact (cash)'!H$15)+('Unit costs'!$F135*'Financial impact (cash)'!H$16)+('Unit costs'!$C135*'Financial impact (cash)'!H$13)+('Unit costs'!$G135*'Financial impact (cash)'!H$17)</f>
        <v>17.235088513588565</v>
      </c>
      <c r="I202" s="128">
        <f>('Unit costs'!$D135*'Financial impact (cash)'!I$14)+('Unit costs'!$E135*'Financial impact (cash)'!I$15)+('Unit costs'!$F135*'Financial impact (cash)'!I$16)+('Unit costs'!$C135*'Financial impact (cash)'!I$13)+('Unit costs'!$G135*'Financial impact (cash)'!I$17)</f>
        <v>17.401265918660354</v>
      </c>
      <c r="J202" s="290"/>
      <c r="K202" s="290"/>
      <c r="L202" s="292">
        <f>(D202*'Unit costs'!$P135)/1000</f>
        <v>0</v>
      </c>
      <c r="M202" s="292">
        <f>(E202*'Unit costs'!$P135)/1000</f>
        <v>41.00661717940001</v>
      </c>
      <c r="N202" s="292">
        <f>(F202*'Unit costs'!$P135)/1000</f>
        <v>67.278242016360068</v>
      </c>
      <c r="O202" s="292">
        <f>(G202*'Unit costs'!$P135)/1000</f>
        <v>67.926925872393426</v>
      </c>
      <c r="P202" s="292">
        <f>(H202*'Unit costs'!$P135)/1000</f>
        <v>68.581864213271615</v>
      </c>
      <c r="Q202" s="292">
        <f>(I202*'Unit costs'!$P135)/1000</f>
        <v>69.243117343533285</v>
      </c>
      <c r="R202" s="133"/>
      <c r="S202" s="133"/>
      <c r="T202" s="133"/>
      <c r="U202" s="133"/>
      <c r="V202" s="133"/>
      <c r="W202" s="133"/>
      <c r="X202" s="133"/>
      <c r="Y202" s="133"/>
      <c r="Z202" s="133"/>
      <c r="AJ202" s="285"/>
      <c r="AK202" s="285"/>
      <c r="AL202" s="285"/>
      <c r="AM202" s="285"/>
      <c r="AN202" s="285"/>
    </row>
    <row r="203" spans="1:40">
      <c r="A203" s="290"/>
      <c r="B203" s="251" t="s">
        <v>936</v>
      </c>
      <c r="C203" s="167"/>
      <c r="D203" s="128">
        <f>('Unit costs'!$D136*'Financial impact (cash)'!D$14)+('Unit costs'!$E136*'Financial impact (cash)'!D$15)+('Unit costs'!$F136*'Financial impact (cash)'!D$16)+('Unit costs'!$C136*'Financial impact (cash)'!D$13)+('Unit costs'!$G136*'Financial impact (cash)'!D$17)</f>
        <v>207.93224999999998</v>
      </c>
      <c r="E203" s="128">
        <f>('Unit costs'!$D136*'Financial impact (cash)'!E$14)+('Unit costs'!$E136*'Financial impact (cash)'!E$15)+('Unit costs'!$F136*'Financial impact (cash)'!E$16)+('Unit costs'!$C136*'Financial impact (cash)'!E$13)+('Unit costs'!$G136*'Financial impact (cash)'!E$17)</f>
        <v>210.88775125311344</v>
      </c>
      <c r="F203" s="128">
        <f>('Unit costs'!$D136*'Financial impact (cash)'!F$14)+('Unit costs'!$E136*'Financial impact (cash)'!F$15)+('Unit costs'!$F136*'Financial impact (cash)'!F$16)+('Unit costs'!$C136*'Financial impact (cash)'!F$13)+('Unit costs'!$G136*'Financial impact (cash)'!F$17)</f>
        <v>213.52098072195417</v>
      </c>
      <c r="G203" s="128">
        <f>('Unit costs'!$D136*'Financial impact (cash)'!G$14)+('Unit costs'!$E136*'Financial impact (cash)'!G$15)+('Unit costs'!$F136*'Financial impact (cash)'!G$16)+('Unit costs'!$C136*'Financial impact (cash)'!G$13)+('Unit costs'!$G136*'Financial impact (cash)'!G$17)</f>
        <v>215.57970890758455</v>
      </c>
      <c r="H203" s="128">
        <f>('Unit costs'!$D136*'Financial impact (cash)'!H$14)+('Unit costs'!$E136*'Financial impact (cash)'!H$15)+('Unit costs'!$F136*'Financial impact (cash)'!H$16)+('Unit costs'!$C136*'Financial impact (cash)'!H$13)+('Unit costs'!$G136*'Financial impact (cash)'!H$17)</f>
        <v>217.65828695400131</v>
      </c>
      <c r="I203" s="128">
        <f>('Unit costs'!$D136*'Financial impact (cash)'!I$14)+('Unit costs'!$E136*'Financial impact (cash)'!I$15)+('Unit costs'!$F136*'Financial impact (cash)'!I$16)+('Unit costs'!$C136*'Financial impact (cash)'!I$13)+('Unit costs'!$G136*'Financial impact (cash)'!I$17)</f>
        <v>219.75690624974033</v>
      </c>
      <c r="J203" s="290"/>
      <c r="K203" s="290"/>
      <c r="L203" s="292">
        <f>(D203*'Unit costs'!$P136)/1000</f>
        <v>165.1813794</v>
      </c>
      <c r="M203" s="292">
        <f>(E203*'Unit costs'!$P136)/1000</f>
        <v>167.52922959547334</v>
      </c>
      <c r="N203" s="292">
        <f>(F203*'Unit costs'!$P136)/1000</f>
        <v>169.62106708552042</v>
      </c>
      <c r="O203" s="292">
        <f>(G203*'Unit costs'!$P136)/1000</f>
        <v>171.25652075618518</v>
      </c>
      <c r="P203" s="292">
        <f>(H203*'Unit costs'!$P136)/1000</f>
        <v>172.90774315625865</v>
      </c>
      <c r="Q203" s="292">
        <f>(I203*'Unit costs'!$P136)/1000</f>
        <v>174.57488632479374</v>
      </c>
      <c r="R203" s="133"/>
      <c r="S203" s="133"/>
      <c r="T203" s="133"/>
      <c r="U203" s="133"/>
      <c r="V203" s="133"/>
      <c r="W203" s="133"/>
      <c r="X203" s="133"/>
      <c r="Y203" s="133"/>
      <c r="Z203" s="133"/>
      <c r="AJ203" s="285"/>
      <c r="AK203" s="285"/>
      <c r="AL203" s="285"/>
      <c r="AM203" s="285"/>
      <c r="AN203" s="285"/>
    </row>
    <row r="204" spans="1:40">
      <c r="A204" s="290"/>
      <c r="B204" s="279"/>
      <c r="C204" s="209"/>
      <c r="D204" s="186">
        <f t="shared" ref="D204:I204" si="93">SUM(D190:D203)</f>
        <v>1091.4481500000002</v>
      </c>
      <c r="E204" s="186">
        <f t="shared" si="93"/>
        <v>1591.7501862646811</v>
      </c>
      <c r="F204" s="186">
        <f t="shared" si="93"/>
        <v>1916.1605684505353</v>
      </c>
      <c r="G204" s="186">
        <f t="shared" si="93"/>
        <v>1934.6358197215081</v>
      </c>
      <c r="H204" s="186">
        <f t="shared" si="93"/>
        <v>1953.2892058080831</v>
      </c>
      <c r="I204" s="186">
        <f t="shared" si="93"/>
        <v>1972.1224442518549</v>
      </c>
      <c r="J204" s="290"/>
      <c r="K204" s="290"/>
      <c r="L204" s="293">
        <f>SUM(L190:L203)</f>
        <v>1108.2597470400001</v>
      </c>
      <c r="M204" s="293">
        <f t="shared" ref="M204:P204" si="94">SUM(M190:M203)</f>
        <v>1739.5572079139642</v>
      </c>
      <c r="N204" s="293">
        <f t="shared" si="94"/>
        <v>2147.9519670751956</v>
      </c>
      <c r="O204" s="293">
        <f t="shared" si="94"/>
        <v>2168.6621063835028</v>
      </c>
      <c r="P204" s="293">
        <f t="shared" si="94"/>
        <v>2189.5719288675705</v>
      </c>
      <c r="Q204" s="293">
        <f>SUM(Q190:Q203)</f>
        <v>2210.6833598341345</v>
      </c>
      <c r="R204" s="133"/>
      <c r="S204" s="133"/>
      <c r="T204" s="133"/>
      <c r="U204" s="133"/>
      <c r="V204" s="133"/>
      <c r="W204" s="133"/>
      <c r="X204" s="133"/>
      <c r="Y204" s="133"/>
      <c r="Z204" s="133"/>
      <c r="AJ204" s="285"/>
      <c r="AK204" s="285"/>
      <c r="AL204" s="285"/>
      <c r="AM204" s="285"/>
      <c r="AN204" s="285"/>
    </row>
    <row r="205" spans="1:40">
      <c r="A205" s="290"/>
      <c r="B205" s="305"/>
      <c r="C205" s="209"/>
      <c r="D205" s="284" t="s">
        <v>772</v>
      </c>
      <c r="E205" s="186">
        <f>E204-$D$204</f>
        <v>500.30203626468096</v>
      </c>
      <c r="F205" s="186">
        <f>F204-$D$204</f>
        <v>824.7124184505351</v>
      </c>
      <c r="G205" s="186">
        <f>G204-$D$204</f>
        <v>843.18766972150797</v>
      </c>
      <c r="H205" s="186">
        <f>H204-$D$204</f>
        <v>861.84105580808296</v>
      </c>
      <c r="I205" s="186">
        <f>I204-$D$204</f>
        <v>880.67429425185469</v>
      </c>
      <c r="J205" s="290"/>
      <c r="K205" s="290"/>
      <c r="L205" s="539"/>
      <c r="M205" s="293">
        <f>M204-$L$204</f>
        <v>631.29746087396416</v>
      </c>
      <c r="N205" s="293">
        <f>N204-$L$204</f>
        <v>1039.6922200351955</v>
      </c>
      <c r="O205" s="293">
        <f>O204-$L$204</f>
        <v>1060.4023593435027</v>
      </c>
      <c r="P205" s="293">
        <f>P204-$L$204</f>
        <v>1081.3121818275704</v>
      </c>
      <c r="Q205" s="293">
        <f>Q204-$L$204</f>
        <v>1102.4236127941344</v>
      </c>
    </row>
    <row r="206" spans="1:40">
      <c r="A206" s="290"/>
      <c r="B206" s="290"/>
      <c r="C206" s="290"/>
      <c r="D206" s="290"/>
      <c r="E206" s="290"/>
      <c r="F206" s="290"/>
      <c r="G206" s="290"/>
      <c r="H206" s="290"/>
      <c r="I206" s="290"/>
      <c r="J206" s="290"/>
      <c r="K206" s="290"/>
      <c r="L206" s="290"/>
      <c r="M206" s="290"/>
      <c r="N206" s="290"/>
      <c r="O206" s="290"/>
      <c r="P206" s="290"/>
      <c r="Q206" s="290"/>
    </row>
    <row r="207" spans="1:40">
      <c r="B207"/>
    </row>
    <row r="208" spans="1:40">
      <c r="B208"/>
    </row>
    <row r="209" spans="2:2">
      <c r="B209"/>
    </row>
    <row r="210" spans="2:2">
      <c r="B210"/>
    </row>
    <row r="211" spans="2:2">
      <c r="B211"/>
    </row>
  </sheetData>
  <sheetProtection algorithmName="SHA-512" hashValue="KeIBA6aYp4/5WXVM9c/tYPWCea7gdxloGqny52SKuHcq7T+AjYSpYjcFLI+8qFSqW1omqczoUpV+CGB1Zn2B6w==" saltValue="nkvkao9f/vhX4ymvXs2QMw==" spinCount="100000" sheet="1" objects="1" scenarios="1"/>
  <protectedRanges>
    <protectedRange sqref="B190:B203" name="Range1_1"/>
  </protectedRanges>
  <pageMargins left="0.70866141732283472" right="0.70866141732283472" top="0.74803149606299213" bottom="0.74803149606299213" header="0.31496062992125984" footer="0.31496062992125984"/>
  <pageSetup paperSize="9" scale="33" fitToHeight="0" orientation="portrait" horizontalDpi="4294967293" r:id="rId1"/>
  <rowBreaks count="1" manualBreakCount="1">
    <brk id="154"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AB95-FE96-4E38-AED6-DD4F51D444F2}">
  <sheetPr>
    <tabColor theme="8" tint="-0.499984740745262"/>
    <pageSetUpPr fitToPage="1"/>
  </sheetPr>
  <dimension ref="A1:AN211"/>
  <sheetViews>
    <sheetView showGridLines="0" zoomScale="80" zoomScaleNormal="80" zoomScaleSheetLayoutView="30" workbookViewId="0"/>
  </sheetViews>
  <sheetFormatPr defaultColWidth="8.7265625" defaultRowHeight="14.5"/>
  <cols>
    <col min="1" max="1" width="3.54296875" customWidth="1"/>
    <col min="2" max="2" width="76.81640625" style="1" customWidth="1"/>
    <col min="3" max="9" width="12.54296875" customWidth="1"/>
    <col min="10" max="10" width="1.7265625" customWidth="1"/>
    <col min="11" max="11" width="9.453125" customWidth="1"/>
    <col min="12" max="18" width="11.7265625" customWidth="1"/>
    <col min="19" max="19" width="11.453125" customWidth="1"/>
    <col min="20" max="20" width="11.7265625" customWidth="1"/>
    <col min="21" max="26" width="10.7265625" customWidth="1"/>
    <col min="28" max="41" width="0" hidden="1" customWidth="1"/>
  </cols>
  <sheetData>
    <row r="1" spans="1:40" ht="30" customHeight="1">
      <c r="B1" s="689" t="str">
        <f>'Unit costs'!B1</f>
        <v>Treatments for treating relapsed and refractory multiple myeloma after 3 or more treatments</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5" customHeight="1">
      <c r="B2" s="214" t="s">
        <v>773</v>
      </c>
      <c r="C2" s="127" t="s">
        <v>108</v>
      </c>
      <c r="D2" s="127" t="s">
        <v>108</v>
      </c>
      <c r="E2" s="127" t="s">
        <v>108</v>
      </c>
      <c r="F2" s="127" t="s">
        <v>108</v>
      </c>
      <c r="G2" s="127" t="s">
        <v>108</v>
      </c>
      <c r="H2" s="127" t="s">
        <v>108</v>
      </c>
      <c r="I2" s="127" t="s">
        <v>108</v>
      </c>
      <c r="J2" s="127" t="s">
        <v>108</v>
      </c>
      <c r="K2" s="127"/>
      <c r="L2" s="127" t="s">
        <v>108</v>
      </c>
      <c r="M2" s="127" t="s">
        <v>108</v>
      </c>
      <c r="N2" s="127" t="s">
        <v>108</v>
      </c>
      <c r="O2" s="127" t="s">
        <v>108</v>
      </c>
      <c r="P2" s="127" t="s">
        <v>108</v>
      </c>
      <c r="Q2" s="127"/>
      <c r="R2" s="127"/>
      <c r="S2" s="127"/>
      <c r="T2" s="127"/>
      <c r="U2" s="127"/>
      <c r="V2" s="127"/>
      <c r="W2" s="127"/>
      <c r="X2" s="127"/>
      <c r="Y2" s="127"/>
      <c r="Z2" s="127"/>
    </row>
    <row r="3" spans="1:40" ht="14.65" customHeight="1">
      <c r="B3" s="130" t="s">
        <v>108</v>
      </c>
      <c r="C3" s="133" t="s">
        <v>108</v>
      </c>
      <c r="D3" s="133" t="s">
        <v>108</v>
      </c>
      <c r="E3" s="133" t="s">
        <v>108</v>
      </c>
      <c r="F3" s="133" t="s">
        <v>108</v>
      </c>
      <c r="G3" s="133" t="s">
        <v>108</v>
      </c>
      <c r="H3" s="133" t="s">
        <v>108</v>
      </c>
      <c r="I3" s="133" t="s">
        <v>108</v>
      </c>
      <c r="J3" s="133" t="s">
        <v>108</v>
      </c>
      <c r="K3" s="133"/>
      <c r="L3" s="133" t="s">
        <v>108</v>
      </c>
      <c r="M3" s="133" t="s">
        <v>108</v>
      </c>
      <c r="N3" s="133" t="s">
        <v>108</v>
      </c>
      <c r="O3" s="133" t="s">
        <v>108</v>
      </c>
      <c r="P3" s="133" t="s">
        <v>108</v>
      </c>
      <c r="Q3" s="133"/>
      <c r="R3" s="133"/>
      <c r="S3" s="127"/>
      <c r="T3" s="127"/>
      <c r="U3" s="127"/>
      <c r="V3" s="127"/>
      <c r="W3" s="127"/>
      <c r="X3" s="127"/>
      <c r="Y3" s="133"/>
      <c r="Z3" s="133"/>
    </row>
    <row r="4" spans="1:40" ht="14.65" customHeight="1">
      <c r="B4" t="s">
        <v>742</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40" ht="14.65" customHeight="1">
      <c r="B5" s="5"/>
      <c r="F5" s="133"/>
      <c r="G5" s="133"/>
      <c r="H5" s="133"/>
      <c r="I5" s="133"/>
      <c r="J5" s="133"/>
      <c r="K5" s="133"/>
      <c r="L5" s="133"/>
      <c r="M5" s="133"/>
      <c r="N5" s="133"/>
      <c r="O5" s="133"/>
      <c r="P5" s="133"/>
      <c r="Q5" s="133"/>
      <c r="R5" s="133"/>
      <c r="S5" s="127"/>
      <c r="T5" s="127"/>
      <c r="U5" s="127"/>
      <c r="V5" s="127"/>
      <c r="W5" s="127"/>
      <c r="X5" s="127"/>
      <c r="Y5" s="133"/>
      <c r="Z5" s="133"/>
    </row>
    <row r="6" spans="1:40" ht="43.5">
      <c r="B6" s="258" t="s">
        <v>37</v>
      </c>
      <c r="C6" s="209"/>
      <c r="D6" s="422" t="s">
        <v>736</v>
      </c>
      <c r="E6" s="256" t="s">
        <v>51</v>
      </c>
      <c r="F6" s="256" t="s">
        <v>52</v>
      </c>
      <c r="G6" s="164" t="s">
        <v>737</v>
      </c>
      <c r="H6" s="164" t="s">
        <v>738</v>
      </c>
      <c r="I6" s="256" t="s">
        <v>739</v>
      </c>
      <c r="L6" s="422" t="s">
        <v>736</v>
      </c>
      <c r="M6" s="256" t="s">
        <v>51</v>
      </c>
      <c r="N6" s="256" t="s">
        <v>52</v>
      </c>
      <c r="O6" s="164" t="s">
        <v>737</v>
      </c>
      <c r="P6" s="164" t="s">
        <v>738</v>
      </c>
      <c r="Q6" s="256" t="s">
        <v>739</v>
      </c>
      <c r="R6" s="133"/>
      <c r="S6" s="127"/>
      <c r="T6" s="127"/>
      <c r="U6" s="127"/>
      <c r="V6" s="127"/>
      <c r="W6" s="127"/>
      <c r="X6" s="127"/>
      <c r="Y6" s="133"/>
      <c r="Z6" s="133"/>
      <c r="AJ6" s="285"/>
      <c r="AK6" s="285"/>
      <c r="AL6" s="285"/>
      <c r="AM6" s="285"/>
      <c r="AN6" s="285"/>
    </row>
    <row r="7" spans="1:40" ht="14.65" customHeight="1">
      <c r="B7" s="226" t="s">
        <v>1073</v>
      </c>
      <c r="C7" s="167"/>
      <c r="D7" s="379">
        <f>'Inputs and eligible population'!F42</f>
        <v>784.65</v>
      </c>
      <c r="E7" s="379">
        <f>'Inputs and eligible population'!G42</f>
        <v>792.21544422657178</v>
      </c>
      <c r="F7" s="379">
        <f>'Inputs and eligible population'!H42</f>
        <v>799.85383300975525</v>
      </c>
      <c r="G7" s="379">
        <f>'Inputs and eligible population'!I42</f>
        <v>807.56586966692089</v>
      </c>
      <c r="H7" s="379">
        <f>'Inputs and eligible population'!J42</f>
        <v>815.35226429668955</v>
      </c>
      <c r="I7" s="379">
        <f>'Inputs and eligible population'!K42</f>
        <v>823.21373384431661</v>
      </c>
      <c r="P7" s="133"/>
      <c r="Q7" s="133"/>
      <c r="R7" s="133"/>
      <c r="S7" s="127"/>
      <c r="T7" s="127"/>
      <c r="U7" s="127"/>
      <c r="V7" s="127"/>
      <c r="W7" s="127"/>
      <c r="X7" s="127"/>
      <c r="Y7" s="133"/>
      <c r="Z7" s="133"/>
      <c r="AJ7" s="285"/>
      <c r="AK7" s="285"/>
      <c r="AL7" s="285"/>
      <c r="AM7" s="285"/>
      <c r="AN7" s="285"/>
    </row>
    <row r="8" spans="1:40" ht="14.65" customHeight="1">
      <c r="B8"/>
      <c r="P8" s="133"/>
      <c r="Q8" s="133"/>
      <c r="R8" s="133"/>
      <c r="S8" s="127"/>
      <c r="T8" s="127"/>
      <c r="U8" s="127"/>
      <c r="V8" s="127"/>
      <c r="W8" s="127"/>
      <c r="X8" s="127"/>
      <c r="Y8" s="133"/>
      <c r="Z8" s="133"/>
      <c r="AJ8" s="285"/>
      <c r="AK8" s="285"/>
      <c r="AL8" s="285"/>
      <c r="AM8" s="285"/>
      <c r="AN8" s="285"/>
    </row>
    <row r="9" spans="1:40" ht="14.65" customHeight="1">
      <c r="B9" s="278" t="s">
        <v>743</v>
      </c>
      <c r="C9" s="439"/>
      <c r="D9" s="439"/>
      <c r="E9" s="440"/>
      <c r="F9" s="439"/>
      <c r="G9" s="441"/>
      <c r="H9" s="442"/>
      <c r="I9" s="442"/>
      <c r="J9" s="159"/>
      <c r="L9" s="729" t="s">
        <v>160</v>
      </c>
      <c r="M9" s="729" t="s">
        <v>160</v>
      </c>
      <c r="N9" s="729" t="s">
        <v>160</v>
      </c>
      <c r="O9" s="729" t="s">
        <v>160</v>
      </c>
      <c r="P9" s="729" t="s">
        <v>160</v>
      </c>
      <c r="Q9" s="729" t="s">
        <v>160</v>
      </c>
      <c r="R9" s="133"/>
      <c r="S9" s="127"/>
      <c r="T9" s="127"/>
      <c r="U9" s="127"/>
      <c r="V9" s="127"/>
      <c r="W9" s="127"/>
      <c r="X9" s="127"/>
      <c r="Y9" s="133"/>
      <c r="Z9" s="133"/>
      <c r="AJ9" s="285"/>
      <c r="AK9" s="285"/>
      <c r="AL9" s="285"/>
      <c r="AM9" s="285"/>
      <c r="AN9" s="285"/>
    </row>
    <row r="10" spans="1:40" ht="14.65" customHeight="1">
      <c r="A10" s="295"/>
      <c r="B10" s="446" t="str">
        <f>B38</f>
        <v>Follow up attendances</v>
      </c>
      <c r="C10" s="384"/>
      <c r="D10" s="424">
        <f t="shared" ref="D10:I10" si="0">D45</f>
        <v>9384.4139999999989</v>
      </c>
      <c r="E10" s="424">
        <f t="shared" si="0"/>
        <v>9474.8967129498014</v>
      </c>
      <c r="F10" s="424">
        <f t="shared" si="0"/>
        <v>9566.2518427966734</v>
      </c>
      <c r="G10" s="424">
        <f t="shared" si="0"/>
        <v>9658.4878012163754</v>
      </c>
      <c r="H10" s="424">
        <f t="shared" si="0"/>
        <v>9751.6130809884089</v>
      </c>
      <c r="I10" s="424">
        <f t="shared" si="0"/>
        <v>9845.636256778027</v>
      </c>
      <c r="L10" s="292">
        <f t="shared" ref="L10:Q10" si="1">L45</f>
        <v>1313.8179600000001</v>
      </c>
      <c r="M10" s="292">
        <f t="shared" si="1"/>
        <v>1326.4855398129721</v>
      </c>
      <c r="N10" s="292">
        <f t="shared" si="1"/>
        <v>1339.2752579915341</v>
      </c>
      <c r="O10" s="292">
        <f t="shared" si="1"/>
        <v>1352.1882921702927</v>
      </c>
      <c r="P10" s="292">
        <f t="shared" si="1"/>
        <v>1365.2258313383772</v>
      </c>
      <c r="Q10" s="292">
        <f t="shared" si="1"/>
        <v>1378.3890759489241</v>
      </c>
      <c r="R10" s="133"/>
      <c r="S10" s="133"/>
      <c r="T10" s="133"/>
      <c r="U10" s="133"/>
      <c r="V10" s="133"/>
      <c r="W10" s="133"/>
      <c r="X10" s="133"/>
      <c r="Y10" s="133"/>
      <c r="Z10" s="133"/>
      <c r="AJ10" s="285"/>
      <c r="AK10" s="285"/>
      <c r="AL10" s="285"/>
      <c r="AM10" s="285"/>
      <c r="AN10" s="285"/>
    </row>
    <row r="11" spans="1:40" ht="14.65" customHeight="1">
      <c r="A11" s="295"/>
      <c r="B11" s="446" t="s">
        <v>1021</v>
      </c>
      <c r="C11" s="384"/>
      <c r="D11" s="424">
        <f>D55</f>
        <v>0</v>
      </c>
      <c r="E11" s="424">
        <f t="shared" ref="E11:I11" si="2">E55</f>
        <v>1584.4308884531438</v>
      </c>
      <c r="F11" s="424">
        <f t="shared" si="2"/>
        <v>2599.5249572817047</v>
      </c>
      <c r="G11" s="424">
        <f t="shared" si="2"/>
        <v>2624.5890764174928</v>
      </c>
      <c r="H11" s="424">
        <f t="shared" si="2"/>
        <v>2649.8948589642414</v>
      </c>
      <c r="I11" s="424">
        <f t="shared" si="2"/>
        <v>2675.444634994029</v>
      </c>
      <c r="L11" s="207"/>
      <c r="M11" s="207"/>
      <c r="N11" s="207"/>
      <c r="O11" s="207"/>
      <c r="P11" s="416"/>
      <c r="Q11" s="416"/>
      <c r="R11" s="133"/>
      <c r="S11" s="133"/>
      <c r="T11" s="133"/>
      <c r="U11" s="133"/>
      <c r="V11" s="133"/>
      <c r="W11" s="133"/>
      <c r="X11" s="133"/>
      <c r="Y11" s="133"/>
      <c r="Z11" s="133"/>
      <c r="AJ11" s="285"/>
      <c r="AK11" s="285"/>
      <c r="AL11" s="285"/>
      <c r="AM11" s="285"/>
      <c r="AN11" s="285"/>
    </row>
    <row r="12" spans="1:40">
      <c r="A12" s="295"/>
      <c r="B12" s="443" t="str">
        <f>B58</f>
        <v>Administrations</v>
      </c>
      <c r="C12" s="418"/>
      <c r="D12" s="417">
        <f t="shared" ref="D12:I12" si="3">D64</f>
        <v>5021.76</v>
      </c>
      <c r="E12" s="417">
        <f t="shared" si="3"/>
        <v>12992.333285315777</v>
      </c>
      <c r="F12" s="417">
        <f t="shared" si="3"/>
        <v>18116.689317670956</v>
      </c>
      <c r="G12" s="417">
        <f t="shared" si="3"/>
        <v>18291.366947955761</v>
      </c>
      <c r="H12" s="417">
        <f t="shared" si="3"/>
        <v>18467.728786320018</v>
      </c>
      <c r="I12" s="417">
        <f t="shared" si="3"/>
        <v>18645.791071573774</v>
      </c>
      <c r="L12" s="292">
        <f t="shared" ref="L12:P12" si="4">L64</f>
        <v>1052.764905</v>
      </c>
      <c r="M12" s="292">
        <f t="shared" si="4"/>
        <v>3741.2374353599857</v>
      </c>
      <c r="N12" s="292">
        <f t="shared" si="4"/>
        <v>5467.4008755381819</v>
      </c>
      <c r="O12" s="292">
        <f t="shared" si="4"/>
        <v>5520.1165021082379</v>
      </c>
      <c r="P12" s="292">
        <f t="shared" si="4"/>
        <v>5573.3404026000217</v>
      </c>
      <c r="Q12" s="292">
        <f>Q64</f>
        <v>5627.0774776928265</v>
      </c>
      <c r="R12" s="133"/>
      <c r="S12" s="133"/>
      <c r="T12" s="133"/>
      <c r="U12" s="133"/>
      <c r="V12" s="133"/>
      <c r="W12" s="133"/>
      <c r="X12" s="133"/>
      <c r="Y12" s="133"/>
      <c r="Z12" s="133"/>
      <c r="AJ12" s="285"/>
      <c r="AK12" s="285"/>
      <c r="AL12" s="285"/>
      <c r="AM12" s="285"/>
      <c r="AN12" s="285"/>
    </row>
    <row r="13" spans="1:40">
      <c r="A13" s="286"/>
      <c r="B13" s="444" t="str">
        <f>B84</f>
        <v>Administrations - duration of administrations (hours)</v>
      </c>
      <c r="C13" s="450"/>
      <c r="D13" s="419">
        <f t="shared" ref="D13:I13" si="5">D91</f>
        <v>366.17</v>
      </c>
      <c r="E13" s="419">
        <f t="shared" si="5"/>
        <v>1901.3170661437728</v>
      </c>
      <c r="F13" s="419">
        <f t="shared" si="5"/>
        <v>2886.1392474435333</v>
      </c>
      <c r="G13" s="419">
        <f t="shared" si="5"/>
        <v>2913.9668463814733</v>
      </c>
      <c r="H13" s="419">
        <f t="shared" si="5"/>
        <v>2942.0627536705551</v>
      </c>
      <c r="I13" s="419">
        <f t="shared" si="5"/>
        <v>2970.429556288243</v>
      </c>
      <c r="L13" s="207"/>
      <c r="M13" s="207"/>
      <c r="N13" s="207"/>
      <c r="O13" s="207"/>
      <c r="P13" s="416"/>
      <c r="Q13" s="416"/>
      <c r="R13" s="133"/>
      <c r="S13" s="133"/>
      <c r="T13" s="133"/>
      <c r="U13" s="133"/>
      <c r="V13" s="133"/>
      <c r="W13" s="133"/>
      <c r="X13" s="133"/>
      <c r="Y13" s="133"/>
      <c r="Z13" s="133"/>
      <c r="AJ13" s="285"/>
      <c r="AK13" s="285"/>
      <c r="AL13" s="285"/>
      <c r="AM13" s="285"/>
      <c r="AN13" s="285"/>
    </row>
    <row r="14" spans="1:40">
      <c r="A14" s="286"/>
      <c r="B14" s="444" t="str">
        <f>B94</f>
        <v>Preparation time before administration (hours)</v>
      </c>
      <c r="C14" s="450"/>
      <c r="D14" s="419">
        <f t="shared" ref="D14:I14" si="6">D101</f>
        <v>549.255</v>
      </c>
      <c r="E14" s="419">
        <f t="shared" si="6"/>
        <v>2851.9755992156588</v>
      </c>
      <c r="F14" s="419">
        <f t="shared" si="6"/>
        <v>4329.2088711653005</v>
      </c>
      <c r="G14" s="419">
        <f t="shared" si="6"/>
        <v>4370.9502695722094</v>
      </c>
      <c r="H14" s="419">
        <f t="shared" si="6"/>
        <v>4413.0941305058332</v>
      </c>
      <c r="I14" s="419">
        <f t="shared" si="6"/>
        <v>4455.6443344323643</v>
      </c>
      <c r="L14" s="207"/>
      <c r="M14" s="207"/>
      <c r="N14" s="207"/>
      <c r="O14" s="207"/>
      <c r="P14" s="416"/>
      <c r="Q14" s="416"/>
      <c r="R14" s="133"/>
      <c r="S14" s="133"/>
      <c r="T14" s="133"/>
      <c r="U14" s="133"/>
      <c r="V14" s="133"/>
      <c r="W14" s="133"/>
      <c r="X14" s="133"/>
      <c r="Y14" s="133"/>
      <c r="Z14" s="133"/>
      <c r="AJ14" s="285"/>
      <c r="AK14" s="285"/>
      <c r="AL14" s="285"/>
      <c r="AM14" s="285"/>
      <c r="AN14" s="285"/>
    </row>
    <row r="15" spans="1:40">
      <c r="A15" s="286"/>
      <c r="B15" s="444" t="str">
        <f>B104</f>
        <v>Post administration nursing time (hours)</v>
      </c>
      <c r="C15" s="450"/>
      <c r="D15" s="419">
        <f t="shared" ref="D15:I15" si="7">D111</f>
        <v>549.255</v>
      </c>
      <c r="E15" s="420">
        <f t="shared" si="7"/>
        <v>2851.9755992156588</v>
      </c>
      <c r="F15" s="419">
        <f t="shared" si="7"/>
        <v>4329.2088711653005</v>
      </c>
      <c r="G15" s="419">
        <f t="shared" si="7"/>
        <v>4370.9502695722094</v>
      </c>
      <c r="H15" s="419">
        <f t="shared" si="7"/>
        <v>4413.0941305058332</v>
      </c>
      <c r="I15" s="419">
        <f t="shared" si="7"/>
        <v>4455.6443344323643</v>
      </c>
      <c r="L15" s="207"/>
      <c r="M15" s="207"/>
      <c r="N15" s="207"/>
      <c r="O15" s="207"/>
      <c r="P15" s="416"/>
      <c r="Q15" s="416"/>
      <c r="R15" s="133"/>
      <c r="S15" s="133"/>
      <c r="T15" s="133"/>
      <c r="U15" s="133"/>
      <c r="V15" s="133"/>
      <c r="W15" s="133"/>
      <c r="X15" s="133"/>
      <c r="Y15" s="133"/>
      <c r="Z15" s="133"/>
      <c r="AJ15" s="285"/>
      <c r="AK15" s="285"/>
      <c r="AL15" s="285"/>
      <c r="AM15" s="285"/>
      <c r="AN15" s="285"/>
    </row>
    <row r="16" spans="1:40" hidden="1">
      <c r="A16" s="288"/>
      <c r="B16" s="445" t="str">
        <f>B115</f>
        <v>In-house aseptic unit preparations, number made</v>
      </c>
      <c r="C16" s="451"/>
      <c r="D16" s="421" t="e">
        <f t="shared" ref="D16:I16" si="8">D120</f>
        <v>#REF!</v>
      </c>
      <c r="E16" s="421" t="e">
        <f t="shared" si="8"/>
        <v>#REF!</v>
      </c>
      <c r="F16" s="421" t="e">
        <f t="shared" si="8"/>
        <v>#REF!</v>
      </c>
      <c r="G16" s="421" t="e">
        <f t="shared" si="8"/>
        <v>#REF!</v>
      </c>
      <c r="H16" s="421" t="e">
        <f t="shared" si="8"/>
        <v>#REF!</v>
      </c>
      <c r="I16" s="421" t="e">
        <f t="shared" si="8"/>
        <v>#REF!</v>
      </c>
      <c r="L16" s="207"/>
      <c r="M16" s="207"/>
      <c r="N16" s="207"/>
      <c r="O16" s="207"/>
      <c r="P16" s="416"/>
      <c r="Q16" s="416"/>
      <c r="R16" s="133"/>
      <c r="S16" s="133"/>
      <c r="T16" s="133"/>
      <c r="U16" s="133"/>
      <c r="V16" s="133"/>
      <c r="W16" s="133"/>
      <c r="X16" s="133"/>
      <c r="Y16" s="133"/>
      <c r="Z16" s="133"/>
      <c r="AJ16" s="285"/>
      <c r="AK16" s="285"/>
      <c r="AL16" s="285"/>
      <c r="AM16" s="285"/>
      <c r="AN16" s="285"/>
    </row>
    <row r="17" spans="1:40" hidden="1">
      <c r="A17" s="288"/>
      <c r="B17" s="445" t="str">
        <f>B123</f>
        <v>Bought-in aseptic unit preparations, number bought in</v>
      </c>
      <c r="C17" s="451"/>
      <c r="D17" s="421" t="e">
        <f t="shared" ref="D17:I17" si="9">D128</f>
        <v>#REF!</v>
      </c>
      <c r="E17" s="421" t="e">
        <f t="shared" si="9"/>
        <v>#REF!</v>
      </c>
      <c r="F17" s="421" t="e">
        <f t="shared" si="9"/>
        <v>#REF!</v>
      </c>
      <c r="G17" s="421" t="e">
        <f t="shared" si="9"/>
        <v>#REF!</v>
      </c>
      <c r="H17" s="421" t="e">
        <f t="shared" si="9"/>
        <v>#REF!</v>
      </c>
      <c r="I17" s="421" t="e">
        <f t="shared" si="9"/>
        <v>#REF!</v>
      </c>
      <c r="L17" s="207"/>
      <c r="M17" s="207"/>
      <c r="N17" s="207"/>
      <c r="O17" s="207"/>
      <c r="P17" s="416"/>
      <c r="Q17" s="416"/>
      <c r="R17" s="133"/>
      <c r="S17" s="133"/>
      <c r="T17" s="133"/>
      <c r="U17" s="133"/>
      <c r="V17" s="133"/>
      <c r="W17" s="133"/>
      <c r="X17" s="133"/>
      <c r="Y17" s="133"/>
      <c r="Z17" s="133"/>
      <c r="AJ17" s="285"/>
      <c r="AK17" s="285"/>
      <c r="AL17" s="285"/>
      <c r="AM17" s="285"/>
      <c r="AN17" s="285"/>
    </row>
    <row r="18" spans="1:40" hidden="1">
      <c r="A18" s="288"/>
      <c r="B18" s="445" t="str">
        <f>B131</f>
        <v>In-house aseptic unit preparations, pharmacy time (hours)</v>
      </c>
      <c r="C18" s="451"/>
      <c r="D18" s="421" t="e">
        <f t="shared" ref="D18:I18" si="10">D136</f>
        <v>#REF!</v>
      </c>
      <c r="E18" s="421" t="e">
        <f t="shared" si="10"/>
        <v>#REF!</v>
      </c>
      <c r="F18" s="421" t="e">
        <f t="shared" si="10"/>
        <v>#REF!</v>
      </c>
      <c r="G18" s="421" t="e">
        <f t="shared" si="10"/>
        <v>#REF!</v>
      </c>
      <c r="H18" s="421" t="e">
        <f t="shared" si="10"/>
        <v>#REF!</v>
      </c>
      <c r="I18" s="421" t="e">
        <f t="shared" si="10"/>
        <v>#REF!</v>
      </c>
      <c r="L18" s="207"/>
      <c r="M18" s="207"/>
      <c r="N18" s="207"/>
      <c r="O18" s="207"/>
      <c r="P18" s="416"/>
      <c r="Q18" s="416"/>
      <c r="R18" s="133"/>
      <c r="S18" s="133"/>
      <c r="T18" s="133"/>
      <c r="U18" s="133"/>
      <c r="V18" s="133"/>
      <c r="W18" s="133"/>
      <c r="X18" s="133"/>
      <c r="Y18" s="133"/>
      <c r="Z18" s="133"/>
      <c r="AJ18" s="285"/>
      <c r="AK18" s="285"/>
      <c r="AL18" s="285"/>
      <c r="AM18" s="285"/>
      <c r="AN18" s="285"/>
    </row>
    <row r="19" spans="1:40" ht="0.65" hidden="1" customHeight="1">
      <c r="A19" s="288"/>
      <c r="B19" s="445" t="str">
        <f>B139</f>
        <v>Bought-in aseptic unit preparations, pharmacy time (hours)</v>
      </c>
      <c r="C19" s="451"/>
      <c r="D19" s="421" t="e">
        <f t="shared" ref="D19:I19" si="11">D144</f>
        <v>#REF!</v>
      </c>
      <c r="E19" s="421" t="e">
        <f t="shared" si="11"/>
        <v>#REF!</v>
      </c>
      <c r="F19" s="421" t="e">
        <f t="shared" si="11"/>
        <v>#REF!</v>
      </c>
      <c r="G19" s="421" t="e">
        <f t="shared" si="11"/>
        <v>#REF!</v>
      </c>
      <c r="H19" s="421" t="e">
        <f t="shared" si="11"/>
        <v>#REF!</v>
      </c>
      <c r="I19" s="421" t="e">
        <f t="shared" si="11"/>
        <v>#REF!</v>
      </c>
      <c r="L19" s="207"/>
      <c r="M19" s="207"/>
      <c r="N19" s="207"/>
      <c r="O19" s="207"/>
      <c r="P19" s="416"/>
      <c r="Q19" s="416"/>
      <c r="R19" s="133"/>
      <c r="S19" s="133"/>
      <c r="T19" s="133"/>
      <c r="U19" s="133"/>
      <c r="V19" s="133"/>
      <c r="W19" s="133"/>
      <c r="X19" s="133"/>
      <c r="Y19" s="133"/>
      <c r="Z19" s="133"/>
      <c r="AJ19" s="285"/>
      <c r="AK19" s="285"/>
      <c r="AL19" s="285"/>
      <c r="AM19" s="285"/>
      <c r="AN19" s="285"/>
    </row>
    <row r="20" spans="1:40" hidden="1">
      <c r="A20" s="288"/>
      <c r="B20" s="445" t="str">
        <f>B147</f>
        <v>Drug regimen prep (hours)</v>
      </c>
      <c r="C20" s="451"/>
      <c r="D20" s="421" t="e">
        <f t="shared" ref="D20:I20" si="12">D152</f>
        <v>#REF!</v>
      </c>
      <c r="E20" s="421" t="e">
        <f t="shared" si="12"/>
        <v>#REF!</v>
      </c>
      <c r="F20" s="421" t="e">
        <f t="shared" si="12"/>
        <v>#REF!</v>
      </c>
      <c r="G20" s="421" t="e">
        <f t="shared" si="12"/>
        <v>#REF!</v>
      </c>
      <c r="H20" s="421" t="e">
        <f t="shared" si="12"/>
        <v>#REF!</v>
      </c>
      <c r="I20" s="421" t="e">
        <f t="shared" si="12"/>
        <v>#REF!</v>
      </c>
      <c r="L20" s="207"/>
      <c r="M20" s="207"/>
      <c r="N20" s="207"/>
      <c r="O20" s="207"/>
      <c r="P20" s="416"/>
      <c r="Q20" s="416"/>
      <c r="R20" s="133"/>
      <c r="S20" s="133"/>
      <c r="T20" s="133"/>
      <c r="U20" s="133"/>
      <c r="V20" s="133"/>
      <c r="W20" s="133"/>
      <c r="X20" s="133"/>
      <c r="Y20" s="133"/>
      <c r="Z20" s="133"/>
      <c r="AJ20" s="285"/>
      <c r="AK20" s="285"/>
      <c r="AL20" s="285"/>
      <c r="AM20" s="285"/>
      <c r="AN20" s="285"/>
    </row>
    <row r="21" spans="1:40" ht="14.65" customHeight="1">
      <c r="A21" s="331"/>
      <c r="B21" s="447" t="str">
        <f>B156</f>
        <v>Appointments with x specialty</v>
      </c>
      <c r="C21" s="452"/>
      <c r="D21" s="425">
        <f t="shared" ref="D21:I21" si="13">D163</f>
        <v>0</v>
      </c>
      <c r="E21" s="425">
        <f t="shared" si="13"/>
        <v>0</v>
      </c>
      <c r="F21" s="425">
        <f t="shared" si="13"/>
        <v>0</v>
      </c>
      <c r="G21" s="425">
        <f t="shared" si="13"/>
        <v>0</v>
      </c>
      <c r="H21" s="425">
        <f t="shared" si="13"/>
        <v>0</v>
      </c>
      <c r="I21" s="425">
        <f t="shared" si="13"/>
        <v>0</v>
      </c>
      <c r="L21" s="292">
        <f t="shared" ref="L21:Q21" si="14">L163</f>
        <v>0</v>
      </c>
      <c r="M21" s="292">
        <f t="shared" si="14"/>
        <v>0</v>
      </c>
      <c r="N21" s="292">
        <f t="shared" si="14"/>
        <v>0</v>
      </c>
      <c r="O21" s="292">
        <f t="shared" si="14"/>
        <v>0</v>
      </c>
      <c r="P21" s="292">
        <f t="shared" si="14"/>
        <v>0</v>
      </c>
      <c r="Q21" s="292">
        <f t="shared" si="14"/>
        <v>0</v>
      </c>
      <c r="R21" s="133"/>
      <c r="S21" s="133"/>
      <c r="T21" s="133"/>
      <c r="U21" s="133"/>
      <c r="V21" s="133"/>
      <c r="W21" s="133"/>
      <c r="X21" s="133"/>
      <c r="Y21" s="133"/>
      <c r="Z21" s="133"/>
      <c r="AJ21" s="285"/>
      <c r="AK21" s="285"/>
      <c r="AL21" s="285"/>
      <c r="AM21" s="285"/>
      <c r="AN21" s="285"/>
    </row>
    <row r="22" spans="1:40" ht="14.65" customHeight="1">
      <c r="A22" s="289"/>
      <c r="B22" s="448" t="str">
        <f>B167</f>
        <v>Full blood count</v>
      </c>
      <c r="C22" s="453"/>
      <c r="D22" s="426">
        <f t="shared" ref="D22:I22" si="15">D174</f>
        <v>3104.0754000000002</v>
      </c>
      <c r="E22" s="426">
        <f t="shared" si="15"/>
        <v>3937.3107578060617</v>
      </c>
      <c r="F22" s="426">
        <f t="shared" si="15"/>
        <v>4482.1809167284164</v>
      </c>
      <c r="G22" s="426">
        <f t="shared" si="15"/>
        <v>4525.3972421460085</v>
      </c>
      <c r="H22" s="426">
        <f t="shared" si="15"/>
        <v>4569.0302510525744</v>
      </c>
      <c r="I22" s="426">
        <f t="shared" si="15"/>
        <v>4613.08396103009</v>
      </c>
      <c r="L22" s="207"/>
      <c r="M22" s="207"/>
      <c r="N22" s="207"/>
      <c r="O22" s="207"/>
      <c r="P22" s="416"/>
      <c r="Q22" s="416"/>
      <c r="R22" s="133"/>
      <c r="S22" s="133"/>
      <c r="T22" s="133"/>
      <c r="U22" s="133"/>
      <c r="V22" s="133"/>
      <c r="W22" s="133"/>
      <c r="X22" s="133"/>
      <c r="Y22" s="133"/>
      <c r="Z22" s="133"/>
      <c r="AJ22" s="285"/>
      <c r="AK22" s="285"/>
      <c r="AL22" s="285"/>
      <c r="AM22" s="285"/>
      <c r="AN22" s="285"/>
    </row>
    <row r="23" spans="1:40" ht="15" customHeight="1">
      <c r="A23" s="289"/>
      <c r="B23" s="448" t="str">
        <f>B177</f>
        <v>Biochemistry tests</v>
      </c>
      <c r="C23" s="453"/>
      <c r="D23" s="426">
        <f t="shared" ref="D23:I23" si="16">D184</f>
        <v>3104.0754000000002</v>
      </c>
      <c r="E23" s="426">
        <f t="shared" si="16"/>
        <v>3829.5694573912488</v>
      </c>
      <c r="F23" s="426">
        <f t="shared" si="16"/>
        <v>4305.4132196332603</v>
      </c>
      <c r="G23" s="426">
        <f t="shared" si="16"/>
        <v>4346.9251849496186</v>
      </c>
      <c r="H23" s="426">
        <f t="shared" si="16"/>
        <v>4388.8374006430058</v>
      </c>
      <c r="I23" s="426">
        <f t="shared" si="16"/>
        <v>4431.1537258504959</v>
      </c>
      <c r="L23" s="207"/>
      <c r="M23" s="207"/>
      <c r="N23" s="207"/>
      <c r="O23" s="207"/>
      <c r="P23" s="416"/>
      <c r="Q23" s="416"/>
      <c r="R23" s="133"/>
      <c r="S23" s="133"/>
      <c r="T23" s="133"/>
      <c r="U23" s="133"/>
      <c r="V23" s="133"/>
      <c r="W23" s="133"/>
      <c r="X23" s="133"/>
      <c r="Y23" s="133"/>
      <c r="Z23" s="133"/>
      <c r="AJ23" s="285"/>
      <c r="AK23" s="285"/>
      <c r="AL23" s="285"/>
      <c r="AM23" s="285"/>
      <c r="AN23" s="285"/>
    </row>
    <row r="24" spans="1:40" ht="15" customHeight="1">
      <c r="A24" s="290"/>
      <c r="B24" s="449" t="str">
        <f>B188</f>
        <v>Adverse events, various (cases)</v>
      </c>
      <c r="C24" s="432"/>
      <c r="D24" s="427">
        <f t="shared" ref="D24:I24" si="17">D204</f>
        <v>1091.4481500000002</v>
      </c>
      <c r="E24" s="427">
        <f t="shared" si="17"/>
        <v>1591.7501862646811</v>
      </c>
      <c r="F24" s="427">
        <f t="shared" si="17"/>
        <v>1916.1605684505353</v>
      </c>
      <c r="G24" s="427">
        <f t="shared" si="17"/>
        <v>1934.6358197215081</v>
      </c>
      <c r="H24" s="427">
        <f t="shared" si="17"/>
        <v>1953.2892058080831</v>
      </c>
      <c r="I24" s="427">
        <f t="shared" si="17"/>
        <v>1972.1224442518549</v>
      </c>
      <c r="J24" s="133"/>
      <c r="K24" s="133"/>
      <c r="L24" s="292">
        <f t="shared" ref="L24:Q24" si="18">L204</f>
        <v>1385.3246837999998</v>
      </c>
      <c r="M24" s="292">
        <f t="shared" si="18"/>
        <v>2174.4465098924552</v>
      </c>
      <c r="N24" s="292">
        <f t="shared" si="18"/>
        <v>2684.9399588439946</v>
      </c>
      <c r="O24" s="292">
        <f t="shared" si="18"/>
        <v>2710.827632979378</v>
      </c>
      <c r="P24" s="292">
        <f t="shared" si="18"/>
        <v>2736.9649110844625</v>
      </c>
      <c r="Q24" s="292">
        <f t="shared" si="18"/>
        <v>2763.3541997926677</v>
      </c>
      <c r="R24" s="133"/>
      <c r="S24" s="133"/>
      <c r="T24" s="133"/>
      <c r="U24" s="133"/>
      <c r="V24" s="133"/>
      <c r="W24" s="133"/>
      <c r="X24" s="133"/>
      <c r="Y24" s="133"/>
      <c r="Z24" s="133"/>
    </row>
    <row r="25" spans="1:40" ht="14.65" customHeight="1">
      <c r="B25" s="248"/>
      <c r="D25" s="285"/>
      <c r="F25" s="133"/>
      <c r="G25" s="133"/>
      <c r="H25" s="133"/>
      <c r="I25" s="133"/>
      <c r="J25" s="133"/>
      <c r="K25" s="133"/>
      <c r="L25" s="293">
        <f t="shared" ref="L25:P25" si="19">SUM(L10:L24)</f>
        <v>3751.9075487999999</v>
      </c>
      <c r="M25" s="293">
        <f t="shared" si="19"/>
        <v>7242.169485065413</v>
      </c>
      <c r="N25" s="293">
        <f t="shared" si="19"/>
        <v>9491.6160923737116</v>
      </c>
      <c r="O25" s="293">
        <f t="shared" si="19"/>
        <v>9583.1324272579077</v>
      </c>
      <c r="P25" s="293">
        <f t="shared" si="19"/>
        <v>9675.5311450228619</v>
      </c>
      <c r="Q25" s="293">
        <f>SUM(Q10:Q24)</f>
        <v>9768.8207534344183</v>
      </c>
      <c r="R25" s="716"/>
      <c r="S25" s="133"/>
      <c r="T25" s="133"/>
      <c r="U25" s="133"/>
      <c r="V25" s="133"/>
      <c r="W25" s="133"/>
      <c r="X25" s="133"/>
      <c r="Y25" s="133"/>
      <c r="Z25" s="133"/>
    </row>
    <row r="26" spans="1:40" ht="14.65" customHeight="1">
      <c r="B26" s="248"/>
      <c r="D26" s="285"/>
      <c r="F26" s="133"/>
      <c r="G26" s="133"/>
      <c r="H26" s="133"/>
      <c r="I26" s="133"/>
      <c r="J26" s="133"/>
      <c r="K26" s="133"/>
      <c r="L26" s="638"/>
      <c r="M26" s="638"/>
      <c r="N26" s="638"/>
      <c r="O26" s="638"/>
      <c r="P26" s="638"/>
      <c r="Q26" s="182"/>
      <c r="R26" s="133"/>
      <c r="S26" s="133"/>
      <c r="T26" s="133"/>
      <c r="U26" s="133"/>
      <c r="V26" s="133"/>
      <c r="W26" s="133"/>
      <c r="X26" s="133"/>
      <c r="Y26" s="133"/>
      <c r="Z26" s="133"/>
    </row>
    <row r="27" spans="1:40">
      <c r="B27" s="371" t="s">
        <v>744</v>
      </c>
      <c r="C27" s="372"/>
      <c r="D27" s="372"/>
      <c r="E27" s="373"/>
      <c r="F27" s="372"/>
      <c r="G27" s="374"/>
      <c r="H27" s="375"/>
      <c r="I27" s="375"/>
      <c r="J27" s="375"/>
      <c r="K27" s="375"/>
      <c r="L27" s="375"/>
      <c r="M27" s="375"/>
      <c r="N27" s="375"/>
      <c r="O27" s="375"/>
      <c r="P27" s="375"/>
      <c r="Q27" s="376"/>
      <c r="R27" s="133"/>
      <c r="S27" s="133"/>
      <c r="T27" s="133"/>
      <c r="U27" s="133"/>
      <c r="V27" s="133"/>
      <c r="W27" s="133"/>
      <c r="X27" s="133"/>
      <c r="Y27" s="133"/>
      <c r="Z27" s="133"/>
      <c r="AJ27" s="285"/>
      <c r="AK27" s="285"/>
      <c r="AL27" s="285"/>
      <c r="AM27" s="285"/>
      <c r="AN27" s="285"/>
    </row>
    <row r="28" spans="1:40">
      <c r="A28" s="287"/>
      <c r="B28" s="661"/>
      <c r="C28" s="656"/>
      <c r="D28" s="657"/>
      <c r="E28" s="658"/>
      <c r="F28" s="287"/>
      <c r="G28" s="287"/>
      <c r="H28" s="219"/>
      <c r="I28" s="219"/>
      <c r="J28" s="219"/>
      <c r="K28" s="219"/>
      <c r="L28" s="219"/>
      <c r="M28" s="219"/>
      <c r="N28" s="219"/>
      <c r="O28" s="219"/>
      <c r="P28" s="219"/>
      <c r="Q28" s="219"/>
      <c r="R28" s="133"/>
      <c r="S28" s="133"/>
      <c r="T28" s="133"/>
      <c r="U28" s="133"/>
      <c r="V28" s="133"/>
      <c r="W28" s="133"/>
      <c r="X28" s="133"/>
      <c r="Y28" s="133"/>
      <c r="Z28" s="133"/>
      <c r="AJ28" s="285"/>
      <c r="AK28" s="285"/>
      <c r="AL28" s="285"/>
      <c r="AM28" s="285"/>
      <c r="AN28" s="285"/>
    </row>
    <row r="29" spans="1:40" hidden="1">
      <c r="A29" s="287"/>
      <c r="B29" s="635" t="s">
        <v>943</v>
      </c>
      <c r="C29" s="666"/>
      <c r="D29" s="666"/>
      <c r="E29" s="636"/>
      <c r="F29" s="637"/>
      <c r="G29" s="306"/>
      <c r="H29" s="306"/>
      <c r="I29" s="384"/>
      <c r="J29" s="667"/>
      <c r="K29" s="287"/>
      <c r="L29" s="287"/>
      <c r="M29" s="287"/>
      <c r="N29" s="287"/>
      <c r="O29" s="287"/>
      <c r="P29" s="287"/>
      <c r="Q29" s="219"/>
      <c r="R29" s="133"/>
      <c r="S29" s="133"/>
      <c r="V29" s="133"/>
    </row>
    <row r="30" spans="1:40" hidden="1">
      <c r="A30" s="659"/>
      <c r="B30" s="660" t="s">
        <v>920</v>
      </c>
      <c r="C30" s="394"/>
      <c r="D30" s="394"/>
      <c r="E30" s="394"/>
      <c r="F30" s="394"/>
      <c r="G30" s="394"/>
      <c r="H30" s="394"/>
      <c r="I30" s="218"/>
      <c r="J30" s="219"/>
      <c r="K30" s="219"/>
      <c r="L30" s="219"/>
      <c r="M30" s="219"/>
      <c r="N30" s="219"/>
      <c r="O30" s="219"/>
      <c r="P30" s="219"/>
      <c r="Q30" s="219"/>
      <c r="R30" s="133"/>
      <c r="S30" s="133"/>
      <c r="T30" s="133"/>
      <c r="U30" s="133"/>
      <c r="V30" s="133"/>
      <c r="W30" s="133"/>
      <c r="X30" s="133"/>
      <c r="Y30" s="133"/>
      <c r="Z30" s="133"/>
      <c r="AJ30" s="285"/>
      <c r="AK30" s="285"/>
      <c r="AL30" s="285"/>
      <c r="AM30" s="285"/>
      <c r="AN30" s="285"/>
    </row>
    <row r="31" spans="1:40" ht="43.5" hidden="1">
      <c r="A31" s="659"/>
      <c r="B31" s="319" t="s">
        <v>125</v>
      </c>
      <c r="C31" s="165" t="s">
        <v>745</v>
      </c>
      <c r="D31" s="422" t="s">
        <v>736</v>
      </c>
      <c r="E31" s="256" t="s">
        <v>51</v>
      </c>
      <c r="F31" s="256" t="s">
        <v>52</v>
      </c>
      <c r="G31" s="164" t="s">
        <v>737</v>
      </c>
      <c r="H31" s="164" t="s">
        <v>738</v>
      </c>
      <c r="I31" s="256" t="s">
        <v>739</v>
      </c>
      <c r="J31" s="664"/>
      <c r="K31" s="668" t="s">
        <v>976</v>
      </c>
      <c r="L31" s="422" t="s">
        <v>736</v>
      </c>
      <c r="M31" s="256" t="s">
        <v>51</v>
      </c>
      <c r="N31" s="256" t="s">
        <v>52</v>
      </c>
      <c r="O31" s="164" t="s">
        <v>737</v>
      </c>
      <c r="P31" s="164" t="s">
        <v>738</v>
      </c>
      <c r="Q31" s="256" t="s">
        <v>739</v>
      </c>
      <c r="R31" s="133"/>
      <c r="S31" s="133"/>
      <c r="T31" s="133"/>
      <c r="U31" s="133"/>
      <c r="V31" s="133"/>
      <c r="W31" s="133"/>
      <c r="X31" s="133"/>
      <c r="Y31" s="133"/>
      <c r="Z31" s="133"/>
      <c r="AJ31" s="285"/>
      <c r="AK31" s="285"/>
      <c r="AL31" s="285"/>
      <c r="AM31" s="285"/>
      <c r="AN31" s="285"/>
    </row>
    <row r="32" spans="1:40" hidden="1">
      <c r="A32" s="659"/>
      <c r="B32" s="350" t="s">
        <v>974</v>
      </c>
      <c r="C32" s="632">
        <f>'Inputs and eligible population'!G78</f>
        <v>0</v>
      </c>
      <c r="D32" s="128">
        <f>'Financial impact (cash)'!D14*$C$32</f>
        <v>0</v>
      </c>
      <c r="E32" s="128">
        <f>'Financial impact (cash)'!E14*$C$32</f>
        <v>0</v>
      </c>
      <c r="F32" s="128">
        <f>'Financial impact (cash)'!F14*$C$32</f>
        <v>0</v>
      </c>
      <c r="G32" s="128">
        <f>'Financial impact (cash)'!G14*$C$32</f>
        <v>0</v>
      </c>
      <c r="H32" s="128">
        <f>'Financial impact (cash)'!H14*$C$32</f>
        <v>0</v>
      </c>
      <c r="I32" s="128">
        <f>'Financial impact (cash)'!I14*$C$32</f>
        <v>0</v>
      </c>
      <c r="J32" s="664"/>
      <c r="K32" s="670">
        <f>'Unit costs'!$N$69</f>
        <v>309</v>
      </c>
      <c r="L32" s="292">
        <f>(D32*'Unit costs'!$N$69)/1000</f>
        <v>0</v>
      </c>
      <c r="M32" s="292">
        <f>(E32*'Unit costs'!$N$69)/1000</f>
        <v>0</v>
      </c>
      <c r="N32" s="292">
        <f>(F32*'Unit costs'!$N$69)/1000</f>
        <v>0</v>
      </c>
      <c r="O32" s="292">
        <f>(G32*'Unit costs'!$N$69)/1000</f>
        <v>0</v>
      </c>
      <c r="P32" s="292">
        <f>(H32*'Unit costs'!$N$69)/1000</f>
        <v>0</v>
      </c>
      <c r="Q32" s="292">
        <f>(I32*'Unit costs'!$N$69)/1000</f>
        <v>0</v>
      </c>
      <c r="R32" s="133"/>
      <c r="S32" s="133"/>
      <c r="T32" s="133"/>
      <c r="U32" s="133"/>
      <c r="V32" s="133"/>
      <c r="W32" s="133"/>
      <c r="X32" s="133"/>
      <c r="Y32" s="133"/>
      <c r="Z32" s="133"/>
      <c r="AJ32" s="285"/>
      <c r="AK32" s="285"/>
      <c r="AL32" s="285"/>
      <c r="AM32" s="285"/>
      <c r="AN32" s="285"/>
    </row>
    <row r="33" spans="1:40" hidden="1">
      <c r="A33" s="659"/>
      <c r="B33" s="350" t="s">
        <v>937</v>
      </c>
      <c r="C33" s="632">
        <f>'Inputs and eligible population'!H78</f>
        <v>0</v>
      </c>
      <c r="D33" s="128">
        <f>'Financial impact (cash)'!D15*$C$32</f>
        <v>0</v>
      </c>
      <c r="E33" s="128">
        <f>'Financial impact (cash)'!E15*$C$32</f>
        <v>0</v>
      </c>
      <c r="F33" s="128">
        <f>'Financial impact (cash)'!F15*$C$32</f>
        <v>0</v>
      </c>
      <c r="G33" s="128">
        <f>'Financial impact (cash)'!G15*$C$32</f>
        <v>0</v>
      </c>
      <c r="H33" s="128">
        <f>'Financial impact (cash)'!H15*$C$32</f>
        <v>0</v>
      </c>
      <c r="I33" s="128">
        <f>'Financial impact (cash)'!I15*$C$32</f>
        <v>0</v>
      </c>
      <c r="J33" s="664"/>
      <c r="K33" s="670">
        <f>'Unit costs'!$N$69</f>
        <v>309</v>
      </c>
      <c r="L33" s="292">
        <f>(D33*'Unit costs'!$N$69)/1000</f>
        <v>0</v>
      </c>
      <c r="M33" s="292">
        <f>(E33*'Unit costs'!$N$69)/1000</f>
        <v>0</v>
      </c>
      <c r="N33" s="292">
        <f>(F33*'Unit costs'!$N$69)/1000</f>
        <v>0</v>
      </c>
      <c r="O33" s="292">
        <f>(G33*'Unit costs'!$N$69)/1000</f>
        <v>0</v>
      </c>
      <c r="P33" s="292">
        <f>(H33*'Unit costs'!$N$69)/1000</f>
        <v>0</v>
      </c>
      <c r="Q33" s="292">
        <f>(I33*'Unit costs'!$N$69)/1000</f>
        <v>0</v>
      </c>
      <c r="R33" s="133"/>
      <c r="S33" s="133"/>
      <c r="T33" s="133"/>
      <c r="U33" s="133"/>
      <c r="V33" s="133"/>
      <c r="W33" s="133"/>
      <c r="X33" s="133"/>
      <c r="Y33" s="133"/>
      <c r="Z33" s="133"/>
      <c r="AJ33" s="285"/>
      <c r="AK33" s="285"/>
      <c r="AL33" s="285"/>
      <c r="AM33" s="285"/>
      <c r="AN33" s="285"/>
    </row>
    <row r="34" spans="1:40" hidden="1">
      <c r="A34" s="659"/>
      <c r="B34" s="350" t="s">
        <v>975</v>
      </c>
      <c r="C34" s="632">
        <f>'Inputs and eligible population'!I78</f>
        <v>0</v>
      </c>
      <c r="D34" s="128">
        <f>'Financial impact (cash)'!D16*$C$32</f>
        <v>0</v>
      </c>
      <c r="E34" s="128">
        <f>'Financial impact (cash)'!E16*$C$32</f>
        <v>0</v>
      </c>
      <c r="F34" s="128">
        <f>'Financial impact (cash)'!F16*$C$32</f>
        <v>0</v>
      </c>
      <c r="G34" s="128">
        <f>'Financial impact (cash)'!G16*$C$32</f>
        <v>0</v>
      </c>
      <c r="H34" s="128">
        <f>'Financial impact (cash)'!H16*$C$32</f>
        <v>0</v>
      </c>
      <c r="I34" s="128">
        <f>'Financial impact (cash)'!I16*$C$32</f>
        <v>0</v>
      </c>
      <c r="J34" s="664"/>
      <c r="K34" s="670">
        <f>'Unit costs'!$N$69</f>
        <v>309</v>
      </c>
      <c r="L34" s="292">
        <f>(D34*'Unit costs'!$N$69)/1000</f>
        <v>0</v>
      </c>
      <c r="M34" s="292">
        <f>(E34*'Unit costs'!$N$69)/1000</f>
        <v>0</v>
      </c>
      <c r="N34" s="292">
        <f>(F34*'Unit costs'!$N$69)/1000</f>
        <v>0</v>
      </c>
      <c r="O34" s="292">
        <f>(G34*'Unit costs'!$N$69)/1000</f>
        <v>0</v>
      </c>
      <c r="P34" s="292">
        <f>(H34*'Unit costs'!$N$69)/1000</f>
        <v>0</v>
      </c>
      <c r="Q34" s="292">
        <f>(I34*'Unit costs'!$N$69)/1000</f>
        <v>0</v>
      </c>
      <c r="R34" s="133"/>
      <c r="S34" s="133"/>
      <c r="T34" s="133"/>
      <c r="U34" s="133"/>
      <c r="V34" s="133"/>
      <c r="W34" s="133"/>
      <c r="X34" s="133"/>
      <c r="Y34" s="133"/>
      <c r="Z34" s="133"/>
      <c r="AJ34" s="285"/>
      <c r="AK34" s="285"/>
      <c r="AL34" s="285"/>
      <c r="AM34" s="285"/>
      <c r="AN34" s="285"/>
    </row>
    <row r="35" spans="1:40" hidden="1">
      <c r="A35" s="659"/>
      <c r="B35" s="520"/>
      <c r="C35" s="282"/>
      <c r="D35" s="186">
        <f t="shared" ref="D35:I35" si="20">SUM(D32:D34)</f>
        <v>0</v>
      </c>
      <c r="E35" s="186">
        <f t="shared" si="20"/>
        <v>0</v>
      </c>
      <c r="F35" s="186">
        <f t="shared" si="20"/>
        <v>0</v>
      </c>
      <c r="G35" s="186">
        <f t="shared" si="20"/>
        <v>0</v>
      </c>
      <c r="H35" s="186">
        <f t="shared" si="20"/>
        <v>0</v>
      </c>
      <c r="I35" s="186">
        <f t="shared" si="20"/>
        <v>0</v>
      </c>
      <c r="J35" s="664"/>
      <c r="K35" s="219"/>
      <c r="L35" s="293">
        <f t="shared" ref="L35:Q35" si="21">SUM(L32:L34)</f>
        <v>0</v>
      </c>
      <c r="M35" s="293">
        <f t="shared" si="21"/>
        <v>0</v>
      </c>
      <c r="N35" s="293">
        <f t="shared" si="21"/>
        <v>0</v>
      </c>
      <c r="O35" s="293">
        <f t="shared" si="21"/>
        <v>0</v>
      </c>
      <c r="P35" s="293">
        <f t="shared" si="21"/>
        <v>0</v>
      </c>
      <c r="Q35" s="293">
        <f t="shared" si="21"/>
        <v>0</v>
      </c>
      <c r="R35" s="133"/>
      <c r="S35" s="133"/>
      <c r="T35" s="133"/>
      <c r="U35" s="133"/>
      <c r="V35" s="133"/>
      <c r="W35" s="133"/>
      <c r="X35" s="133"/>
      <c r="Y35" s="133"/>
      <c r="Z35" s="133"/>
      <c r="AJ35" s="285"/>
      <c r="AK35" s="285"/>
      <c r="AL35" s="285"/>
      <c r="AM35" s="285"/>
      <c r="AN35" s="285"/>
    </row>
    <row r="36" spans="1:40" hidden="1">
      <c r="A36" s="659"/>
      <c r="B36" s="257"/>
      <c r="C36" s="257"/>
      <c r="D36" s="284" t="s">
        <v>950</v>
      </c>
      <c r="E36" s="186">
        <f>E35-$D$35</f>
        <v>0</v>
      </c>
      <c r="F36" s="186">
        <f>F35-$D$35</f>
        <v>0</v>
      </c>
      <c r="G36" s="186">
        <f>G35-$D$35</f>
        <v>0</v>
      </c>
      <c r="H36" s="186">
        <f>H35-$D$35</f>
        <v>0</v>
      </c>
      <c r="I36" s="186">
        <f>I35-$D$35</f>
        <v>0</v>
      </c>
      <c r="J36" s="664"/>
      <c r="K36" s="219"/>
      <c r="L36" s="219"/>
      <c r="M36" s="293">
        <f>M35-$L$35</f>
        <v>0</v>
      </c>
      <c r="N36" s="293">
        <f>N35-$L$35</f>
        <v>0</v>
      </c>
      <c r="O36" s="293">
        <f>O35-$L$35</f>
        <v>0</v>
      </c>
      <c r="P36" s="293">
        <f>P35-$L$35</f>
        <v>0</v>
      </c>
      <c r="Q36" s="293">
        <f>Q35-$L$35</f>
        <v>0</v>
      </c>
      <c r="R36" s="133"/>
      <c r="S36" s="133"/>
      <c r="T36" s="133"/>
      <c r="U36" s="133"/>
      <c r="V36" s="133"/>
      <c r="W36" s="133"/>
      <c r="X36" s="133"/>
      <c r="Y36" s="133"/>
      <c r="Z36" s="133"/>
      <c r="AJ36" s="285"/>
      <c r="AK36" s="285"/>
      <c r="AL36" s="285"/>
      <c r="AM36" s="285"/>
      <c r="AN36" s="285"/>
    </row>
    <row r="37" spans="1:40" hidden="1">
      <c r="A37" s="287"/>
      <c r="B37" s="661"/>
      <c r="C37" s="656"/>
      <c r="D37" s="657"/>
      <c r="E37" s="658"/>
      <c r="F37" s="287"/>
      <c r="G37" s="287"/>
      <c r="H37" s="287"/>
      <c r="I37" s="306"/>
      <c r="J37" s="219"/>
      <c r="K37" s="219"/>
      <c r="L37" s="219"/>
      <c r="M37" s="219"/>
      <c r="N37" s="219"/>
      <c r="O37" s="219"/>
      <c r="P37" s="219"/>
      <c r="Q37" s="219"/>
      <c r="R37" s="133"/>
      <c r="S37" s="133"/>
      <c r="T37" s="133"/>
      <c r="U37" s="133"/>
      <c r="V37" s="133"/>
      <c r="W37" s="133"/>
      <c r="X37" s="133"/>
      <c r="Y37" s="133"/>
      <c r="Z37" s="133"/>
      <c r="AJ37" s="285"/>
      <c r="AK37" s="285"/>
      <c r="AL37" s="285"/>
      <c r="AM37" s="285"/>
      <c r="AN37" s="285"/>
    </row>
    <row r="38" spans="1:40">
      <c r="A38" s="287"/>
      <c r="B38" s="393" t="s">
        <v>923</v>
      </c>
      <c r="C38" s="394"/>
      <c r="D38" s="394"/>
      <c r="E38" s="394"/>
      <c r="F38" s="394"/>
      <c r="G38" s="394"/>
      <c r="H38" s="394"/>
      <c r="I38" s="218"/>
      <c r="J38" s="219"/>
      <c r="K38" s="219"/>
      <c r="L38" s="219"/>
      <c r="M38" s="219"/>
      <c r="N38" s="219"/>
      <c r="O38" s="219"/>
      <c r="P38" s="219"/>
      <c r="Q38" s="219"/>
      <c r="R38" s="133"/>
      <c r="S38" s="133"/>
      <c r="T38" s="133"/>
      <c r="U38" s="133"/>
      <c r="V38" s="133"/>
      <c r="W38" s="133"/>
      <c r="X38" s="133"/>
      <c r="Y38" s="133"/>
      <c r="Z38" s="133"/>
      <c r="AJ38" s="285"/>
      <c r="AK38" s="285"/>
      <c r="AL38" s="285"/>
      <c r="AM38" s="285"/>
      <c r="AN38" s="285"/>
    </row>
    <row r="39" spans="1:40" ht="43.5">
      <c r="A39" s="287"/>
      <c r="B39" s="278" t="s">
        <v>125</v>
      </c>
      <c r="C39" s="165" t="s">
        <v>745</v>
      </c>
      <c r="D39" s="422" t="s">
        <v>736</v>
      </c>
      <c r="E39" s="256" t="s">
        <v>51</v>
      </c>
      <c r="F39" s="256" t="s">
        <v>52</v>
      </c>
      <c r="G39" s="164" t="s">
        <v>737</v>
      </c>
      <c r="H39" s="164" t="s">
        <v>738</v>
      </c>
      <c r="I39" s="256" t="s">
        <v>739</v>
      </c>
      <c r="J39" s="219"/>
      <c r="K39" s="668" t="s">
        <v>976</v>
      </c>
      <c r="L39" s="422" t="s">
        <v>736</v>
      </c>
      <c r="M39" s="256" t="s">
        <v>51</v>
      </c>
      <c r="N39" s="256" t="s">
        <v>52</v>
      </c>
      <c r="O39" s="164" t="s">
        <v>737</v>
      </c>
      <c r="P39" s="164" t="s">
        <v>738</v>
      </c>
      <c r="Q39" s="256" t="s">
        <v>739</v>
      </c>
      <c r="R39" s="133"/>
      <c r="S39" s="133"/>
      <c r="T39" s="133"/>
      <c r="U39" s="133"/>
      <c r="V39" s="133"/>
      <c r="W39" s="133"/>
      <c r="X39" s="133"/>
      <c r="Y39" s="133"/>
      <c r="Z39" s="133"/>
      <c r="AJ39" s="285"/>
      <c r="AK39" s="285"/>
      <c r="AL39" s="285"/>
      <c r="AM39" s="285"/>
      <c r="AN39" s="285"/>
    </row>
    <row r="40" spans="1:40">
      <c r="A40" s="287"/>
      <c r="B40" s="350" t="s">
        <v>1112</v>
      </c>
      <c r="C40" s="632">
        <f>'Capacity (local prices)'!C40</f>
        <v>11.96</v>
      </c>
      <c r="D40" s="632">
        <f>'Capacity (local prices)'!D40</f>
        <v>0</v>
      </c>
      <c r="E40" s="632">
        <f>'Capacity (local prices)'!E40</f>
        <v>1894.9793425899602</v>
      </c>
      <c r="F40" s="632">
        <f>'Capacity (local prices)'!F40</f>
        <v>3109.0318489089186</v>
      </c>
      <c r="G40" s="632">
        <f>'Capacity (local prices)'!G40</f>
        <v>3139.0085353953218</v>
      </c>
      <c r="H40" s="632">
        <f>'Capacity (local prices)'!H40</f>
        <v>3169.2742513212329</v>
      </c>
      <c r="I40" s="632">
        <f>'Capacity (local prices)'!I40</f>
        <v>3199.8317834528593</v>
      </c>
      <c r="J40" s="219"/>
      <c r="K40" s="670">
        <f>'Unit costs'!$N$73</f>
        <v>140</v>
      </c>
      <c r="L40" s="292">
        <f>(D40*'Unit costs'!$N$73)/1000</f>
        <v>0</v>
      </c>
      <c r="M40" s="292">
        <f>(E40*'Unit costs'!$N$73)/1000</f>
        <v>265.29710796259445</v>
      </c>
      <c r="N40" s="292">
        <f>(F40*'Unit costs'!$N$73)/1000</f>
        <v>435.26445884724859</v>
      </c>
      <c r="O40" s="292">
        <f>(G40*'Unit costs'!$N$73)/1000</f>
        <v>439.46119495534509</v>
      </c>
      <c r="P40" s="292">
        <f>(H40*'Unit costs'!$N$73)/1000</f>
        <v>443.69839518497264</v>
      </c>
      <c r="Q40" s="292">
        <f>(I40*'Unit costs'!$N$73)/1000</f>
        <v>447.97644968340029</v>
      </c>
      <c r="R40" s="133"/>
      <c r="S40" s="133"/>
      <c r="T40" s="133"/>
      <c r="U40" s="133"/>
      <c r="V40" s="133"/>
      <c r="W40" s="133"/>
      <c r="X40" s="133"/>
      <c r="Y40" s="133"/>
      <c r="Z40" s="133"/>
      <c r="AJ40" s="285"/>
      <c r="AK40" s="285"/>
      <c r="AL40" s="285"/>
      <c r="AM40" s="285"/>
      <c r="AN40" s="285"/>
    </row>
    <row r="41" spans="1:40">
      <c r="A41" s="287"/>
      <c r="B41" s="350" t="s">
        <v>1068</v>
      </c>
      <c r="C41" s="632">
        <f>'Inputs and eligible population'!G80</f>
        <v>11.96</v>
      </c>
      <c r="D41" s="128">
        <f>'Financial impact (cash)'!D14*$C$41</f>
        <v>0</v>
      </c>
      <c r="E41" s="128">
        <f>'Financial impact (cash)'!E14*$C$41</f>
        <v>1894.9793425899602</v>
      </c>
      <c r="F41" s="128">
        <f>'Financial impact (cash)'!F14*$C$41</f>
        <v>3109.0318489089186</v>
      </c>
      <c r="G41" s="128">
        <f>'Financial impact (cash)'!G14*$C$41</f>
        <v>3139.0085353953218</v>
      </c>
      <c r="H41" s="128">
        <f>'Financial impact (cash)'!H14*$C$41</f>
        <v>3169.2742513212329</v>
      </c>
      <c r="I41" s="128">
        <f>'Financial impact (cash)'!I14*$C$41</f>
        <v>3199.8317834528593</v>
      </c>
      <c r="J41" s="219"/>
      <c r="K41" s="670">
        <f>'Unit costs'!$N$73</f>
        <v>140</v>
      </c>
      <c r="L41" s="292">
        <f>(D41*'Unit costs'!$N$73)/1000</f>
        <v>0</v>
      </c>
      <c r="M41" s="292">
        <f>(E41*'Unit costs'!$N$73)/1000</f>
        <v>265.29710796259445</v>
      </c>
      <c r="N41" s="292">
        <f>(F41*'Unit costs'!$N$73)/1000</f>
        <v>435.26445884724859</v>
      </c>
      <c r="O41" s="292">
        <f>(G41*'Unit costs'!$N$73)/1000</f>
        <v>439.46119495534509</v>
      </c>
      <c r="P41" s="292">
        <f>(H41*'Unit costs'!$N$73)/1000</f>
        <v>443.69839518497264</v>
      </c>
      <c r="Q41" s="292">
        <f>(I41*'Unit costs'!$N$73)/1000</f>
        <v>447.97644968340029</v>
      </c>
      <c r="R41" s="133"/>
      <c r="S41" s="133"/>
      <c r="T41" s="133"/>
      <c r="U41" s="133"/>
      <c r="V41" s="133"/>
      <c r="W41" s="133"/>
      <c r="X41" s="133"/>
      <c r="Y41" s="133"/>
      <c r="Z41" s="133"/>
      <c r="AJ41" s="285"/>
      <c r="AK41" s="285"/>
      <c r="AL41" s="285"/>
      <c r="AM41" s="285"/>
      <c r="AN41" s="285"/>
    </row>
    <row r="42" spans="1:40">
      <c r="A42" s="287"/>
      <c r="B42" s="350" t="s">
        <v>997</v>
      </c>
      <c r="C42" s="632">
        <f>'Inputs and eligible population'!H80</f>
        <v>11.96</v>
      </c>
      <c r="D42" s="128">
        <f>'Financial impact (cash)'!D15*$C$42</f>
        <v>938.44140000000016</v>
      </c>
      <c r="E42" s="128">
        <f>'Financial impact (cash)'!E15*$C$42</f>
        <v>947.4896712949801</v>
      </c>
      <c r="F42" s="128">
        <f>'Financial impact (cash)'!F15*$C$42</f>
        <v>956.62518427966734</v>
      </c>
      <c r="G42" s="128">
        <f>'Financial impact (cash)'!G15*$C$42</f>
        <v>965.84878012163756</v>
      </c>
      <c r="H42" s="128">
        <f>'Financial impact (cash)'!H15*$C$42</f>
        <v>975.16130809884089</v>
      </c>
      <c r="I42" s="128">
        <f>'Financial impact (cash)'!I15*$C$42</f>
        <v>984.56362567780275</v>
      </c>
      <c r="J42" s="219"/>
      <c r="K42" s="670">
        <f>'Unit costs'!$N$73</f>
        <v>140</v>
      </c>
      <c r="L42" s="292">
        <f>(D42*'Unit costs'!$N$73)/1000</f>
        <v>131.38179600000004</v>
      </c>
      <c r="M42" s="292">
        <f>(E42*'Unit costs'!$N$73)/1000</f>
        <v>132.64855398129723</v>
      </c>
      <c r="N42" s="292">
        <f>(F42*'Unit costs'!$N$73)/1000</f>
        <v>133.92752579915344</v>
      </c>
      <c r="O42" s="292">
        <f>(G42*'Unit costs'!$N$73)/1000</f>
        <v>135.21882921702928</v>
      </c>
      <c r="P42" s="292">
        <f>(H42*'Unit costs'!$N$73)/1000</f>
        <v>136.52258313383774</v>
      </c>
      <c r="Q42" s="292">
        <f>(I42*'Unit costs'!$N$73)/1000</f>
        <v>137.83890759489236</v>
      </c>
      <c r="R42" s="133"/>
      <c r="S42" s="133"/>
      <c r="T42" s="133"/>
      <c r="U42" s="133"/>
      <c r="V42" s="133"/>
      <c r="W42" s="133"/>
      <c r="X42" s="133"/>
      <c r="Y42" s="133"/>
      <c r="Z42" s="133"/>
      <c r="AJ42" s="285"/>
      <c r="AK42" s="285"/>
      <c r="AL42" s="285"/>
      <c r="AM42" s="285"/>
      <c r="AN42" s="285"/>
    </row>
    <row r="43" spans="1:40">
      <c r="A43" s="287"/>
      <c r="B43" s="350" t="s">
        <v>998</v>
      </c>
      <c r="C43" s="632">
        <f>'Inputs and eligible population'!I80</f>
        <v>11.96</v>
      </c>
      <c r="D43" s="128">
        <f>'Financial impact (cash)'!D16*$C$43</f>
        <v>8445.9725999999991</v>
      </c>
      <c r="E43" s="128">
        <f>'Financial impact (cash)'!E16*$C$43</f>
        <v>4737.4483564748998</v>
      </c>
      <c r="F43" s="128">
        <f>'Financial impact (cash)'!F16*$C$43</f>
        <v>2391.5629606991683</v>
      </c>
      <c r="G43" s="128">
        <f>'Financial impact (cash)'!G16*$C$43</f>
        <v>2414.6219503040938</v>
      </c>
      <c r="H43" s="128">
        <f>'Financial impact (cash)'!H16*$C$43</f>
        <v>2437.9032702471018</v>
      </c>
      <c r="I43" s="128">
        <f>'Financial impact (cash)'!I16*$C$43</f>
        <v>2461.4090641945068</v>
      </c>
      <c r="J43" s="219"/>
      <c r="K43" s="670">
        <f>'Unit costs'!$N$73</f>
        <v>140</v>
      </c>
      <c r="L43" s="292">
        <f>(D43*'Unit costs'!$N$73)/1000</f>
        <v>1182.436164</v>
      </c>
      <c r="M43" s="292">
        <f>(E43*'Unit costs'!$N$73)/1000</f>
        <v>663.24276990648593</v>
      </c>
      <c r="N43" s="292">
        <f>(F43*'Unit costs'!$N$73)/1000</f>
        <v>334.81881449788352</v>
      </c>
      <c r="O43" s="292">
        <f>(G43*'Unit costs'!$N$73)/1000</f>
        <v>338.04707304257312</v>
      </c>
      <c r="P43" s="292">
        <f>(H43*'Unit costs'!$N$73)/1000</f>
        <v>341.30645783459426</v>
      </c>
      <c r="Q43" s="292">
        <f>(I43*'Unit costs'!$N$73)/1000</f>
        <v>344.59726898723096</v>
      </c>
      <c r="R43" s="133"/>
      <c r="S43" s="133"/>
      <c r="T43" s="133"/>
      <c r="U43" s="133"/>
      <c r="V43" s="133"/>
      <c r="W43" s="133"/>
      <c r="X43" s="133"/>
      <c r="Y43" s="133"/>
      <c r="Z43" s="133"/>
      <c r="AJ43" s="285"/>
      <c r="AK43" s="285"/>
      <c r="AL43" s="285"/>
      <c r="AM43" s="285"/>
      <c r="AN43" s="285"/>
    </row>
    <row r="44" spans="1:40">
      <c r="A44" s="287"/>
      <c r="B44" s="350" t="s">
        <v>1095</v>
      </c>
      <c r="C44" s="632">
        <f>'Capacity (local prices)'!C44</f>
        <v>11.96</v>
      </c>
      <c r="D44" s="632">
        <f>'Capacity (local prices)'!D44</f>
        <v>0</v>
      </c>
      <c r="E44" s="632">
        <f>'Capacity (local prices)'!E44</f>
        <v>0</v>
      </c>
      <c r="F44" s="632">
        <f>'Capacity (local prices)'!F44</f>
        <v>0</v>
      </c>
      <c r="G44" s="632">
        <f>'Capacity (local prices)'!G44</f>
        <v>0</v>
      </c>
      <c r="H44" s="632">
        <f>'Capacity (local prices)'!H44</f>
        <v>0</v>
      </c>
      <c r="I44" s="632">
        <f>'Capacity (local prices)'!I44</f>
        <v>0</v>
      </c>
      <c r="J44" s="219"/>
      <c r="K44" s="670">
        <f>'Unit costs'!$N$73</f>
        <v>140</v>
      </c>
      <c r="L44" s="292">
        <f>(D44*'Unit costs'!$N$73)/1000</f>
        <v>0</v>
      </c>
      <c r="M44" s="292">
        <f>(E44*'Unit costs'!$N$73)/1000</f>
        <v>0</v>
      </c>
      <c r="N44" s="292">
        <f>(F44*'Unit costs'!$N$73)/1000</f>
        <v>0</v>
      </c>
      <c r="O44" s="292">
        <f>(G44*'Unit costs'!$N$73)/1000</f>
        <v>0</v>
      </c>
      <c r="P44" s="292">
        <f>(H44*'Unit costs'!$N$73)/1000</f>
        <v>0</v>
      </c>
      <c r="Q44" s="292">
        <f>(I44*'Unit costs'!$N$73)/1000</f>
        <v>0</v>
      </c>
      <c r="R44" s="133"/>
      <c r="S44" s="133"/>
      <c r="T44" s="133"/>
      <c r="U44" s="133"/>
      <c r="V44" s="133"/>
      <c r="W44" s="133"/>
      <c r="X44" s="133"/>
      <c r="Y44" s="133"/>
      <c r="Z44" s="133"/>
      <c r="AJ44" s="285"/>
      <c r="AK44" s="285"/>
      <c r="AL44" s="285"/>
      <c r="AM44" s="285"/>
      <c r="AN44" s="285"/>
    </row>
    <row r="45" spans="1:40">
      <c r="A45" s="287"/>
      <c r="B45" s="279"/>
      <c r="C45" s="282"/>
      <c r="D45" s="186">
        <f>SUM(D40:D44)</f>
        <v>9384.4139999999989</v>
      </c>
      <c r="E45" s="186">
        <f t="shared" ref="E45:I45" si="22">SUM(E40:E44)</f>
        <v>9474.8967129498014</v>
      </c>
      <c r="F45" s="186">
        <f t="shared" si="22"/>
        <v>9566.2518427966734</v>
      </c>
      <c r="G45" s="186">
        <f t="shared" si="22"/>
        <v>9658.4878012163754</v>
      </c>
      <c r="H45" s="186">
        <f t="shared" si="22"/>
        <v>9751.6130809884089</v>
      </c>
      <c r="I45" s="186">
        <f t="shared" si="22"/>
        <v>9845.636256778027</v>
      </c>
      <c r="J45" s="219"/>
      <c r="K45" s="219"/>
      <c r="L45" s="293">
        <f>SUM(L40:L44)</f>
        <v>1313.8179600000001</v>
      </c>
      <c r="M45" s="293">
        <f t="shared" ref="M45:Q45" si="23">SUM(M40:M44)</f>
        <v>1326.4855398129721</v>
      </c>
      <c r="N45" s="293">
        <f t="shared" si="23"/>
        <v>1339.2752579915341</v>
      </c>
      <c r="O45" s="293">
        <f t="shared" si="23"/>
        <v>1352.1882921702927</v>
      </c>
      <c r="P45" s="293">
        <f t="shared" si="23"/>
        <v>1365.2258313383772</v>
      </c>
      <c r="Q45" s="293">
        <f t="shared" si="23"/>
        <v>1378.3890759489241</v>
      </c>
      <c r="R45" s="133"/>
      <c r="S45" s="133"/>
      <c r="T45" s="133"/>
      <c r="U45" s="133"/>
      <c r="V45" s="133"/>
      <c r="W45" s="133"/>
      <c r="X45" s="133"/>
      <c r="Y45" s="133"/>
      <c r="Z45" s="133"/>
      <c r="AJ45" s="285"/>
      <c r="AK45" s="285"/>
      <c r="AL45" s="285"/>
      <c r="AM45" s="285"/>
      <c r="AN45" s="285"/>
    </row>
    <row r="46" spans="1:40">
      <c r="A46" s="287"/>
      <c r="B46" s="305"/>
      <c r="C46" s="257"/>
      <c r="D46" s="284" t="s">
        <v>950</v>
      </c>
      <c r="E46" s="186">
        <f>E45-$D$45</f>
        <v>90.48271294980259</v>
      </c>
      <c r="F46" s="186">
        <f>F45-$D$45</f>
        <v>181.83784279667452</v>
      </c>
      <c r="G46" s="186">
        <f>G45-$D$45</f>
        <v>274.07380121637652</v>
      </c>
      <c r="H46" s="186">
        <f>H45-$D$45</f>
        <v>367.19908098841006</v>
      </c>
      <c r="I46" s="186">
        <f>I45-$D$45</f>
        <v>461.22225677802817</v>
      </c>
      <c r="J46" s="219"/>
      <c r="K46" s="219"/>
      <c r="L46" s="219"/>
      <c r="M46" s="293">
        <f>M45-$L$45</f>
        <v>12.667579812972008</v>
      </c>
      <c r="N46" s="293">
        <f>N45-$L$45</f>
        <v>25.457297991534006</v>
      </c>
      <c r="O46" s="293">
        <f>O45-$L$45</f>
        <v>38.370332170292613</v>
      </c>
      <c r="P46" s="293">
        <f>P45-$L$45</f>
        <v>51.407871338377163</v>
      </c>
      <c r="Q46" s="293">
        <f>Q45-$L$45</f>
        <v>64.571115948923989</v>
      </c>
      <c r="R46" s="133"/>
      <c r="S46" s="133"/>
      <c r="T46" s="133"/>
      <c r="U46" s="133"/>
      <c r="V46" s="133"/>
      <c r="W46" s="133"/>
      <c r="X46" s="133"/>
      <c r="Y46" s="133"/>
      <c r="Z46" s="133"/>
      <c r="AJ46" s="285"/>
      <c r="AK46" s="285"/>
      <c r="AL46" s="285"/>
      <c r="AM46" s="285"/>
      <c r="AN46" s="285"/>
    </row>
    <row r="47" spans="1:40">
      <c r="A47" s="287"/>
      <c r="B47" s="287"/>
      <c r="C47" s="287"/>
      <c r="D47" s="662"/>
      <c r="E47" s="663"/>
      <c r="F47" s="663"/>
      <c r="G47" s="663"/>
      <c r="H47" s="663"/>
      <c r="I47" s="663"/>
      <c r="J47" s="219"/>
      <c r="K47" s="219"/>
      <c r="L47" s="219"/>
      <c r="M47" s="219"/>
      <c r="N47" s="219"/>
      <c r="O47" s="219"/>
      <c r="P47" s="219"/>
      <c r="Q47" s="219"/>
      <c r="R47" s="133"/>
      <c r="S47" s="133"/>
      <c r="T47" s="133"/>
      <c r="U47" s="133"/>
      <c r="V47" s="133"/>
      <c r="W47" s="133"/>
      <c r="X47" s="133"/>
      <c r="Y47" s="133"/>
      <c r="Z47" s="133"/>
      <c r="AJ47" s="285"/>
      <c r="AK47" s="285"/>
      <c r="AL47" s="285"/>
      <c r="AM47" s="285"/>
      <c r="AN47" s="285"/>
    </row>
    <row r="48" spans="1:40">
      <c r="A48" s="287"/>
      <c r="B48" s="393" t="s">
        <v>1021</v>
      </c>
      <c r="C48" s="394"/>
      <c r="D48" s="394"/>
      <c r="E48" s="394"/>
      <c r="F48" s="394"/>
      <c r="G48" s="394"/>
      <c r="H48" s="394"/>
      <c r="I48" s="218"/>
      <c r="J48" s="219"/>
      <c r="K48" s="219"/>
      <c r="L48" s="219"/>
      <c r="M48" s="219"/>
      <c r="N48" s="219"/>
      <c r="O48" s="219"/>
      <c r="P48" s="219"/>
      <c r="Q48" s="219"/>
      <c r="R48" s="133"/>
      <c r="S48" s="133"/>
      <c r="T48" s="133"/>
      <c r="U48" s="133"/>
      <c r="V48" s="133"/>
      <c r="W48" s="133"/>
      <c r="X48" s="133"/>
      <c r="Y48" s="133"/>
      <c r="Z48" s="133"/>
      <c r="AJ48" s="285"/>
      <c r="AK48" s="285"/>
      <c r="AL48" s="285"/>
      <c r="AM48" s="285"/>
      <c r="AN48" s="285"/>
    </row>
    <row r="49" spans="1:40" ht="43.5">
      <c r="A49" s="287"/>
      <c r="B49" s="278" t="s">
        <v>125</v>
      </c>
      <c r="C49" s="165" t="s">
        <v>745</v>
      </c>
      <c r="D49" s="422" t="s">
        <v>736</v>
      </c>
      <c r="E49" s="256" t="s">
        <v>51</v>
      </c>
      <c r="F49" s="256" t="s">
        <v>52</v>
      </c>
      <c r="G49" s="164" t="s">
        <v>737</v>
      </c>
      <c r="H49" s="164" t="s">
        <v>738</v>
      </c>
      <c r="I49" s="256" t="s">
        <v>739</v>
      </c>
      <c r="J49" s="219"/>
      <c r="K49" s="219"/>
      <c r="L49" s="219"/>
      <c r="M49" s="219"/>
      <c r="N49" s="219"/>
      <c r="O49" s="219"/>
      <c r="P49" s="219"/>
      <c r="Q49" s="219"/>
      <c r="R49" s="133"/>
      <c r="S49" s="133"/>
      <c r="T49" s="133"/>
      <c r="U49" s="133"/>
      <c r="V49" s="133"/>
      <c r="W49" s="133"/>
      <c r="X49" s="133"/>
      <c r="Y49" s="133"/>
      <c r="Z49" s="133"/>
      <c r="AJ49" s="285"/>
      <c r="AK49" s="285"/>
      <c r="AL49" s="285"/>
      <c r="AM49" s="285"/>
      <c r="AN49" s="285"/>
    </row>
    <row r="50" spans="1:40">
      <c r="A50" s="287"/>
      <c r="B50" s="350" t="s">
        <v>1112</v>
      </c>
      <c r="C50" s="632">
        <f>'Capacity (local prices)'!C50</f>
        <v>5</v>
      </c>
      <c r="D50" s="632">
        <f>'Capacity (local prices)'!D50</f>
        <v>0</v>
      </c>
      <c r="E50" s="632">
        <f>'Capacity (local prices)'!E50</f>
        <v>792.21544422657189</v>
      </c>
      <c r="F50" s="632">
        <f>'Capacity (local prices)'!F50</f>
        <v>1299.7624786408524</v>
      </c>
      <c r="G50" s="632">
        <f>'Capacity (local prices)'!G50</f>
        <v>1312.2945382087464</v>
      </c>
      <c r="H50" s="632">
        <f>'Capacity (local prices)'!H50</f>
        <v>1324.9474294821207</v>
      </c>
      <c r="I50" s="632">
        <f>'Capacity (local prices)'!I50</f>
        <v>1337.7223174970145</v>
      </c>
      <c r="J50" s="219"/>
      <c r="K50" s="219"/>
      <c r="L50" s="219"/>
      <c r="M50" s="219"/>
      <c r="N50" s="219"/>
      <c r="O50" s="219"/>
      <c r="P50" s="219"/>
      <c r="Q50" s="219"/>
      <c r="R50" s="133"/>
      <c r="S50" s="133"/>
      <c r="T50" s="133"/>
      <c r="U50" s="133"/>
      <c r="V50" s="133"/>
      <c r="W50" s="133"/>
      <c r="X50" s="133"/>
      <c r="Y50" s="133"/>
      <c r="Z50" s="133"/>
      <c r="AJ50" s="285"/>
      <c r="AK50" s="285"/>
      <c r="AL50" s="285"/>
      <c r="AM50" s="285"/>
      <c r="AN50" s="285"/>
    </row>
    <row r="51" spans="1:40">
      <c r="A51" s="287"/>
      <c r="B51" s="350" t="s">
        <v>1068</v>
      </c>
      <c r="C51" s="632">
        <f>'Unit costs'!L78</f>
        <v>5</v>
      </c>
      <c r="D51" s="128">
        <f>'Financial impact (cash)'!D14*$C$51</f>
        <v>0</v>
      </c>
      <c r="E51" s="128">
        <f>'Financial impact (cash)'!E14*$C$51</f>
        <v>792.21544422657189</v>
      </c>
      <c r="F51" s="128">
        <f>'Financial impact (cash)'!F14*$C$51</f>
        <v>1299.7624786408524</v>
      </c>
      <c r="G51" s="128">
        <f>'Financial impact (cash)'!G14*$C$51</f>
        <v>1312.2945382087464</v>
      </c>
      <c r="H51" s="128">
        <f>'Financial impact (cash)'!H14*$C$51</f>
        <v>1324.9474294821207</v>
      </c>
      <c r="I51" s="128">
        <f>'Financial impact (cash)'!I14*$C$51</f>
        <v>1337.7223174970145</v>
      </c>
      <c r="J51" s="219"/>
      <c r="K51" s="219"/>
      <c r="L51" s="219"/>
      <c r="M51" s="219"/>
      <c r="N51" s="219"/>
      <c r="O51" s="219"/>
      <c r="P51" s="219"/>
      <c r="Q51" s="219"/>
      <c r="R51" s="133"/>
      <c r="S51" s="133"/>
      <c r="T51" s="133"/>
      <c r="U51" s="133"/>
      <c r="V51" s="133"/>
      <c r="W51" s="133"/>
      <c r="X51" s="133"/>
      <c r="Y51" s="133"/>
      <c r="Z51" s="133"/>
      <c r="AJ51" s="285"/>
      <c r="AK51" s="285"/>
      <c r="AL51" s="285"/>
      <c r="AM51" s="285"/>
      <c r="AN51" s="285"/>
    </row>
    <row r="52" spans="1:40">
      <c r="A52" s="287"/>
      <c r="B52" s="350" t="s">
        <v>997</v>
      </c>
      <c r="C52" s="632">
        <v>0</v>
      </c>
      <c r="D52" s="128">
        <f>'Financial impact (cash)'!D15*$C$52</f>
        <v>0</v>
      </c>
      <c r="E52" s="128">
        <f>'Financial impact (cash)'!E15*$C$52</f>
        <v>0</v>
      </c>
      <c r="F52" s="128">
        <f>'Financial impact (cash)'!F15*$C$52</f>
        <v>0</v>
      </c>
      <c r="G52" s="128">
        <f>'Financial impact (cash)'!G15*$C$52</f>
        <v>0</v>
      </c>
      <c r="H52" s="128">
        <f>'Financial impact (cash)'!H15*$C$52</f>
        <v>0</v>
      </c>
      <c r="I52" s="128">
        <f>'Financial impact (cash)'!I15*$C$52</f>
        <v>0</v>
      </c>
      <c r="J52" s="219"/>
      <c r="K52" s="219"/>
      <c r="L52" s="219"/>
      <c r="M52" s="219"/>
      <c r="N52" s="219"/>
      <c r="O52" s="219"/>
      <c r="P52" s="219"/>
      <c r="Q52" s="219"/>
      <c r="R52" s="133"/>
      <c r="S52" s="133"/>
      <c r="T52" s="133"/>
      <c r="U52" s="133"/>
      <c r="V52" s="133"/>
      <c r="W52" s="133"/>
      <c r="X52" s="133"/>
      <c r="Y52" s="133"/>
      <c r="Z52" s="133"/>
      <c r="AJ52" s="285"/>
      <c r="AK52" s="285"/>
      <c r="AL52" s="285"/>
      <c r="AM52" s="285"/>
      <c r="AN52" s="285"/>
    </row>
    <row r="53" spans="1:40">
      <c r="A53" s="287"/>
      <c r="B53" s="350" t="s">
        <v>998</v>
      </c>
      <c r="C53" s="632">
        <v>0</v>
      </c>
      <c r="D53" s="128">
        <f>'Financial impact (cash)'!D16*$C$53</f>
        <v>0</v>
      </c>
      <c r="E53" s="128">
        <f>'Financial impact (cash)'!E16*$C$53</f>
        <v>0</v>
      </c>
      <c r="F53" s="128">
        <f>'Financial impact (cash)'!F16*$C$53</f>
        <v>0</v>
      </c>
      <c r="G53" s="128">
        <f>'Financial impact (cash)'!G16*$C$53</f>
        <v>0</v>
      </c>
      <c r="H53" s="128">
        <f>'Financial impact (cash)'!H16*$C$53</f>
        <v>0</v>
      </c>
      <c r="I53" s="128">
        <f>'Financial impact (cash)'!I16*$C$53</f>
        <v>0</v>
      </c>
      <c r="J53" s="219"/>
      <c r="K53" s="219"/>
      <c r="L53" s="219"/>
      <c r="M53" s="219"/>
      <c r="N53" s="219"/>
      <c r="O53" s="219"/>
      <c r="P53" s="219"/>
      <c r="Q53" s="219"/>
      <c r="R53" s="133"/>
      <c r="S53" s="133"/>
      <c r="T53" s="133"/>
      <c r="U53" s="133"/>
      <c r="V53" s="133"/>
      <c r="W53" s="133"/>
      <c r="X53" s="133"/>
      <c r="Y53" s="133"/>
      <c r="Z53" s="133"/>
      <c r="AJ53" s="285"/>
      <c r="AK53" s="285"/>
      <c r="AL53" s="285"/>
      <c r="AM53" s="285"/>
      <c r="AN53" s="285"/>
    </row>
    <row r="54" spans="1:40">
      <c r="A54" s="287"/>
      <c r="B54" s="350" t="s">
        <v>1095</v>
      </c>
      <c r="C54" s="632">
        <f>'Capacity (local prices)'!C54</f>
        <v>0</v>
      </c>
      <c r="D54" s="632">
        <f>'Capacity (local prices)'!D54</f>
        <v>0</v>
      </c>
      <c r="E54" s="632">
        <f>'Capacity (local prices)'!E54</f>
        <v>0</v>
      </c>
      <c r="F54" s="632">
        <f>'Capacity (local prices)'!F54</f>
        <v>0</v>
      </c>
      <c r="G54" s="632">
        <f>'Capacity (local prices)'!G54</f>
        <v>0</v>
      </c>
      <c r="H54" s="632">
        <f>'Capacity (local prices)'!H54</f>
        <v>0</v>
      </c>
      <c r="I54" s="632">
        <f>'Capacity (local prices)'!I54</f>
        <v>0</v>
      </c>
      <c r="J54" s="219"/>
      <c r="K54" s="219"/>
      <c r="L54" s="219"/>
      <c r="M54" s="219"/>
      <c r="N54" s="219"/>
      <c r="O54" s="219"/>
      <c r="P54" s="219"/>
      <c r="Q54" s="219"/>
      <c r="R54" s="133"/>
      <c r="S54" s="133"/>
      <c r="T54" s="133"/>
      <c r="U54" s="133"/>
      <c r="V54" s="133"/>
      <c r="W54" s="133"/>
      <c r="X54" s="133"/>
      <c r="Y54" s="133"/>
      <c r="Z54" s="133"/>
      <c r="AJ54" s="285"/>
      <c r="AK54" s="285"/>
      <c r="AL54" s="285"/>
      <c r="AM54" s="285"/>
      <c r="AN54" s="285"/>
    </row>
    <row r="55" spans="1:40">
      <c r="A55" s="287"/>
      <c r="B55" s="279"/>
      <c r="C55" s="282"/>
      <c r="D55" s="186">
        <f>SUM(D50:D54)</f>
        <v>0</v>
      </c>
      <c r="E55" s="186">
        <f t="shared" ref="E55:I55" si="24">SUM(E50:E54)</f>
        <v>1584.4308884531438</v>
      </c>
      <c r="F55" s="186">
        <f t="shared" si="24"/>
        <v>2599.5249572817047</v>
      </c>
      <c r="G55" s="186">
        <f t="shared" si="24"/>
        <v>2624.5890764174928</v>
      </c>
      <c r="H55" s="186">
        <f t="shared" si="24"/>
        <v>2649.8948589642414</v>
      </c>
      <c r="I55" s="186">
        <f t="shared" si="24"/>
        <v>2675.444634994029</v>
      </c>
      <c r="J55" s="219"/>
      <c r="K55" s="219"/>
      <c r="L55" s="219"/>
      <c r="M55" s="219"/>
      <c r="N55" s="219"/>
      <c r="O55" s="219"/>
      <c r="P55" s="219"/>
      <c r="Q55" s="219"/>
      <c r="R55" s="133"/>
      <c r="S55" s="133"/>
      <c r="T55" s="133"/>
      <c r="U55" s="133"/>
      <c r="V55" s="133"/>
      <c r="W55" s="133"/>
      <c r="X55" s="133"/>
      <c r="Y55" s="133"/>
      <c r="Z55" s="133"/>
      <c r="AJ55" s="285"/>
      <c r="AK55" s="285"/>
      <c r="AL55" s="285"/>
      <c r="AM55" s="285"/>
      <c r="AN55" s="285"/>
    </row>
    <row r="56" spans="1:40">
      <c r="A56" s="287"/>
      <c r="B56" s="305"/>
      <c r="C56" s="257"/>
      <c r="D56" s="284" t="s">
        <v>950</v>
      </c>
      <c r="E56" s="186">
        <f>E55-$D$55</f>
        <v>1584.4308884531438</v>
      </c>
      <c r="F56" s="186">
        <f t="shared" ref="F56:I56" si="25">F55-$D$55</f>
        <v>2599.5249572817047</v>
      </c>
      <c r="G56" s="186">
        <f t="shared" si="25"/>
        <v>2624.5890764174928</v>
      </c>
      <c r="H56" s="186">
        <f t="shared" si="25"/>
        <v>2649.8948589642414</v>
      </c>
      <c r="I56" s="186">
        <f t="shared" si="25"/>
        <v>2675.444634994029</v>
      </c>
      <c r="J56" s="219"/>
      <c r="K56" s="219"/>
      <c r="L56" s="219"/>
      <c r="M56" s="219"/>
      <c r="N56" s="219"/>
      <c r="O56" s="219"/>
      <c r="P56" s="219"/>
      <c r="Q56" s="219"/>
      <c r="R56" s="133"/>
      <c r="S56" s="133"/>
      <c r="T56" s="133"/>
      <c r="U56" s="133"/>
      <c r="V56" s="133"/>
      <c r="W56" s="133"/>
      <c r="X56" s="133"/>
      <c r="Y56" s="133"/>
      <c r="Z56" s="133"/>
      <c r="AJ56" s="285"/>
      <c r="AK56" s="285"/>
      <c r="AL56" s="285"/>
      <c r="AM56" s="285"/>
      <c r="AN56" s="285"/>
    </row>
    <row r="57" spans="1:40">
      <c r="A57" s="287"/>
      <c r="B57" s="287"/>
      <c r="C57" s="287"/>
      <c r="D57" s="662"/>
      <c r="E57" s="663"/>
      <c r="F57" s="663"/>
      <c r="G57" s="663"/>
      <c r="H57" s="663"/>
      <c r="I57" s="663"/>
      <c r="J57" s="219"/>
      <c r="K57" s="219"/>
      <c r="L57" s="219"/>
      <c r="M57" s="219"/>
      <c r="N57" s="219"/>
      <c r="O57" s="219"/>
      <c r="P57" s="219"/>
      <c r="Q57" s="219"/>
      <c r="R57" s="133"/>
      <c r="S57" s="133"/>
      <c r="T57" s="133"/>
      <c r="U57" s="133"/>
      <c r="V57" s="133"/>
      <c r="W57" s="133"/>
      <c r="X57" s="133"/>
      <c r="Y57" s="133"/>
      <c r="Z57" s="133"/>
      <c r="AJ57" s="285"/>
      <c r="AK57" s="285"/>
      <c r="AL57" s="285"/>
      <c r="AM57" s="285"/>
      <c r="AN57" s="285"/>
    </row>
    <row r="58" spans="1:40">
      <c r="A58" s="300"/>
      <c r="B58" s="386" t="s">
        <v>124</v>
      </c>
      <c r="C58" s="387"/>
      <c r="D58" s="387"/>
      <c r="E58" s="387"/>
      <c r="F58" s="387"/>
      <c r="G58" s="387"/>
      <c r="H58" s="387"/>
      <c r="I58" s="387"/>
      <c r="J58" s="428"/>
      <c r="K58" s="215"/>
      <c r="L58" s="215"/>
      <c r="M58" s="215"/>
      <c r="N58" s="215"/>
      <c r="O58" s="215"/>
      <c r="P58" s="215"/>
      <c r="Q58" s="215"/>
      <c r="R58" s="133"/>
      <c r="S58" s="133"/>
      <c r="T58" s="133"/>
      <c r="U58" s="133"/>
      <c r="V58" s="133"/>
      <c r="W58" s="133"/>
      <c r="X58" s="133"/>
      <c r="Y58" s="133"/>
      <c r="Z58" s="133"/>
      <c r="AJ58" s="285"/>
      <c r="AK58" s="285"/>
      <c r="AL58" s="285"/>
      <c r="AM58" s="285"/>
      <c r="AN58" s="285"/>
    </row>
    <row r="59" spans="1:40" ht="43.5">
      <c r="A59" s="300"/>
      <c r="B59" s="278" t="s">
        <v>125</v>
      </c>
      <c r="C59" s="700"/>
      <c r="D59" s="422" t="s">
        <v>736</v>
      </c>
      <c r="E59" s="256" t="s">
        <v>51</v>
      </c>
      <c r="F59" s="256" t="s">
        <v>52</v>
      </c>
      <c r="G59" s="164" t="s">
        <v>737</v>
      </c>
      <c r="H59" s="164" t="s">
        <v>738</v>
      </c>
      <c r="I59" s="256" t="s">
        <v>739</v>
      </c>
      <c r="J59" s="428"/>
      <c r="K59" s="668" t="s">
        <v>976</v>
      </c>
      <c r="L59" s="422" t="s">
        <v>736</v>
      </c>
      <c r="M59" s="534" t="s">
        <v>51</v>
      </c>
      <c r="N59" s="534" t="s">
        <v>52</v>
      </c>
      <c r="O59" s="423" t="s">
        <v>737</v>
      </c>
      <c r="P59" s="423" t="s">
        <v>738</v>
      </c>
      <c r="Q59" s="534" t="s">
        <v>739</v>
      </c>
      <c r="R59" s="133"/>
      <c r="S59" s="133"/>
      <c r="T59" s="133"/>
      <c r="U59" s="133"/>
      <c r="V59" s="133"/>
      <c r="W59" s="133"/>
      <c r="X59" s="133"/>
      <c r="Y59" s="133"/>
      <c r="Z59" s="133"/>
      <c r="AJ59" s="285"/>
      <c r="AK59" s="285"/>
      <c r="AL59" s="285"/>
      <c r="AM59" s="285"/>
      <c r="AN59" s="285"/>
    </row>
    <row r="60" spans="1:40">
      <c r="A60" s="300"/>
      <c r="B60" s="633" t="s">
        <v>1114</v>
      </c>
      <c r="C60" s="292">
        <f>'Unit costs'!O50</f>
        <v>555</v>
      </c>
      <c r="D60" s="128">
        <f t="shared" ref="D60:I60" si="26">D72+D69</f>
        <v>0</v>
      </c>
      <c r="E60" s="128">
        <f t="shared" si="26"/>
        <v>316.88617769062876</v>
      </c>
      <c r="F60" s="128">
        <f t="shared" si="26"/>
        <v>519.90499145634089</v>
      </c>
      <c r="G60" s="128">
        <f t="shared" si="26"/>
        <v>524.91781528349861</v>
      </c>
      <c r="H60" s="128">
        <f t="shared" si="26"/>
        <v>529.97897179284826</v>
      </c>
      <c r="I60" s="128">
        <f t="shared" si="26"/>
        <v>535.08892699880585</v>
      </c>
      <c r="J60" s="428"/>
      <c r="K60" s="669">
        <f>'Unit costs'!O50</f>
        <v>555</v>
      </c>
      <c r="L60" s="292">
        <f>(D60*$K$60)/1000</f>
        <v>0</v>
      </c>
      <c r="M60" s="292">
        <f t="shared" ref="M60:Q60" si="27">(E60*$K$60)/1000</f>
        <v>175.87182861829896</v>
      </c>
      <c r="N60" s="292">
        <f t="shared" si="27"/>
        <v>288.54727025826924</v>
      </c>
      <c r="O60" s="292">
        <f t="shared" si="27"/>
        <v>291.3293874823417</v>
      </c>
      <c r="P60" s="292">
        <f t="shared" si="27"/>
        <v>294.13832934503074</v>
      </c>
      <c r="Q60" s="292">
        <f t="shared" si="27"/>
        <v>296.97435448433725</v>
      </c>
      <c r="R60" s="133"/>
      <c r="S60" s="133"/>
      <c r="T60" s="133"/>
      <c r="U60" s="133"/>
      <c r="V60" s="133"/>
      <c r="W60" s="133"/>
      <c r="X60" s="133"/>
      <c r="Y60" s="133"/>
      <c r="Z60" s="133"/>
      <c r="AJ60" s="285"/>
      <c r="AK60" s="285"/>
      <c r="AL60" s="285"/>
      <c r="AM60" s="285"/>
      <c r="AN60" s="285"/>
    </row>
    <row r="61" spans="1:40">
      <c r="A61" s="300"/>
      <c r="B61" s="633" t="s">
        <v>918</v>
      </c>
      <c r="C61" s="292">
        <f>'Unit costs'!O57</f>
        <v>138</v>
      </c>
      <c r="D61" s="128">
        <f t="shared" ref="D61:I61" si="28">D77</f>
        <v>2824.74</v>
      </c>
      <c r="E61" s="128">
        <f t="shared" si="28"/>
        <v>1584.4308884531436</v>
      </c>
      <c r="F61" s="128">
        <f t="shared" si="28"/>
        <v>799.85383300975525</v>
      </c>
      <c r="G61" s="128">
        <f t="shared" si="28"/>
        <v>807.56586966692089</v>
      </c>
      <c r="H61" s="128">
        <f t="shared" si="28"/>
        <v>815.35226429668955</v>
      </c>
      <c r="I61" s="128">
        <f t="shared" si="28"/>
        <v>823.21373384431661</v>
      </c>
      <c r="J61" s="428"/>
      <c r="K61" s="669">
        <f>'Unit costs'!O57</f>
        <v>138</v>
      </c>
      <c r="L61" s="292">
        <f>(D61*$K$61)/1000</f>
        <v>389.81412</v>
      </c>
      <c r="M61" s="292">
        <f t="shared" ref="M61:Q61" si="29">(E61*$K$61)/1000</f>
        <v>218.65146260653381</v>
      </c>
      <c r="N61" s="292">
        <f t="shared" si="29"/>
        <v>110.37982895534623</v>
      </c>
      <c r="O61" s="292">
        <f t="shared" si="29"/>
        <v>111.44409001403508</v>
      </c>
      <c r="P61" s="292">
        <f t="shared" si="29"/>
        <v>112.51861247294316</v>
      </c>
      <c r="Q61" s="292">
        <f t="shared" si="29"/>
        <v>113.60349527051569</v>
      </c>
      <c r="R61" s="133"/>
      <c r="S61" s="133"/>
      <c r="T61" s="133"/>
      <c r="U61" s="133"/>
      <c r="V61" s="133"/>
      <c r="W61" s="133"/>
      <c r="X61" s="133"/>
      <c r="Y61" s="133"/>
      <c r="Z61" s="133"/>
      <c r="AJ61" s="285"/>
      <c r="AK61" s="285"/>
      <c r="AL61" s="285"/>
      <c r="AM61" s="285"/>
      <c r="AN61" s="285"/>
    </row>
    <row r="62" spans="1:40">
      <c r="A62" s="300"/>
      <c r="B62" s="633" t="s">
        <v>1129</v>
      </c>
      <c r="C62" s="292">
        <f>'Unit costs'!O54</f>
        <v>172</v>
      </c>
      <c r="D62" s="128">
        <f t="shared" ref="D62:I62" si="30">D75+D78+D70+D73</f>
        <v>549.255</v>
      </c>
      <c r="E62" s="128">
        <f t="shared" si="30"/>
        <v>2772.7540547930016</v>
      </c>
      <c r="F62" s="128">
        <f t="shared" si="30"/>
        <v>4199.2326233012145</v>
      </c>
      <c r="G62" s="128">
        <f t="shared" si="30"/>
        <v>4239.7208157513351</v>
      </c>
      <c r="H62" s="128">
        <f t="shared" si="30"/>
        <v>4280.5993875576205</v>
      </c>
      <c r="I62" s="128">
        <f t="shared" si="30"/>
        <v>4321.8721026826624</v>
      </c>
      <c r="J62" s="428"/>
      <c r="K62" s="669">
        <f>'Unit costs'!O54</f>
        <v>172</v>
      </c>
      <c r="L62" s="292">
        <f>(D62*$K$62)/1000</f>
        <v>94.471860000000007</v>
      </c>
      <c r="M62" s="292">
        <f t="shared" ref="M62:Q62" si="31">(E62*$K$62)/1000</f>
        <v>476.91369742439628</v>
      </c>
      <c r="N62" s="292">
        <f t="shared" si="31"/>
        <v>722.26801120780885</v>
      </c>
      <c r="O62" s="292">
        <f t="shared" si="31"/>
        <v>729.23198030922958</v>
      </c>
      <c r="P62" s="292">
        <f t="shared" si="31"/>
        <v>736.26309465991073</v>
      </c>
      <c r="Q62" s="292">
        <f t="shared" si="31"/>
        <v>743.36200166141793</v>
      </c>
      <c r="R62" s="133"/>
      <c r="S62" s="133"/>
      <c r="T62" s="133"/>
      <c r="U62" s="133"/>
      <c r="V62" s="133"/>
      <c r="W62" s="133"/>
      <c r="X62" s="133"/>
      <c r="Y62" s="133"/>
      <c r="Z62" s="133"/>
      <c r="AJ62" s="285"/>
      <c r="AK62" s="285"/>
      <c r="AL62" s="285"/>
      <c r="AM62" s="285"/>
      <c r="AN62" s="285"/>
    </row>
    <row r="63" spans="1:40">
      <c r="A63" s="300"/>
      <c r="B63" s="633" t="s">
        <v>916</v>
      </c>
      <c r="C63" s="292">
        <f>'Unit costs'!O55</f>
        <v>345</v>
      </c>
      <c r="D63" s="128">
        <f t="shared" ref="D63:I63" si="32">D74+D76+D79+D71</f>
        <v>1647.7650000000001</v>
      </c>
      <c r="E63" s="128">
        <f t="shared" si="32"/>
        <v>8318.2621643790044</v>
      </c>
      <c r="F63" s="128">
        <f t="shared" si="32"/>
        <v>12597.697869903644</v>
      </c>
      <c r="G63" s="128">
        <f t="shared" si="32"/>
        <v>12719.162447254006</v>
      </c>
      <c r="H63" s="128">
        <f t="shared" si="32"/>
        <v>12841.798162672862</v>
      </c>
      <c r="I63" s="128">
        <f t="shared" si="32"/>
        <v>12965.616308047989</v>
      </c>
      <c r="J63" s="428"/>
      <c r="K63" s="669">
        <f>'Unit costs'!O52</f>
        <v>345</v>
      </c>
      <c r="L63" s="292">
        <f>(D63*$K$63)/1000</f>
        <v>568.478925</v>
      </c>
      <c r="M63" s="292">
        <f t="shared" ref="M63:P63" si="33">(E63*$K$63)/1000</f>
        <v>2869.8004467107567</v>
      </c>
      <c r="N63" s="292">
        <f t="shared" si="33"/>
        <v>4346.2057651167579</v>
      </c>
      <c r="O63" s="292">
        <f t="shared" si="33"/>
        <v>4388.1110443026319</v>
      </c>
      <c r="P63" s="292">
        <f t="shared" si="33"/>
        <v>4430.4203661221372</v>
      </c>
      <c r="Q63" s="292">
        <f>(I63*$K$63)/1000</f>
        <v>4473.1376262765561</v>
      </c>
      <c r="R63" s="133"/>
      <c r="S63" s="133"/>
      <c r="T63" s="133"/>
      <c r="U63" s="133"/>
      <c r="V63" s="133"/>
      <c r="W63" s="133"/>
      <c r="X63" s="133"/>
      <c r="Y63" s="133"/>
      <c r="Z63" s="133"/>
      <c r="AJ63" s="285"/>
      <c r="AK63" s="285"/>
      <c r="AL63" s="285"/>
      <c r="AM63" s="285"/>
      <c r="AN63" s="285"/>
    </row>
    <row r="64" spans="1:40">
      <c r="A64" s="300"/>
      <c r="B64" s="279"/>
      <c r="C64" s="322"/>
      <c r="D64" s="186">
        <f t="shared" ref="D64:I64" si="34">SUM(D60:D63)</f>
        <v>5021.76</v>
      </c>
      <c r="E64" s="186">
        <f t="shared" si="34"/>
        <v>12992.333285315777</v>
      </c>
      <c r="F64" s="186">
        <f t="shared" si="34"/>
        <v>18116.689317670956</v>
      </c>
      <c r="G64" s="186">
        <f t="shared" si="34"/>
        <v>18291.366947955761</v>
      </c>
      <c r="H64" s="186">
        <f t="shared" si="34"/>
        <v>18467.728786320018</v>
      </c>
      <c r="I64" s="186">
        <f t="shared" si="34"/>
        <v>18645.791071573774</v>
      </c>
      <c r="J64" s="428"/>
      <c r="K64" s="215"/>
      <c r="L64" s="293">
        <f t="shared" ref="L64:Q64" si="35">SUM(L60:L63)</f>
        <v>1052.764905</v>
      </c>
      <c r="M64" s="293">
        <f t="shared" si="35"/>
        <v>3741.2374353599857</v>
      </c>
      <c r="N64" s="293">
        <f t="shared" si="35"/>
        <v>5467.4008755381819</v>
      </c>
      <c r="O64" s="293">
        <f t="shared" si="35"/>
        <v>5520.1165021082379</v>
      </c>
      <c r="P64" s="293">
        <f t="shared" si="35"/>
        <v>5573.3404026000217</v>
      </c>
      <c r="Q64" s="293">
        <f t="shared" si="35"/>
        <v>5627.0774776928265</v>
      </c>
      <c r="R64" s="133"/>
      <c r="S64" s="133"/>
      <c r="T64" s="133"/>
      <c r="U64" s="133"/>
      <c r="V64" s="133"/>
      <c r="W64" s="133"/>
      <c r="X64" s="133"/>
      <c r="Y64" s="133"/>
      <c r="Z64" s="133"/>
      <c r="AJ64" s="285"/>
      <c r="AK64" s="285"/>
      <c r="AL64" s="285"/>
      <c r="AM64" s="285"/>
      <c r="AN64" s="285"/>
    </row>
    <row r="65" spans="1:40">
      <c r="A65" s="300"/>
      <c r="B65" s="257"/>
      <c r="C65" s="257"/>
      <c r="D65" s="284" t="s">
        <v>746</v>
      </c>
      <c r="E65" s="186">
        <f>E64-D64</f>
        <v>7970.573285315777</v>
      </c>
      <c r="F65" s="186">
        <f>F64-$D$64</f>
        <v>13094.929317670956</v>
      </c>
      <c r="G65" s="186">
        <f>G64-$D$64</f>
        <v>13269.606947955761</v>
      </c>
      <c r="H65" s="186">
        <f>H64-$D$64</f>
        <v>13445.968786320018</v>
      </c>
      <c r="I65" s="186">
        <f>I64-$D$64</f>
        <v>13624.031071573774</v>
      </c>
      <c r="J65" s="428"/>
      <c r="K65" s="215"/>
      <c r="L65" s="540"/>
      <c r="M65" s="293">
        <f>M64-$L$64</f>
        <v>2688.4725303599857</v>
      </c>
      <c r="N65" s="293">
        <f>N64-$L$64</f>
        <v>4414.6359705381819</v>
      </c>
      <c r="O65" s="293">
        <f>O64-$L$64</f>
        <v>4467.3515971082379</v>
      </c>
      <c r="P65" s="293">
        <f>P64-$L$64</f>
        <v>4520.5754976000217</v>
      </c>
      <c r="Q65" s="293">
        <f>Q64-$L$64</f>
        <v>4574.3125726928265</v>
      </c>
      <c r="R65" s="133"/>
      <c r="S65" s="133"/>
      <c r="T65" s="133"/>
      <c r="U65" s="133"/>
      <c r="V65" s="133"/>
      <c r="W65" s="133"/>
      <c r="X65" s="133"/>
      <c r="Y65" s="133"/>
      <c r="Z65" s="133"/>
      <c r="AJ65" s="285"/>
      <c r="AK65" s="285"/>
      <c r="AL65" s="285"/>
      <c r="AM65" s="285"/>
      <c r="AN65" s="285"/>
    </row>
    <row r="66" spans="1:40">
      <c r="A66" s="295"/>
      <c r="B66" s="321"/>
      <c r="C66" s="298"/>
      <c r="D66" s="297"/>
      <c r="E66" s="298"/>
      <c r="F66" s="299"/>
      <c r="G66" s="295"/>
      <c r="H66" s="295"/>
      <c r="I66" s="296"/>
      <c r="J66" s="215"/>
      <c r="K66" s="215"/>
      <c r="L66" s="215"/>
      <c r="M66" s="215"/>
      <c r="N66" s="215"/>
      <c r="O66" s="215"/>
      <c r="P66" s="215"/>
      <c r="Q66" s="215"/>
      <c r="R66" s="133"/>
      <c r="S66" s="133"/>
      <c r="T66" s="133"/>
      <c r="U66" s="133"/>
      <c r="V66" s="133"/>
      <c r="W66" s="133"/>
      <c r="X66" s="133"/>
      <c r="Y66" s="133"/>
      <c r="Z66" s="133"/>
      <c r="AJ66" s="285"/>
      <c r="AK66" s="285"/>
      <c r="AL66" s="285"/>
      <c r="AM66" s="285"/>
      <c r="AN66" s="285"/>
    </row>
    <row r="67" spans="1:40">
      <c r="A67" s="300"/>
      <c r="B67" s="386" t="s">
        <v>747</v>
      </c>
      <c r="C67" s="387"/>
      <c r="D67" s="387"/>
      <c r="E67" s="387"/>
      <c r="F67" s="387"/>
      <c r="G67" s="387"/>
      <c r="H67" s="387"/>
      <c r="I67" s="387"/>
      <c r="J67" s="428"/>
      <c r="K67" s="215"/>
      <c r="L67" s="215"/>
      <c r="M67" s="215"/>
      <c r="N67" s="215"/>
      <c r="O67" s="215"/>
      <c r="P67" s="215"/>
      <c r="Q67" s="215"/>
      <c r="R67" s="133"/>
      <c r="S67" s="133"/>
      <c r="T67" s="133"/>
      <c r="U67" s="133"/>
      <c r="V67" s="133"/>
      <c r="W67" s="133"/>
      <c r="X67" s="133"/>
      <c r="Y67" s="133"/>
      <c r="Z67" s="133"/>
      <c r="AJ67" s="285"/>
      <c r="AK67" s="285"/>
      <c r="AL67" s="285"/>
      <c r="AM67" s="285"/>
      <c r="AN67" s="285"/>
    </row>
    <row r="68" spans="1:40" ht="43.5">
      <c r="A68" s="300"/>
      <c r="B68" s="319" t="s">
        <v>125</v>
      </c>
      <c r="C68" s="165" t="s">
        <v>748</v>
      </c>
      <c r="D68" s="422" t="s">
        <v>736</v>
      </c>
      <c r="E68" s="256" t="s">
        <v>51</v>
      </c>
      <c r="F68" s="256" t="s">
        <v>52</v>
      </c>
      <c r="G68" s="164" t="s">
        <v>737</v>
      </c>
      <c r="H68" s="164" t="s">
        <v>738</v>
      </c>
      <c r="I68" s="256" t="s">
        <v>739</v>
      </c>
      <c r="J68" s="428"/>
      <c r="K68" s="215"/>
      <c r="L68" s="215"/>
      <c r="M68" s="215"/>
      <c r="N68" s="215"/>
      <c r="O68" s="215"/>
      <c r="P68" s="215"/>
      <c r="Q68" s="215"/>
      <c r="R68" s="133"/>
      <c r="V68" s="133"/>
      <c r="AJ68" s="285"/>
      <c r="AK68" s="285"/>
      <c r="AL68" s="285"/>
      <c r="AM68" s="285"/>
      <c r="AN68" s="285"/>
    </row>
    <row r="69" spans="1:40">
      <c r="A69" s="300"/>
      <c r="B69" s="350" t="s">
        <v>1125</v>
      </c>
      <c r="C69" s="806">
        <f>'Unit costs'!D46</f>
        <v>1</v>
      </c>
      <c r="D69" s="128">
        <f>D$7*'Inputs and eligible population'!E64*$C$69</f>
        <v>0</v>
      </c>
      <c r="E69" s="128">
        <f>E$7*'Inputs and eligible population'!F64*$C$69</f>
        <v>158.44308884531438</v>
      </c>
      <c r="F69" s="128">
        <f>F$7*'Inputs and eligible population'!G64*$C$69</f>
        <v>259.95249572817045</v>
      </c>
      <c r="G69" s="128">
        <f>G$7*'Inputs and eligible population'!H64*$C$69</f>
        <v>262.45890764174931</v>
      </c>
      <c r="H69" s="128">
        <f>H$7*'Inputs and eligible population'!I64*$C$69</f>
        <v>264.98948589642413</v>
      </c>
      <c r="I69" s="128">
        <f>I$7*'Inputs and eligible population'!J64*$C$69</f>
        <v>267.54446349940292</v>
      </c>
      <c r="J69" s="428"/>
      <c r="K69" s="215"/>
      <c r="L69" s="215"/>
      <c r="M69" s="215"/>
      <c r="N69" s="215"/>
      <c r="O69" s="215"/>
      <c r="P69" s="215"/>
      <c r="Q69" s="215"/>
      <c r="R69" s="133"/>
      <c r="V69" s="133"/>
      <c r="AJ69" s="285"/>
      <c r="AK69" s="285"/>
      <c r="AL69" s="285"/>
      <c r="AM69" s="285"/>
      <c r="AN69" s="285"/>
    </row>
    <row r="70" spans="1:40">
      <c r="A70" s="300"/>
      <c r="B70" s="350" t="s">
        <v>1126</v>
      </c>
      <c r="C70" s="806">
        <f>'Unit costs'!D47</f>
        <v>8.5</v>
      </c>
      <c r="D70" s="128">
        <f>D$7*'Inputs and eligible population'!E64*$C$70</f>
        <v>0</v>
      </c>
      <c r="E70" s="128">
        <f>E$7*'Inputs and eligible population'!F64*$C$70</f>
        <v>1346.7662551851722</v>
      </c>
      <c r="F70" s="128">
        <f>F$7*'Inputs and eligible population'!G64*$C$70</f>
        <v>2209.5962136894486</v>
      </c>
      <c r="G70" s="128">
        <f>G$7*'Inputs and eligible population'!H64*$C$70</f>
        <v>2230.9007149548693</v>
      </c>
      <c r="H70" s="128">
        <f>H$7*'Inputs and eligible population'!I64*$C$70</f>
        <v>2252.4106301196052</v>
      </c>
      <c r="I70" s="128">
        <f>I$7*'Inputs and eligible population'!J64*$C$70</f>
        <v>2274.1279397449248</v>
      </c>
      <c r="J70" s="428"/>
      <c r="K70" s="215"/>
      <c r="L70" s="215"/>
      <c r="M70" s="215"/>
      <c r="N70" s="215"/>
      <c r="O70" s="215"/>
      <c r="P70" s="215"/>
      <c r="Q70" s="215"/>
      <c r="R70" s="133"/>
      <c r="V70" s="133"/>
      <c r="AJ70" s="285"/>
      <c r="AK70" s="285"/>
      <c r="AL70" s="285"/>
      <c r="AM70" s="285"/>
      <c r="AN70" s="285"/>
    </row>
    <row r="71" spans="1:40">
      <c r="A71" s="300"/>
      <c r="B71" s="350" t="s">
        <v>1191</v>
      </c>
      <c r="C71" s="806">
        <f>'Unit costs'!D48</f>
        <v>25.5</v>
      </c>
      <c r="D71" s="128">
        <f>D$7*'Inputs and eligible population'!E64*$C$71</f>
        <v>0</v>
      </c>
      <c r="E71" s="128">
        <f>E$7*'Inputs and eligible population'!F64*$C$71</f>
        <v>4040.2987655555166</v>
      </c>
      <c r="F71" s="128">
        <f>F$7*'Inputs and eligible population'!G64*$C$71</f>
        <v>6628.7886410683468</v>
      </c>
      <c r="G71" s="128">
        <f>G$7*'Inputs and eligible population'!H64*$C$71</f>
        <v>6692.7021448646074</v>
      </c>
      <c r="H71" s="128">
        <f>H$7*'Inputs and eligible population'!I64*$C$71</f>
        <v>6757.2318903588157</v>
      </c>
      <c r="I71" s="128">
        <f>I$7*'Inputs and eligible population'!J64*$C$71</f>
        <v>6822.3838192347748</v>
      </c>
      <c r="J71" s="428"/>
      <c r="K71" s="215"/>
      <c r="L71" s="215"/>
      <c r="M71" s="215"/>
      <c r="N71" s="215"/>
      <c r="O71" s="215"/>
      <c r="P71" s="215"/>
      <c r="Q71" s="215"/>
      <c r="R71" s="133"/>
      <c r="V71" s="133"/>
      <c r="AJ71" s="285"/>
      <c r="AK71" s="285"/>
      <c r="AL71" s="285"/>
      <c r="AM71" s="285"/>
      <c r="AN71" s="285"/>
    </row>
    <row r="72" spans="1:40">
      <c r="A72" s="300"/>
      <c r="B72" s="350" t="s">
        <v>1093</v>
      </c>
      <c r="C72" s="806">
        <f>'Unit costs'!K16</f>
        <v>1</v>
      </c>
      <c r="D72" s="128">
        <f>D$7*'Inputs and eligible population'!E65*$C$72</f>
        <v>0</v>
      </c>
      <c r="E72" s="128">
        <f>E$7*'Inputs and eligible population'!F65*$C$72</f>
        <v>158.44308884531438</v>
      </c>
      <c r="F72" s="128">
        <f>F$7*'Inputs and eligible population'!G65*$C$72</f>
        <v>259.95249572817045</v>
      </c>
      <c r="G72" s="128">
        <f>G$7*'Inputs and eligible population'!H65*$C$72</f>
        <v>262.45890764174931</v>
      </c>
      <c r="H72" s="128">
        <f>H$7*'Inputs and eligible population'!I65*$C$72</f>
        <v>264.98948589642413</v>
      </c>
      <c r="I72" s="128">
        <f>I$7*'Inputs and eligible population'!J65*$C$72</f>
        <v>267.54446349940292</v>
      </c>
      <c r="J72" s="428"/>
      <c r="K72" s="215"/>
      <c r="L72" s="215"/>
      <c r="M72" s="215"/>
      <c r="N72" s="215"/>
      <c r="O72" s="215"/>
      <c r="P72" s="215"/>
      <c r="Q72" s="215"/>
      <c r="R72" s="133"/>
      <c r="V72" s="133"/>
      <c r="AJ72" s="285"/>
      <c r="AK72" s="285"/>
      <c r="AL72" s="285"/>
      <c r="AM72" s="285"/>
      <c r="AN72" s="285"/>
    </row>
    <row r="73" spans="1:40">
      <c r="A73" s="300"/>
      <c r="B73" s="350" t="s">
        <v>1190</v>
      </c>
      <c r="C73" s="806">
        <f>'Unit costs'!K18</f>
        <v>5.5</v>
      </c>
      <c r="D73" s="128">
        <f>D$7*'Inputs and eligible population'!E65*$C$73</f>
        <v>0</v>
      </c>
      <c r="E73" s="128">
        <f>E$7*'Inputs and eligible population'!F65*$C$73</f>
        <v>871.43698864922908</v>
      </c>
      <c r="F73" s="128">
        <f>F$7*'Inputs and eligible population'!G65*$C$73</f>
        <v>1429.7387265049374</v>
      </c>
      <c r="G73" s="128">
        <f>G$7*'Inputs and eligible population'!H65*$C$73</f>
        <v>1443.5239920296212</v>
      </c>
      <c r="H73" s="128">
        <f>H$7*'Inputs and eligible population'!I65*$C$73</f>
        <v>1457.4421724303327</v>
      </c>
      <c r="I73" s="128">
        <f>I$7*'Inputs and eligible population'!J65*$C$73</f>
        <v>1471.4945492467161</v>
      </c>
      <c r="J73" s="428"/>
      <c r="K73" s="215"/>
      <c r="L73" s="215"/>
      <c r="M73" s="215"/>
      <c r="N73" s="215"/>
      <c r="O73" s="215"/>
      <c r="P73" s="215"/>
      <c r="Q73" s="215"/>
      <c r="R73" s="133"/>
      <c r="V73" s="133"/>
      <c r="AJ73" s="285"/>
      <c r="AK73" s="285"/>
      <c r="AL73" s="285"/>
      <c r="AM73" s="285"/>
      <c r="AN73" s="285"/>
    </row>
    <row r="74" spans="1:40">
      <c r="A74" s="300"/>
      <c r="B74" s="350" t="s">
        <v>1094</v>
      </c>
      <c r="C74" s="806">
        <f>'Unit costs'!K18*'Unit costs'!J18-'Capacity (local prices)'!C73</f>
        <v>16.5</v>
      </c>
      <c r="D74" s="128">
        <f>D$7*'Inputs and eligible population'!E65*$C$74</f>
        <v>0</v>
      </c>
      <c r="E74" s="128">
        <f>E$7*'Inputs and eligible population'!F65*$C$74</f>
        <v>2614.3109659476872</v>
      </c>
      <c r="F74" s="128">
        <f>F$7*'Inputs and eligible population'!G65*$C$74</f>
        <v>4289.2161795148122</v>
      </c>
      <c r="G74" s="128">
        <f>G$7*'Inputs and eligible population'!H65*$C$74</f>
        <v>4330.5719760888633</v>
      </c>
      <c r="H74" s="128">
        <f>H$7*'Inputs and eligible population'!I65*$C$74</f>
        <v>4372.3265172909978</v>
      </c>
      <c r="I74" s="128">
        <f>I$7*'Inputs and eligible population'!J65*$C$74</f>
        <v>4414.4836477401486</v>
      </c>
      <c r="J74" s="428"/>
      <c r="K74" s="215"/>
      <c r="L74" s="215"/>
      <c r="M74" s="215"/>
      <c r="N74" s="215"/>
      <c r="O74" s="215"/>
      <c r="P74" s="215"/>
      <c r="Q74" s="215"/>
      <c r="R74" s="133"/>
      <c r="V74" s="133"/>
      <c r="AJ74" s="285"/>
      <c r="AK74" s="285"/>
      <c r="AL74" s="285"/>
      <c r="AM74" s="285"/>
      <c r="AN74" s="285"/>
    </row>
    <row r="75" spans="1:40">
      <c r="A75" s="300"/>
      <c r="B75" s="349" t="s">
        <v>1010</v>
      </c>
      <c r="C75" s="806">
        <f>'Unit costs'!K24</f>
        <v>7</v>
      </c>
      <c r="D75" s="128">
        <f>D$7*'Inputs and eligible population'!$E$66*$C$75</f>
        <v>549.255</v>
      </c>
      <c r="E75" s="128">
        <f>E$7*'Inputs and eligible population'!$E$66*$C$75</f>
        <v>554.55081095860032</v>
      </c>
      <c r="F75" s="128">
        <f>F$7*'Inputs and eligible population'!$E$66*$C$75</f>
        <v>559.89768310682871</v>
      </c>
      <c r="G75" s="128">
        <f>G$7*'Inputs and eligible population'!$E$66*$C$75</f>
        <v>565.29610876684467</v>
      </c>
      <c r="H75" s="128">
        <f>H$7*'Inputs and eligible population'!$E$66*$C$75</f>
        <v>570.74658500768282</v>
      </c>
      <c r="I75" s="128">
        <f>I$7*'Inputs and eligible population'!$E$66*$C$75</f>
        <v>576.24961369102164</v>
      </c>
      <c r="J75" s="428"/>
      <c r="K75" s="215"/>
      <c r="L75" s="215"/>
      <c r="M75" s="215"/>
      <c r="N75" s="215"/>
      <c r="O75" s="215"/>
      <c r="P75" s="215"/>
      <c r="Q75" s="215"/>
      <c r="R75" s="133"/>
      <c r="V75" s="133"/>
      <c r="AJ75" s="285"/>
      <c r="AK75" s="285"/>
      <c r="AL75" s="285"/>
      <c r="AM75" s="285"/>
      <c r="AN75" s="285"/>
    </row>
    <row r="76" spans="1:40">
      <c r="A76" s="300"/>
      <c r="B76" s="634" t="s">
        <v>1011</v>
      </c>
      <c r="C76" s="806">
        <f>'Unit costs'!K25*'Unit costs'!J25-'Capacity (local prices)'!C75</f>
        <v>21</v>
      </c>
      <c r="D76" s="128">
        <f>D$7*'Inputs and eligible population'!E66*$C$76</f>
        <v>1647.7650000000001</v>
      </c>
      <c r="E76" s="128">
        <f>E$7*'Inputs and eligible population'!F66*$C$76</f>
        <v>1663.652432875801</v>
      </c>
      <c r="F76" s="128">
        <f>F$7*'Inputs and eligible population'!G66*$C$76</f>
        <v>1679.6930493204861</v>
      </c>
      <c r="G76" s="128">
        <f>G$7*'Inputs and eligible population'!H66*$C$76</f>
        <v>1695.8883263005341</v>
      </c>
      <c r="H76" s="128">
        <f>H$7*'Inputs and eligible population'!I66*$C$76</f>
        <v>1712.2397550230482</v>
      </c>
      <c r="I76" s="128">
        <f>I$7*'Inputs and eligible population'!J66*$C$76</f>
        <v>1728.748841073065</v>
      </c>
      <c r="J76" s="215"/>
      <c r="K76" s="215"/>
      <c r="L76" s="215"/>
      <c r="M76" s="215"/>
      <c r="N76" s="215"/>
      <c r="O76" s="215"/>
      <c r="P76" s="215"/>
      <c r="Q76" s="215"/>
      <c r="R76" s="133"/>
      <c r="V76" s="133"/>
      <c r="AJ76" s="285"/>
      <c r="AK76" s="285"/>
      <c r="AL76" s="285"/>
      <c r="AM76" s="285"/>
      <c r="AN76" s="285"/>
    </row>
    <row r="77" spans="1:40">
      <c r="A77" s="300"/>
      <c r="B77" s="634" t="s">
        <v>1012</v>
      </c>
      <c r="C77" s="806">
        <f>'Unit costs'!K29</f>
        <v>4</v>
      </c>
      <c r="D77" s="128">
        <f>D$7*'Inputs and eligible population'!E67*$C$77</f>
        <v>2824.74</v>
      </c>
      <c r="E77" s="128">
        <f>E$7*'Inputs and eligible population'!F67*$C$77</f>
        <v>1584.4308884531436</v>
      </c>
      <c r="F77" s="128">
        <f>F$7*'Inputs and eligible population'!G67*$C$77</f>
        <v>799.85383300975525</v>
      </c>
      <c r="G77" s="128">
        <f>G$7*'Inputs and eligible population'!H67*$C$77</f>
        <v>807.56586966692089</v>
      </c>
      <c r="H77" s="128">
        <f>H$7*'Inputs and eligible population'!I67*$C$77</f>
        <v>815.35226429668955</v>
      </c>
      <c r="I77" s="128">
        <f>I$7*'Inputs and eligible population'!J67*$C$77</f>
        <v>823.21373384431661</v>
      </c>
      <c r="J77" s="215"/>
      <c r="K77" s="215"/>
      <c r="L77" s="215"/>
      <c r="M77" s="215"/>
      <c r="N77" s="215"/>
      <c r="O77" s="215"/>
      <c r="P77" s="215"/>
      <c r="Q77" s="215"/>
      <c r="R77" s="133"/>
      <c r="V77" s="133"/>
      <c r="AJ77" s="285"/>
      <c r="AK77" s="285"/>
      <c r="AL77" s="285"/>
      <c r="AM77" s="285"/>
      <c r="AN77" s="285"/>
    </row>
    <row r="78" spans="1:40">
      <c r="A78" s="300"/>
      <c r="B78" s="350" t="s">
        <v>1127</v>
      </c>
      <c r="C78" s="806">
        <f>'Unit costs'!D59</f>
        <v>6</v>
      </c>
      <c r="D78" s="128">
        <f>D$7*'Inputs and eligible population'!E68*$C$78</f>
        <v>0</v>
      </c>
      <c r="E78" s="128">
        <f>E$7*'Inputs and eligible population'!F68*$C$78</f>
        <v>0</v>
      </c>
      <c r="F78" s="128">
        <f>F$7*'Inputs and eligible population'!G68*$C$78</f>
        <v>0</v>
      </c>
      <c r="G78" s="128">
        <f>G$7*'Inputs and eligible population'!H68*$C$78</f>
        <v>0</v>
      </c>
      <c r="H78" s="128">
        <f>H$7*'Inputs and eligible population'!I68*$C$78</f>
        <v>0</v>
      </c>
      <c r="I78" s="128">
        <f>I$7*'Inputs and eligible population'!J68*$C$78</f>
        <v>0</v>
      </c>
      <c r="J78" s="215"/>
      <c r="K78" s="215"/>
      <c r="L78" s="215"/>
      <c r="M78" s="215"/>
      <c r="N78" s="215"/>
      <c r="O78" s="215"/>
      <c r="P78" s="215"/>
      <c r="Q78" s="215"/>
      <c r="R78" s="133"/>
      <c r="V78" s="133"/>
      <c r="AJ78" s="285"/>
      <c r="AK78" s="285"/>
      <c r="AL78" s="285"/>
      <c r="AM78" s="285"/>
      <c r="AN78" s="285"/>
    </row>
    <row r="79" spans="1:40">
      <c r="A79" s="300"/>
      <c r="B79" s="350" t="s">
        <v>1128</v>
      </c>
      <c r="C79" s="806">
        <f>'Unit costs'!D60</f>
        <v>10</v>
      </c>
      <c r="D79" s="128">
        <f>D$7*'Inputs and eligible population'!E68*$C$79</f>
        <v>0</v>
      </c>
      <c r="E79" s="128">
        <f>E$7*'Inputs and eligible population'!F68*$C$79</f>
        <v>0</v>
      </c>
      <c r="F79" s="128">
        <f>F$7*'Inputs and eligible population'!G68*$C$79</f>
        <v>0</v>
      </c>
      <c r="G79" s="128">
        <f>G$7*'Inputs and eligible population'!H68*$C$79</f>
        <v>0</v>
      </c>
      <c r="H79" s="128">
        <f>H$7*'Inputs and eligible population'!I68*$C$79</f>
        <v>0</v>
      </c>
      <c r="I79" s="128">
        <f>I$7*'Inputs and eligible population'!J68*$C$79</f>
        <v>0</v>
      </c>
      <c r="J79" s="215"/>
      <c r="K79" s="215"/>
      <c r="L79" s="215"/>
      <c r="M79" s="215"/>
      <c r="N79" s="215"/>
      <c r="O79" s="215"/>
      <c r="P79" s="215"/>
      <c r="Q79" s="215"/>
      <c r="R79" s="133"/>
      <c r="V79" s="133"/>
      <c r="AJ79" s="285"/>
      <c r="AK79" s="285"/>
      <c r="AL79" s="285"/>
      <c r="AM79" s="285"/>
      <c r="AN79" s="285"/>
    </row>
    <row r="80" spans="1:40">
      <c r="A80" s="300"/>
      <c r="B80" s="322"/>
      <c r="C80" s="322"/>
      <c r="D80" s="186">
        <f>SUM(D69:D79)</f>
        <v>5021.76</v>
      </c>
      <c r="E80" s="186">
        <f t="shared" ref="E80:I80" si="36">SUM(E69:E79)</f>
        <v>12992.333285315779</v>
      </c>
      <c r="F80" s="186">
        <f t="shared" si="36"/>
        <v>18116.689317670956</v>
      </c>
      <c r="G80" s="186">
        <f t="shared" si="36"/>
        <v>18291.366947955757</v>
      </c>
      <c r="H80" s="186">
        <f t="shared" si="36"/>
        <v>18467.728786320018</v>
      </c>
      <c r="I80" s="186">
        <f t="shared" si="36"/>
        <v>18645.791071573774</v>
      </c>
      <c r="J80" s="295"/>
      <c r="K80" s="295"/>
      <c r="L80" s="295"/>
      <c r="M80" s="295"/>
      <c r="N80" s="295"/>
      <c r="O80" s="295"/>
      <c r="P80" s="295"/>
      <c r="Q80" s="295"/>
      <c r="R80" s="133"/>
      <c r="V80" s="133"/>
      <c r="AJ80" s="285"/>
      <c r="AK80" s="285"/>
      <c r="AL80" s="285"/>
      <c r="AM80" s="285"/>
      <c r="AN80" s="285"/>
    </row>
    <row r="81" spans="1:40">
      <c r="A81" s="300"/>
      <c r="B81" s="257"/>
      <c r="C81" s="257"/>
      <c r="D81" s="284" t="s">
        <v>749</v>
      </c>
      <c r="E81" s="186">
        <f>E80-$D$80</f>
        <v>7970.5732853157788</v>
      </c>
      <c r="F81" s="186">
        <f>F80-$D$80</f>
        <v>13094.929317670956</v>
      </c>
      <c r="G81" s="186">
        <f>G80-$D$80</f>
        <v>13269.606947955757</v>
      </c>
      <c r="H81" s="186">
        <f>H80-$D$80</f>
        <v>13445.968786320018</v>
      </c>
      <c r="I81" s="186">
        <f>I80-$D$80</f>
        <v>13624.031071573774</v>
      </c>
      <c r="J81" s="295"/>
      <c r="K81" s="295"/>
      <c r="L81" s="295"/>
      <c r="M81" s="295"/>
      <c r="N81" s="295"/>
      <c r="O81" s="295"/>
      <c r="P81" s="295"/>
      <c r="Q81" s="295"/>
      <c r="R81" s="133"/>
      <c r="S81" s="133"/>
      <c r="T81" s="133"/>
      <c r="U81" s="133"/>
      <c r="V81" s="133"/>
      <c r="W81" s="133"/>
      <c r="X81" s="133"/>
      <c r="Y81" s="133"/>
      <c r="Z81" s="133"/>
      <c r="AJ81" s="285"/>
      <c r="AK81" s="285"/>
      <c r="AL81" s="285"/>
      <c r="AM81" s="285"/>
      <c r="AN81" s="285"/>
    </row>
    <row r="82" spans="1:40">
      <c r="A82" s="295"/>
      <c r="B82" s="321"/>
      <c r="C82" s="298"/>
      <c r="D82" s="298"/>
      <c r="E82" s="299"/>
      <c r="F82" s="295"/>
      <c r="G82" s="295"/>
      <c r="H82" s="215"/>
      <c r="I82" s="215"/>
      <c r="J82" s="215"/>
      <c r="K82" s="215"/>
      <c r="L82" s="215"/>
      <c r="M82" s="215"/>
      <c r="N82" s="215"/>
      <c r="O82" s="215"/>
      <c r="P82" s="215"/>
      <c r="Q82" s="215"/>
      <c r="R82" s="133"/>
      <c r="S82" s="133"/>
      <c r="T82" s="133"/>
      <c r="U82" s="133"/>
      <c r="V82" s="133"/>
      <c r="W82" s="133"/>
      <c r="X82" s="133"/>
      <c r="Y82" s="133"/>
      <c r="Z82" s="133"/>
      <c r="AJ82" s="285"/>
      <c r="AK82" s="285"/>
      <c r="AL82" s="285"/>
      <c r="AM82" s="285"/>
      <c r="AN82" s="285"/>
    </row>
    <row r="83" spans="1:40">
      <c r="A83" s="286"/>
      <c r="B83" s="323" t="s">
        <v>750</v>
      </c>
      <c r="C83" s="301"/>
      <c r="D83" s="301"/>
      <c r="E83" s="302"/>
      <c r="F83" s="303"/>
      <c r="G83" s="304"/>
      <c r="H83" s="304"/>
      <c r="I83" s="304"/>
      <c r="J83" s="433"/>
      <c r="K83" s="286"/>
      <c r="L83" s="286"/>
      <c r="M83" s="286"/>
      <c r="N83" s="286"/>
      <c r="O83" s="286"/>
      <c r="P83" s="286"/>
      <c r="Q83" s="217"/>
      <c r="R83" s="133"/>
      <c r="V83" s="133"/>
    </row>
    <row r="84" spans="1:40">
      <c r="A84" s="286"/>
      <c r="B84" s="388" t="s">
        <v>751</v>
      </c>
      <c r="C84" s="389"/>
      <c r="D84" s="389"/>
      <c r="E84" s="389"/>
      <c r="F84" s="389"/>
      <c r="G84" s="389"/>
      <c r="H84" s="389"/>
      <c r="I84" s="216"/>
      <c r="J84" s="430"/>
      <c r="K84" s="217"/>
      <c r="L84" s="286"/>
      <c r="M84" s="286"/>
      <c r="N84" s="286"/>
      <c r="O84" s="286"/>
      <c r="P84" s="286"/>
      <c r="Q84" s="217"/>
      <c r="R84" s="133"/>
      <c r="V84" s="133"/>
    </row>
    <row r="85" spans="1:40" ht="58">
      <c r="A85" s="286"/>
      <c r="B85" s="281" t="s">
        <v>125</v>
      </c>
      <c r="C85" s="165" t="s">
        <v>752</v>
      </c>
      <c r="D85" s="422" t="s">
        <v>736</v>
      </c>
      <c r="E85" s="256" t="s">
        <v>51</v>
      </c>
      <c r="F85" s="256" t="s">
        <v>52</v>
      </c>
      <c r="G85" s="164" t="s">
        <v>737</v>
      </c>
      <c r="H85" s="164" t="s">
        <v>738</v>
      </c>
      <c r="I85" s="256" t="s">
        <v>739</v>
      </c>
      <c r="J85" s="286"/>
      <c r="K85" s="286"/>
      <c r="L85" s="286"/>
      <c r="M85" s="286"/>
      <c r="N85" s="286"/>
      <c r="O85" s="286"/>
      <c r="P85" s="286"/>
      <c r="Q85" s="217"/>
      <c r="R85" s="133"/>
      <c r="V85" s="133"/>
    </row>
    <row r="86" spans="1:40">
      <c r="A86" s="286"/>
      <c r="B86" s="350" t="s">
        <v>1112</v>
      </c>
      <c r="C86" s="149">
        <f>'Capacity (local prices)'!C86</f>
        <v>10</v>
      </c>
      <c r="D86" s="128">
        <f t="shared" ref="D86:I86" si="37">((D69+D70+D71)*$C$86)/60</f>
        <v>0</v>
      </c>
      <c r="E86" s="128">
        <f t="shared" si="37"/>
        <v>924.25135159766728</v>
      </c>
      <c r="F86" s="128">
        <f t="shared" si="37"/>
        <v>1516.3895584143277</v>
      </c>
      <c r="G86" s="128">
        <f t="shared" si="37"/>
        <v>1531.010294576871</v>
      </c>
      <c r="H86" s="128">
        <f t="shared" si="37"/>
        <v>1545.7720010624739</v>
      </c>
      <c r="I86" s="128">
        <f t="shared" si="37"/>
        <v>1560.6760370798506</v>
      </c>
      <c r="J86" s="286"/>
      <c r="K86" s="286"/>
      <c r="L86" s="286"/>
      <c r="M86" s="286"/>
      <c r="N86" s="286"/>
      <c r="O86" s="286"/>
      <c r="P86" s="286"/>
      <c r="Q86" s="217"/>
      <c r="R86" s="133"/>
      <c r="V86" s="133"/>
    </row>
    <row r="87" spans="1:40">
      <c r="A87" s="286"/>
      <c r="B87" s="350" t="s">
        <v>1068</v>
      </c>
      <c r="C87" s="149">
        <f>'Inputs and eligible population'!G83</f>
        <v>10</v>
      </c>
      <c r="D87" s="128">
        <f t="shared" ref="D87:I87" si="38">((D72+D73+D74)*$C$87)/60</f>
        <v>0</v>
      </c>
      <c r="E87" s="128">
        <f t="shared" si="38"/>
        <v>607.36517390703852</v>
      </c>
      <c r="F87" s="128">
        <f t="shared" si="38"/>
        <v>996.48456695798666</v>
      </c>
      <c r="G87" s="128">
        <f t="shared" si="38"/>
        <v>1006.0924792933723</v>
      </c>
      <c r="H87" s="128">
        <f t="shared" si="38"/>
        <v>1015.7930292696258</v>
      </c>
      <c r="I87" s="128">
        <f t="shared" si="38"/>
        <v>1025.5871100810446</v>
      </c>
      <c r="J87" s="286"/>
      <c r="K87" s="286"/>
      <c r="L87" s="286"/>
      <c r="M87" s="286"/>
      <c r="N87" s="286"/>
      <c r="O87" s="286"/>
      <c r="P87" s="286"/>
      <c r="Q87" s="217"/>
      <c r="R87" s="133"/>
      <c r="S87" s="133"/>
      <c r="T87" s="133"/>
      <c r="U87" s="133"/>
      <c r="V87" s="133"/>
      <c r="W87" s="133"/>
      <c r="X87" s="133"/>
      <c r="Y87" s="133"/>
      <c r="Z87" s="133"/>
      <c r="AJ87" s="285"/>
      <c r="AK87" s="285"/>
      <c r="AL87" s="285"/>
      <c r="AM87" s="285"/>
      <c r="AN87" s="285"/>
    </row>
    <row r="88" spans="1:40">
      <c r="A88" s="286"/>
      <c r="B88" s="350" t="s">
        <v>997</v>
      </c>
      <c r="C88" s="149">
        <f>'Inputs and eligible population'!H83</f>
        <v>10</v>
      </c>
      <c r="D88" s="128">
        <f t="shared" ref="D88:I88" si="39">((D75+D76)*$C$88)/60</f>
        <v>366.17</v>
      </c>
      <c r="E88" s="128">
        <f t="shared" si="39"/>
        <v>369.7005406390669</v>
      </c>
      <c r="F88" s="128">
        <f t="shared" si="39"/>
        <v>373.26512207121908</v>
      </c>
      <c r="G88" s="128">
        <f t="shared" si="39"/>
        <v>376.86407251122978</v>
      </c>
      <c r="H88" s="128">
        <f t="shared" si="39"/>
        <v>380.49772333845522</v>
      </c>
      <c r="I88" s="128">
        <f t="shared" si="39"/>
        <v>384.16640912734778</v>
      </c>
      <c r="J88" s="286"/>
      <c r="K88" s="286"/>
      <c r="L88" s="286"/>
      <c r="M88" s="286"/>
      <c r="N88" s="286"/>
      <c r="O88" s="286"/>
      <c r="P88" s="286"/>
      <c r="Q88" s="217"/>
      <c r="R88" s="133"/>
      <c r="S88" s="133"/>
      <c r="T88" s="133"/>
      <c r="U88" s="133"/>
      <c r="V88" s="133"/>
      <c r="W88" s="133"/>
      <c r="X88" s="133"/>
      <c r="Y88" s="133"/>
      <c r="Z88" s="133"/>
      <c r="AJ88" s="285"/>
      <c r="AK88" s="285"/>
      <c r="AL88" s="285"/>
      <c r="AM88" s="285"/>
      <c r="AN88" s="285"/>
    </row>
    <row r="89" spans="1:40">
      <c r="A89" s="286"/>
      <c r="B89" s="350" t="s">
        <v>998</v>
      </c>
      <c r="C89" s="149">
        <f>'Inputs and eligible population'!I83</f>
        <v>0</v>
      </c>
      <c r="D89" s="128">
        <f t="shared" ref="D89:I89" si="40">(D77*$C$89)/60</f>
        <v>0</v>
      </c>
      <c r="E89" s="128">
        <f t="shared" si="40"/>
        <v>0</v>
      </c>
      <c r="F89" s="128">
        <f t="shared" si="40"/>
        <v>0</v>
      </c>
      <c r="G89" s="128">
        <f t="shared" si="40"/>
        <v>0</v>
      </c>
      <c r="H89" s="128">
        <f t="shared" si="40"/>
        <v>0</v>
      </c>
      <c r="I89" s="128">
        <f t="shared" si="40"/>
        <v>0</v>
      </c>
      <c r="J89" s="286"/>
      <c r="K89" s="286"/>
      <c r="L89" s="286"/>
      <c r="M89" s="286"/>
      <c r="N89" s="286"/>
      <c r="O89" s="286"/>
      <c r="P89" s="286"/>
      <c r="Q89" s="217"/>
      <c r="R89" s="133"/>
      <c r="S89" s="133"/>
      <c r="T89" s="133"/>
      <c r="U89" s="133"/>
      <c r="V89" s="133"/>
      <c r="W89" s="133"/>
      <c r="X89" s="133"/>
      <c r="Y89" s="133"/>
      <c r="Z89" s="133"/>
      <c r="AJ89" s="285"/>
      <c r="AK89" s="285"/>
      <c r="AL89" s="285"/>
      <c r="AM89" s="285"/>
      <c r="AN89" s="285"/>
    </row>
    <row r="90" spans="1:40">
      <c r="A90" s="286"/>
      <c r="B90" s="350" t="s">
        <v>1095</v>
      </c>
      <c r="C90" s="149">
        <f>'Capacity (local prices)'!C90</f>
        <v>10</v>
      </c>
      <c r="D90" s="128">
        <f t="shared" ref="D90:I90" si="41">((D78+D79)*$C$90)/60</f>
        <v>0</v>
      </c>
      <c r="E90" s="128">
        <f t="shared" si="41"/>
        <v>0</v>
      </c>
      <c r="F90" s="128">
        <f t="shared" si="41"/>
        <v>0</v>
      </c>
      <c r="G90" s="128">
        <f t="shared" si="41"/>
        <v>0</v>
      </c>
      <c r="H90" s="128">
        <f t="shared" si="41"/>
        <v>0</v>
      </c>
      <c r="I90" s="128">
        <f t="shared" si="41"/>
        <v>0</v>
      </c>
      <c r="J90" s="286"/>
      <c r="K90" s="286"/>
      <c r="L90" s="286"/>
      <c r="M90" s="286"/>
      <c r="N90" s="286"/>
      <c r="O90" s="286"/>
      <c r="P90" s="286"/>
      <c r="Q90" s="217"/>
      <c r="R90" s="133"/>
      <c r="S90" s="133"/>
      <c r="T90" s="133"/>
      <c r="U90" s="133"/>
      <c r="V90" s="133"/>
      <c r="W90" s="133"/>
      <c r="X90" s="133"/>
      <c r="Y90" s="133"/>
      <c r="Z90" s="133"/>
      <c r="AJ90" s="285"/>
      <c r="AK90" s="285"/>
      <c r="AL90" s="285"/>
      <c r="AM90" s="285"/>
      <c r="AN90" s="285"/>
    </row>
    <row r="91" spans="1:40">
      <c r="A91" s="286"/>
      <c r="B91" s="282" t="s">
        <v>753</v>
      </c>
      <c r="C91" s="322"/>
      <c r="D91" s="186">
        <f>SUM(D86:D90)</f>
        <v>366.17</v>
      </c>
      <c r="E91" s="186">
        <f t="shared" ref="E91:I91" si="42">SUM(E86:E90)</f>
        <v>1901.3170661437728</v>
      </c>
      <c r="F91" s="186">
        <f t="shared" si="42"/>
        <v>2886.1392474435333</v>
      </c>
      <c r="G91" s="186">
        <f t="shared" si="42"/>
        <v>2913.9668463814733</v>
      </c>
      <c r="H91" s="186">
        <f t="shared" si="42"/>
        <v>2942.0627536705551</v>
      </c>
      <c r="I91" s="186">
        <f t="shared" si="42"/>
        <v>2970.429556288243</v>
      </c>
      <c r="J91" s="286"/>
      <c r="K91" s="286"/>
      <c r="L91" s="286"/>
      <c r="M91" s="286"/>
      <c r="N91" s="286"/>
      <c r="O91" s="286"/>
      <c r="P91" s="286"/>
      <c r="Q91" s="217"/>
      <c r="R91" s="133"/>
      <c r="S91" s="133"/>
      <c r="T91" s="133"/>
      <c r="U91" s="133"/>
      <c r="V91" s="133"/>
      <c r="W91" s="133"/>
      <c r="X91" s="133"/>
      <c r="Y91" s="133"/>
      <c r="Z91" s="133"/>
      <c r="AJ91" s="285"/>
      <c r="AK91" s="285"/>
      <c r="AL91" s="285"/>
      <c r="AM91" s="285"/>
      <c r="AN91" s="285"/>
    </row>
    <row r="92" spans="1:40">
      <c r="A92" s="286"/>
      <c r="B92" s="305"/>
      <c r="C92" s="257"/>
      <c r="D92" s="284" t="s">
        <v>754</v>
      </c>
      <c r="E92" s="186">
        <f>E91-$D$91</f>
        <v>1535.1470661437727</v>
      </c>
      <c r="F92" s="186">
        <f>F91-$D$91</f>
        <v>2519.9692474435333</v>
      </c>
      <c r="G92" s="186">
        <f>G91-$D$91</f>
        <v>2547.7968463814732</v>
      </c>
      <c r="H92" s="186">
        <f>H91-$D$91</f>
        <v>2575.8927536705551</v>
      </c>
      <c r="I92" s="186">
        <f>I91-$D$91</f>
        <v>2604.2595562882429</v>
      </c>
      <c r="J92" s="286"/>
      <c r="K92" s="286"/>
      <c r="L92" s="286"/>
      <c r="M92" s="286"/>
      <c r="N92" s="286"/>
      <c r="O92" s="286"/>
      <c r="P92" s="286"/>
      <c r="Q92" s="217"/>
      <c r="R92" s="133"/>
      <c r="S92" s="133"/>
      <c r="T92" s="133"/>
      <c r="U92" s="133"/>
      <c r="V92" s="133"/>
      <c r="W92" s="133"/>
      <c r="X92" s="133"/>
      <c r="Y92" s="133"/>
      <c r="Z92" s="133"/>
      <c r="AJ92" s="285"/>
      <c r="AK92" s="285"/>
      <c r="AL92" s="285"/>
      <c r="AM92" s="285"/>
      <c r="AN92" s="285"/>
    </row>
    <row r="93" spans="1:40">
      <c r="A93" s="286"/>
      <c r="B93" s="324"/>
      <c r="C93" s="217"/>
      <c r="D93" s="217"/>
      <c r="E93" s="217"/>
      <c r="F93" s="217"/>
      <c r="G93" s="217"/>
      <c r="H93" s="217"/>
      <c r="I93" s="217"/>
      <c r="J93" s="217"/>
      <c r="K93" s="217"/>
      <c r="L93" s="286"/>
      <c r="M93" s="286"/>
      <c r="N93" s="286"/>
      <c r="O93" s="286"/>
      <c r="P93" s="286"/>
      <c r="Q93" s="217"/>
      <c r="R93" s="133"/>
      <c r="S93" s="133"/>
      <c r="T93" s="133"/>
      <c r="U93" s="133"/>
      <c r="V93" s="133"/>
      <c r="W93" s="133"/>
      <c r="X93" s="133"/>
      <c r="Y93" s="133"/>
      <c r="Z93" s="133"/>
      <c r="AJ93" s="285"/>
      <c r="AK93" s="285"/>
      <c r="AL93" s="285"/>
      <c r="AM93" s="285"/>
      <c r="AN93" s="285"/>
    </row>
    <row r="94" spans="1:40">
      <c r="A94" s="286"/>
      <c r="B94" s="390" t="s">
        <v>755</v>
      </c>
      <c r="C94" s="389"/>
      <c r="D94" s="389"/>
      <c r="E94" s="389"/>
      <c r="F94" s="389"/>
      <c r="G94" s="389"/>
      <c r="H94" s="389"/>
      <c r="I94" s="216"/>
      <c r="J94" s="430"/>
      <c r="K94" s="217"/>
      <c r="L94" s="286"/>
      <c r="M94" s="286"/>
      <c r="N94" s="286"/>
      <c r="O94" s="286"/>
      <c r="P94" s="286"/>
      <c r="Q94" s="217"/>
      <c r="R94" s="133"/>
      <c r="S94" s="133"/>
      <c r="T94" s="133"/>
      <c r="U94" s="133"/>
      <c r="V94" s="133"/>
      <c r="W94" s="133"/>
      <c r="X94" s="133"/>
      <c r="Y94" s="133"/>
      <c r="Z94" s="133"/>
      <c r="AJ94" s="285"/>
      <c r="AK94" s="285"/>
      <c r="AL94" s="285"/>
      <c r="AM94" s="285"/>
      <c r="AN94" s="285"/>
    </row>
    <row r="95" spans="1:40" ht="72.5">
      <c r="A95" s="286"/>
      <c r="B95" s="281" t="s">
        <v>125</v>
      </c>
      <c r="C95" s="165" t="s">
        <v>89</v>
      </c>
      <c r="D95" s="422" t="s">
        <v>736</v>
      </c>
      <c r="E95" s="256" t="s">
        <v>51</v>
      </c>
      <c r="F95" s="256" t="s">
        <v>52</v>
      </c>
      <c r="G95" s="164" t="s">
        <v>737</v>
      </c>
      <c r="H95" s="164" t="s">
        <v>738</v>
      </c>
      <c r="I95" s="256" t="s">
        <v>739</v>
      </c>
      <c r="J95" s="286"/>
      <c r="K95" s="286"/>
      <c r="L95" s="286"/>
      <c r="M95" s="286"/>
      <c r="N95" s="286"/>
      <c r="O95" s="286"/>
      <c r="P95" s="286"/>
      <c r="Q95" s="217"/>
      <c r="R95" s="133"/>
      <c r="S95" s="133"/>
      <c r="T95" s="133"/>
      <c r="U95" s="133"/>
      <c r="V95" s="133"/>
      <c r="W95" s="133"/>
      <c r="X95" s="133"/>
      <c r="Y95" s="133"/>
      <c r="Z95" s="133"/>
      <c r="AJ95" s="285"/>
      <c r="AK95" s="285"/>
      <c r="AL95" s="285"/>
      <c r="AM95" s="285"/>
      <c r="AN95" s="285"/>
    </row>
    <row r="96" spans="1:40">
      <c r="A96" s="286"/>
      <c r="B96" s="350" t="s">
        <v>1112</v>
      </c>
      <c r="C96" s="149">
        <f>'Capacity (local prices)'!C96</f>
        <v>15</v>
      </c>
      <c r="D96" s="128">
        <f t="shared" ref="D96:I96" si="43">((D69+D70+D71)*$C96)/60</f>
        <v>0</v>
      </c>
      <c r="E96" s="128">
        <f t="shared" si="43"/>
        <v>1386.3770273965008</v>
      </c>
      <c r="F96" s="128">
        <f t="shared" si="43"/>
        <v>2274.5843376214916</v>
      </c>
      <c r="G96" s="128">
        <f t="shared" si="43"/>
        <v>2296.5154418653065</v>
      </c>
      <c r="H96" s="128">
        <f t="shared" si="43"/>
        <v>2318.6580015937111</v>
      </c>
      <c r="I96" s="128">
        <f t="shared" si="43"/>
        <v>2341.0140556197757</v>
      </c>
      <c r="J96" s="286"/>
      <c r="K96" s="286"/>
      <c r="L96" s="286"/>
      <c r="M96" s="286"/>
      <c r="N96" s="286"/>
      <c r="O96" s="286"/>
      <c r="P96" s="286"/>
      <c r="Q96" s="217"/>
      <c r="R96" s="133"/>
      <c r="S96" s="133"/>
      <c r="T96" s="133"/>
      <c r="U96" s="133"/>
      <c r="V96" s="133"/>
      <c r="W96" s="133"/>
      <c r="X96" s="133"/>
      <c r="Y96" s="133"/>
      <c r="Z96" s="133"/>
      <c r="AJ96" s="285"/>
      <c r="AK96" s="285"/>
      <c r="AL96" s="285"/>
      <c r="AM96" s="285"/>
      <c r="AN96" s="285"/>
    </row>
    <row r="97" spans="1:40">
      <c r="A97" s="286"/>
      <c r="B97" s="350" t="s">
        <v>1068</v>
      </c>
      <c r="C97" s="149">
        <f>'Inputs and eligible population'!G84</f>
        <v>15</v>
      </c>
      <c r="D97" s="128">
        <f t="shared" ref="D97:I97" si="44">((D72+D73+D74)*$C$97)/60</f>
        <v>0</v>
      </c>
      <c r="E97" s="128">
        <f t="shared" si="44"/>
        <v>911.04776086055767</v>
      </c>
      <c r="F97" s="128">
        <f t="shared" si="44"/>
        <v>1494.7268504369799</v>
      </c>
      <c r="G97" s="128">
        <f t="shared" si="44"/>
        <v>1509.1387189400584</v>
      </c>
      <c r="H97" s="128">
        <f t="shared" si="44"/>
        <v>1523.6895439044388</v>
      </c>
      <c r="I97" s="128">
        <f t="shared" si="44"/>
        <v>1538.3806651215668</v>
      </c>
      <c r="J97" s="286"/>
      <c r="K97" s="286"/>
      <c r="L97" s="286"/>
      <c r="M97" s="286"/>
      <c r="N97" s="286"/>
      <c r="O97" s="286"/>
      <c r="P97" s="286"/>
      <c r="Q97" s="217"/>
      <c r="R97" s="133"/>
      <c r="S97" s="133"/>
      <c r="T97" s="133"/>
      <c r="U97" s="133"/>
      <c r="V97" s="133"/>
      <c r="W97" s="133"/>
      <c r="X97" s="133"/>
      <c r="Y97" s="133"/>
      <c r="Z97" s="133"/>
      <c r="AJ97" s="285"/>
      <c r="AK97" s="285"/>
      <c r="AL97" s="285"/>
      <c r="AM97" s="285"/>
      <c r="AN97" s="285"/>
    </row>
    <row r="98" spans="1:40">
      <c r="A98" s="286"/>
      <c r="B98" s="350" t="s">
        <v>997</v>
      </c>
      <c r="C98" s="149">
        <f>'Inputs and eligible population'!H84</f>
        <v>15</v>
      </c>
      <c r="D98" s="128">
        <f t="shared" ref="D98:I98" si="45">((D75+D76)*$C$98)/60</f>
        <v>549.255</v>
      </c>
      <c r="E98" s="128">
        <f t="shared" si="45"/>
        <v>554.55081095860032</v>
      </c>
      <c r="F98" s="128">
        <f t="shared" si="45"/>
        <v>559.89768310682871</v>
      </c>
      <c r="G98" s="128">
        <f t="shared" si="45"/>
        <v>565.29610876684467</v>
      </c>
      <c r="H98" s="128">
        <f t="shared" si="45"/>
        <v>570.74658500768282</v>
      </c>
      <c r="I98" s="128">
        <f t="shared" si="45"/>
        <v>576.24961369102164</v>
      </c>
      <c r="J98" s="286"/>
      <c r="K98" s="286"/>
      <c r="L98" s="286"/>
      <c r="M98" s="286"/>
      <c r="N98" s="286"/>
      <c r="O98" s="286"/>
      <c r="P98" s="286"/>
      <c r="Q98" s="217"/>
      <c r="R98" s="133"/>
      <c r="S98" s="133"/>
      <c r="T98" s="133"/>
      <c r="U98" s="133"/>
      <c r="V98" s="133"/>
      <c r="W98" s="133"/>
      <c r="X98" s="133"/>
      <c r="Y98" s="133"/>
      <c r="Z98" s="133"/>
      <c r="AJ98" s="285"/>
      <c r="AK98" s="285"/>
      <c r="AL98" s="285"/>
      <c r="AM98" s="285"/>
      <c r="AN98" s="285"/>
    </row>
    <row r="99" spans="1:40">
      <c r="A99" s="286"/>
      <c r="B99" s="350" t="s">
        <v>998</v>
      </c>
      <c r="C99" s="149">
        <f>'Inputs and eligible population'!I84</f>
        <v>0</v>
      </c>
      <c r="D99" s="128">
        <f t="shared" ref="D99:I99" si="46">(D77*$C$99)/60</f>
        <v>0</v>
      </c>
      <c r="E99" s="128">
        <f t="shared" si="46"/>
        <v>0</v>
      </c>
      <c r="F99" s="128">
        <f t="shared" si="46"/>
        <v>0</v>
      </c>
      <c r="G99" s="128">
        <f t="shared" si="46"/>
        <v>0</v>
      </c>
      <c r="H99" s="128">
        <f t="shared" si="46"/>
        <v>0</v>
      </c>
      <c r="I99" s="128">
        <f t="shared" si="46"/>
        <v>0</v>
      </c>
      <c r="J99" s="286"/>
      <c r="K99" s="286"/>
      <c r="L99" s="286"/>
      <c r="M99" s="286"/>
      <c r="N99" s="286"/>
      <c r="O99" s="286"/>
      <c r="P99" s="286"/>
      <c r="Q99" s="217"/>
      <c r="R99" s="133"/>
      <c r="S99" s="133"/>
      <c r="T99" s="133"/>
      <c r="U99" s="133"/>
      <c r="V99" s="133"/>
      <c r="W99" s="133"/>
      <c r="X99" s="133"/>
      <c r="Y99" s="133"/>
      <c r="Z99" s="133"/>
      <c r="AJ99" s="285"/>
      <c r="AK99" s="285"/>
      <c r="AL99" s="285"/>
      <c r="AM99" s="285"/>
      <c r="AN99" s="285"/>
    </row>
    <row r="100" spans="1:40">
      <c r="A100" s="286"/>
      <c r="B100" s="350" t="s">
        <v>1095</v>
      </c>
      <c r="C100" s="149">
        <f>'Capacity (local prices)'!C100</f>
        <v>0</v>
      </c>
      <c r="D100" s="128">
        <f t="shared" ref="D100:I100" si="47">((D78+D79)*$C$90)/60</f>
        <v>0</v>
      </c>
      <c r="E100" s="128">
        <f t="shared" si="47"/>
        <v>0</v>
      </c>
      <c r="F100" s="128">
        <f t="shared" si="47"/>
        <v>0</v>
      </c>
      <c r="G100" s="128">
        <f t="shared" si="47"/>
        <v>0</v>
      </c>
      <c r="H100" s="128">
        <f t="shared" si="47"/>
        <v>0</v>
      </c>
      <c r="I100" s="128">
        <f t="shared" si="47"/>
        <v>0</v>
      </c>
      <c r="J100" s="286"/>
      <c r="K100" s="286"/>
      <c r="L100" s="286"/>
      <c r="M100" s="286"/>
      <c r="N100" s="286"/>
      <c r="O100" s="286"/>
      <c r="P100" s="286"/>
      <c r="Q100" s="217"/>
      <c r="R100" s="133"/>
      <c r="S100" s="133"/>
      <c r="T100" s="133"/>
      <c r="U100" s="133"/>
      <c r="V100" s="133"/>
      <c r="W100" s="133"/>
      <c r="X100" s="133"/>
      <c r="Y100" s="133"/>
      <c r="Z100" s="133"/>
      <c r="AJ100" s="285"/>
      <c r="AK100" s="285"/>
      <c r="AL100" s="285"/>
      <c r="AM100" s="285"/>
      <c r="AN100" s="285"/>
    </row>
    <row r="101" spans="1:40">
      <c r="A101" s="286"/>
      <c r="B101" s="282"/>
      <c r="C101" s="282"/>
      <c r="D101" s="186">
        <f>SUM(D96:D100)</f>
        <v>549.255</v>
      </c>
      <c r="E101" s="186">
        <f t="shared" ref="E101:I101" si="48">SUM(E96:E100)</f>
        <v>2851.9755992156588</v>
      </c>
      <c r="F101" s="186">
        <f t="shared" si="48"/>
        <v>4329.2088711653005</v>
      </c>
      <c r="G101" s="186">
        <f t="shared" si="48"/>
        <v>4370.9502695722094</v>
      </c>
      <c r="H101" s="186">
        <f t="shared" si="48"/>
        <v>4413.0941305058332</v>
      </c>
      <c r="I101" s="186">
        <f t="shared" si="48"/>
        <v>4455.6443344323643</v>
      </c>
      <c r="J101" s="286"/>
      <c r="K101" s="286"/>
      <c r="L101" s="286"/>
      <c r="M101" s="286"/>
      <c r="N101" s="286"/>
      <c r="O101" s="286"/>
      <c r="P101" s="286"/>
      <c r="Q101" s="217"/>
      <c r="S101" s="133"/>
      <c r="T101" s="133"/>
      <c r="U101" s="133"/>
      <c r="V101" s="133"/>
      <c r="W101" s="133"/>
      <c r="X101" s="133"/>
      <c r="Y101" s="133"/>
      <c r="Z101" s="133"/>
      <c r="AJ101" s="285"/>
      <c r="AK101" s="285"/>
      <c r="AL101" s="285"/>
      <c r="AM101" s="285"/>
      <c r="AN101" s="285"/>
    </row>
    <row r="102" spans="1:40">
      <c r="A102" s="286"/>
      <c r="B102" s="282"/>
      <c r="C102" s="282"/>
      <c r="D102" s="284" t="s">
        <v>756</v>
      </c>
      <c r="E102" s="186">
        <f>E101-$D$101</f>
        <v>2302.7205992156587</v>
      </c>
      <c r="F102" s="186">
        <f>F101-$D$101</f>
        <v>3779.9538711653004</v>
      </c>
      <c r="G102" s="186">
        <f>G101-$D$101</f>
        <v>3821.6952695722093</v>
      </c>
      <c r="H102" s="186">
        <f>H101-$D$101</f>
        <v>3863.8391305058331</v>
      </c>
      <c r="I102" s="186">
        <f>I101-$D$101</f>
        <v>3906.3893344323642</v>
      </c>
      <c r="J102" s="286"/>
      <c r="K102" s="286"/>
      <c r="L102" s="286"/>
      <c r="M102" s="286"/>
      <c r="N102" s="286"/>
      <c r="O102" s="286"/>
      <c r="P102" s="286"/>
      <c r="Q102" s="217"/>
      <c r="S102" s="133"/>
      <c r="T102" s="133"/>
      <c r="U102" s="133"/>
      <c r="V102" s="133"/>
      <c r="W102" s="133"/>
      <c r="X102" s="133"/>
      <c r="Y102" s="133"/>
      <c r="Z102" s="133"/>
      <c r="AJ102" s="285"/>
      <c r="AK102" s="285"/>
      <c r="AL102" s="285"/>
      <c r="AM102" s="285"/>
      <c r="AN102" s="285"/>
    </row>
    <row r="103" spans="1:40">
      <c r="A103" s="286"/>
      <c r="B103" s="324"/>
      <c r="C103" s="217"/>
      <c r="D103" s="217"/>
      <c r="E103" s="217"/>
      <c r="F103" s="217"/>
      <c r="G103" s="217"/>
      <c r="H103" s="217"/>
      <c r="I103" s="217"/>
      <c r="J103" s="217"/>
      <c r="K103" s="217"/>
      <c r="L103" s="286"/>
      <c r="M103" s="286"/>
      <c r="N103" s="286"/>
      <c r="O103" s="286"/>
      <c r="P103" s="286"/>
      <c r="Q103" s="217"/>
      <c r="S103" s="133"/>
      <c r="T103" s="133"/>
      <c r="U103" s="133"/>
      <c r="V103" s="133"/>
      <c r="W103" s="133"/>
      <c r="X103" s="133"/>
      <c r="Y103" s="133"/>
      <c r="Z103" s="133"/>
      <c r="AJ103" s="285"/>
      <c r="AK103" s="285"/>
      <c r="AL103" s="285"/>
      <c r="AM103" s="285"/>
      <c r="AN103" s="285"/>
    </row>
    <row r="104" spans="1:40">
      <c r="A104" s="286"/>
      <c r="B104" s="390" t="s">
        <v>175</v>
      </c>
      <c r="C104" s="389"/>
      <c r="D104" s="389"/>
      <c r="E104" s="389"/>
      <c r="F104" s="389"/>
      <c r="G104" s="389"/>
      <c r="H104" s="389"/>
      <c r="I104" s="216"/>
      <c r="J104" s="430"/>
      <c r="K104" s="217"/>
      <c r="L104" s="286"/>
      <c r="M104" s="286"/>
      <c r="N104" s="286"/>
      <c r="O104" s="286"/>
      <c r="P104" s="286"/>
      <c r="Q104" s="217"/>
      <c r="V104" s="133"/>
      <c r="AJ104" s="285"/>
      <c r="AK104" s="285"/>
      <c r="AL104" s="285"/>
      <c r="AM104" s="285"/>
      <c r="AN104" s="285"/>
    </row>
    <row r="105" spans="1:40" ht="58">
      <c r="A105" s="286"/>
      <c r="B105" s="281" t="s">
        <v>125</v>
      </c>
      <c r="C105" s="165" t="s">
        <v>90</v>
      </c>
      <c r="D105" s="422" t="s">
        <v>736</v>
      </c>
      <c r="E105" s="256" t="s">
        <v>51</v>
      </c>
      <c r="F105" s="256" t="s">
        <v>52</v>
      </c>
      <c r="G105" s="164" t="s">
        <v>737</v>
      </c>
      <c r="H105" s="164" t="s">
        <v>738</v>
      </c>
      <c r="I105" s="256" t="s">
        <v>739</v>
      </c>
      <c r="J105" s="286"/>
      <c r="K105" s="286"/>
      <c r="L105" s="286"/>
      <c r="M105" s="286"/>
      <c r="N105" s="286"/>
      <c r="O105" s="286"/>
      <c r="P105" s="286"/>
      <c r="Q105" s="217"/>
      <c r="V105" s="133"/>
      <c r="AJ105" s="285"/>
      <c r="AK105" s="285"/>
      <c r="AL105" s="285"/>
      <c r="AM105" s="285"/>
      <c r="AN105" s="285"/>
    </row>
    <row r="106" spans="1:40">
      <c r="A106" s="286"/>
      <c r="B106" s="350" t="s">
        <v>1112</v>
      </c>
      <c r="C106" s="149">
        <f>'Capacity (local prices)'!C106</f>
        <v>15</v>
      </c>
      <c r="D106" s="128">
        <f t="shared" ref="D106:I106" si="49">((D69+D70+D71)*$C106)/60</f>
        <v>0</v>
      </c>
      <c r="E106" s="128">
        <f t="shared" si="49"/>
        <v>1386.3770273965008</v>
      </c>
      <c r="F106" s="128">
        <f t="shared" si="49"/>
        <v>2274.5843376214916</v>
      </c>
      <c r="G106" s="128">
        <f t="shared" si="49"/>
        <v>2296.5154418653065</v>
      </c>
      <c r="H106" s="128">
        <f t="shared" si="49"/>
        <v>2318.6580015937111</v>
      </c>
      <c r="I106" s="128">
        <f t="shared" si="49"/>
        <v>2341.0140556197757</v>
      </c>
      <c r="J106" s="286"/>
      <c r="K106" s="286"/>
      <c r="L106" s="286"/>
      <c r="M106" s="286"/>
      <c r="N106" s="286"/>
      <c r="O106" s="286"/>
      <c r="P106" s="286"/>
      <c r="Q106" s="217"/>
      <c r="V106" s="133"/>
      <c r="AJ106" s="285"/>
      <c r="AK106" s="285"/>
      <c r="AL106" s="285"/>
      <c r="AM106" s="285"/>
      <c r="AN106" s="285"/>
    </row>
    <row r="107" spans="1:40">
      <c r="A107" s="286"/>
      <c r="B107" s="350" t="s">
        <v>1068</v>
      </c>
      <c r="C107" s="149">
        <f>'Inputs and eligible population'!G85</f>
        <v>15</v>
      </c>
      <c r="D107" s="128">
        <f t="shared" ref="D107:I107" si="50">((D72+D73+D74)*$C$107)/60</f>
        <v>0</v>
      </c>
      <c r="E107" s="128">
        <f t="shared" si="50"/>
        <v>911.04776086055767</v>
      </c>
      <c r="F107" s="128">
        <f t="shared" si="50"/>
        <v>1494.7268504369799</v>
      </c>
      <c r="G107" s="128">
        <f t="shared" si="50"/>
        <v>1509.1387189400584</v>
      </c>
      <c r="H107" s="128">
        <f t="shared" si="50"/>
        <v>1523.6895439044388</v>
      </c>
      <c r="I107" s="128">
        <f t="shared" si="50"/>
        <v>1538.3806651215668</v>
      </c>
      <c r="J107" s="286"/>
      <c r="K107" s="286"/>
      <c r="L107" s="286"/>
      <c r="M107" s="286"/>
      <c r="N107" s="286"/>
      <c r="O107" s="286"/>
      <c r="P107" s="286"/>
      <c r="Q107" s="217"/>
      <c r="V107" s="133"/>
      <c r="AJ107" s="285"/>
      <c r="AK107" s="285"/>
      <c r="AL107" s="285"/>
      <c r="AM107" s="285"/>
      <c r="AN107" s="285"/>
    </row>
    <row r="108" spans="1:40">
      <c r="A108" s="286"/>
      <c r="B108" s="350" t="s">
        <v>997</v>
      </c>
      <c r="C108" s="149">
        <f>'Inputs and eligible population'!H85</f>
        <v>15</v>
      </c>
      <c r="D108" s="128">
        <f t="shared" ref="D108:I108" si="51">((D75+D76)*$C$108)/60</f>
        <v>549.255</v>
      </c>
      <c r="E108" s="128">
        <f t="shared" si="51"/>
        <v>554.55081095860032</v>
      </c>
      <c r="F108" s="128">
        <f t="shared" si="51"/>
        <v>559.89768310682871</v>
      </c>
      <c r="G108" s="128">
        <f t="shared" si="51"/>
        <v>565.29610876684467</v>
      </c>
      <c r="H108" s="128">
        <f t="shared" si="51"/>
        <v>570.74658500768282</v>
      </c>
      <c r="I108" s="128">
        <f t="shared" si="51"/>
        <v>576.24961369102164</v>
      </c>
      <c r="J108" s="286"/>
      <c r="K108" s="286"/>
      <c r="L108" s="286"/>
      <c r="M108" s="286"/>
      <c r="N108" s="286"/>
      <c r="O108" s="286"/>
      <c r="P108" s="286"/>
      <c r="Q108" s="217"/>
      <c r="V108" s="133"/>
      <c r="AJ108" s="285"/>
      <c r="AK108" s="285"/>
      <c r="AL108" s="285"/>
      <c r="AM108" s="285"/>
      <c r="AN108" s="285"/>
    </row>
    <row r="109" spans="1:40">
      <c r="A109" s="286"/>
      <c r="B109" s="350" t="s">
        <v>998</v>
      </c>
      <c r="C109" s="149">
        <f>'Inputs and eligible population'!I85</f>
        <v>0</v>
      </c>
      <c r="D109" s="128">
        <f t="shared" ref="D109:I109" si="52">(D77*$C$109)/60</f>
        <v>0</v>
      </c>
      <c r="E109" s="128">
        <f t="shared" si="52"/>
        <v>0</v>
      </c>
      <c r="F109" s="128">
        <f t="shared" si="52"/>
        <v>0</v>
      </c>
      <c r="G109" s="128">
        <f t="shared" si="52"/>
        <v>0</v>
      </c>
      <c r="H109" s="128">
        <f t="shared" si="52"/>
        <v>0</v>
      </c>
      <c r="I109" s="128">
        <f t="shared" si="52"/>
        <v>0</v>
      </c>
      <c r="J109" s="286"/>
      <c r="K109" s="286"/>
      <c r="L109" s="286"/>
      <c r="M109" s="286"/>
      <c r="N109" s="286"/>
      <c r="O109" s="286"/>
      <c r="P109" s="286"/>
      <c r="Q109" s="217"/>
      <c r="V109" s="133"/>
      <c r="AJ109" s="285"/>
      <c r="AK109" s="285"/>
      <c r="AL109" s="285"/>
      <c r="AM109" s="285"/>
      <c r="AN109" s="285"/>
    </row>
    <row r="110" spans="1:40">
      <c r="A110" s="286"/>
      <c r="B110" s="350" t="s">
        <v>1095</v>
      </c>
      <c r="C110" s="149">
        <f>'Capacity (local prices)'!C110</f>
        <v>15</v>
      </c>
      <c r="D110" s="128">
        <f t="shared" ref="D110:I110" si="53">((D78+D79)*$C$110)/60</f>
        <v>0</v>
      </c>
      <c r="E110" s="128">
        <f t="shared" si="53"/>
        <v>0</v>
      </c>
      <c r="F110" s="128">
        <f t="shared" si="53"/>
        <v>0</v>
      </c>
      <c r="G110" s="128">
        <f t="shared" si="53"/>
        <v>0</v>
      </c>
      <c r="H110" s="128">
        <f t="shared" si="53"/>
        <v>0</v>
      </c>
      <c r="I110" s="128">
        <f t="shared" si="53"/>
        <v>0</v>
      </c>
      <c r="J110" s="286"/>
      <c r="K110" s="286"/>
      <c r="L110" s="286"/>
      <c r="M110" s="286"/>
      <c r="N110" s="286"/>
      <c r="O110" s="286"/>
      <c r="P110" s="286"/>
      <c r="Q110" s="217"/>
      <c r="V110" s="133"/>
      <c r="AJ110" s="285"/>
      <c r="AK110" s="285"/>
      <c r="AL110" s="285"/>
      <c r="AM110" s="285"/>
      <c r="AN110" s="285"/>
    </row>
    <row r="111" spans="1:40">
      <c r="A111" s="286"/>
      <c r="B111" s="282"/>
      <c r="C111" s="282"/>
      <c r="D111" s="186">
        <f>SUM(D106:D110)</f>
        <v>549.255</v>
      </c>
      <c r="E111" s="186">
        <f t="shared" ref="E111:I111" si="54">SUM(E106:E110)</f>
        <v>2851.9755992156588</v>
      </c>
      <c r="F111" s="186">
        <f t="shared" si="54"/>
        <v>4329.2088711653005</v>
      </c>
      <c r="G111" s="186">
        <f t="shared" si="54"/>
        <v>4370.9502695722094</v>
      </c>
      <c r="H111" s="186">
        <f t="shared" si="54"/>
        <v>4413.0941305058332</v>
      </c>
      <c r="I111" s="186">
        <f t="shared" si="54"/>
        <v>4455.6443344323643</v>
      </c>
      <c r="J111" s="286"/>
      <c r="K111" s="286"/>
      <c r="L111" s="286"/>
      <c r="M111" s="286"/>
      <c r="N111" s="286"/>
      <c r="O111" s="286"/>
      <c r="P111" s="286"/>
      <c r="Q111" s="217"/>
      <c r="R111" s="133"/>
      <c r="S111" s="133"/>
      <c r="T111" s="133"/>
      <c r="U111" s="133"/>
      <c r="V111" s="133"/>
      <c r="W111" s="133"/>
      <c r="X111" s="133"/>
      <c r="Y111" s="133"/>
      <c r="Z111" s="133"/>
      <c r="AJ111" s="285"/>
      <c r="AK111" s="285"/>
      <c r="AL111" s="285"/>
      <c r="AM111" s="285"/>
      <c r="AN111" s="285"/>
    </row>
    <row r="112" spans="1:40">
      <c r="A112" s="286"/>
      <c r="B112" s="305"/>
      <c r="C112" s="282"/>
      <c r="D112" s="284" t="s">
        <v>757</v>
      </c>
      <c r="E112" s="186">
        <f>E111-$D$111</f>
        <v>2302.7205992156587</v>
      </c>
      <c r="F112" s="186">
        <f>F111-$D$111</f>
        <v>3779.9538711653004</v>
      </c>
      <c r="G112" s="186">
        <f>G111-$D$111</f>
        <v>3821.6952695722093</v>
      </c>
      <c r="H112" s="186">
        <f>H111-$D$111</f>
        <v>3863.8391305058331</v>
      </c>
      <c r="I112" s="186">
        <f>I111-$D$111</f>
        <v>3906.3893344323642</v>
      </c>
      <c r="J112" s="286"/>
      <c r="K112" s="286"/>
      <c r="L112" s="286"/>
      <c r="M112" s="286"/>
      <c r="N112" s="286"/>
      <c r="O112" s="286"/>
      <c r="P112" s="286"/>
      <c r="Q112" s="217"/>
      <c r="R112" s="133"/>
      <c r="S112" s="133"/>
      <c r="T112" s="133"/>
      <c r="U112" s="133"/>
      <c r="V112" s="133"/>
      <c r="W112" s="133"/>
      <c r="X112" s="133"/>
      <c r="Y112" s="133"/>
      <c r="Z112" s="133"/>
      <c r="AJ112" s="285"/>
      <c r="AK112" s="285"/>
      <c r="AL112" s="285"/>
      <c r="AM112" s="285"/>
      <c r="AN112" s="285"/>
    </row>
    <row r="113" spans="1:40">
      <c r="A113" s="286"/>
      <c r="B113" s="324"/>
      <c r="C113" s="217"/>
      <c r="D113" s="217"/>
      <c r="E113" s="217"/>
      <c r="F113" s="217"/>
      <c r="G113" s="217"/>
      <c r="H113" s="217"/>
      <c r="I113" s="217"/>
      <c r="J113" s="286"/>
      <c r="K113" s="286"/>
      <c r="L113" s="286"/>
      <c r="M113" s="286"/>
      <c r="N113" s="286"/>
      <c r="O113" s="286"/>
      <c r="P113" s="286"/>
      <c r="Q113" s="217"/>
      <c r="R113" s="133"/>
      <c r="S113" s="133"/>
      <c r="T113" s="133"/>
      <c r="U113" s="133"/>
      <c r="V113" s="133"/>
      <c r="W113" s="133"/>
      <c r="X113" s="133"/>
      <c r="Y113" s="133"/>
      <c r="Z113" s="133"/>
      <c r="AJ113" s="285"/>
      <c r="AK113" s="285"/>
      <c r="AL113" s="285"/>
      <c r="AM113" s="285"/>
      <c r="AN113" s="285"/>
    </row>
    <row r="114" spans="1:40" hidden="1">
      <c r="A114" s="288"/>
      <c r="B114" s="325" t="s">
        <v>758</v>
      </c>
      <c r="C114" s="308"/>
      <c r="D114" s="307"/>
      <c r="E114" s="308"/>
      <c r="F114" s="309"/>
      <c r="G114" s="310"/>
      <c r="H114" s="310"/>
      <c r="I114" s="361"/>
      <c r="J114" s="288"/>
      <c r="K114" s="288"/>
      <c r="L114" s="288"/>
      <c r="M114" s="288"/>
      <c r="N114" s="288"/>
      <c r="O114" s="288"/>
      <c r="P114" s="288"/>
      <c r="Q114" s="288"/>
      <c r="R114" s="133"/>
      <c r="S114" s="133"/>
      <c r="T114" s="133"/>
      <c r="U114" s="133"/>
      <c r="V114" s="133"/>
      <c r="W114" s="133"/>
      <c r="X114" s="133"/>
      <c r="Y114" s="133"/>
      <c r="Z114" s="133"/>
      <c r="AJ114" s="285"/>
      <c r="AK114" s="285"/>
      <c r="AL114" s="285"/>
      <c r="AM114" s="285"/>
      <c r="AN114" s="285"/>
    </row>
    <row r="115" spans="1:40" hidden="1">
      <c r="A115" s="288"/>
      <c r="B115" s="391" t="s">
        <v>759</v>
      </c>
      <c r="C115" s="392"/>
      <c r="D115" s="392"/>
      <c r="E115" s="392"/>
      <c r="F115" s="392"/>
      <c r="G115" s="392"/>
      <c r="H115" s="392"/>
      <c r="I115" s="220"/>
      <c r="J115" s="288"/>
      <c r="K115" s="288"/>
      <c r="L115" s="288"/>
      <c r="M115" s="288"/>
      <c r="N115" s="288"/>
      <c r="O115" s="288"/>
      <c r="P115" s="288"/>
      <c r="Q115" s="288"/>
      <c r="R115" s="133"/>
      <c r="S115" s="133"/>
      <c r="T115" s="133"/>
      <c r="U115" s="133"/>
      <c r="V115" s="133"/>
      <c r="W115" s="133"/>
      <c r="X115" s="133"/>
      <c r="Y115" s="133"/>
      <c r="Z115" s="133"/>
      <c r="AJ115" s="285"/>
      <c r="AK115" s="285"/>
      <c r="AL115" s="285"/>
      <c r="AM115" s="285"/>
      <c r="AN115" s="285"/>
    </row>
    <row r="116" spans="1:40" ht="72.5" hidden="1">
      <c r="A116" s="288"/>
      <c r="B116" s="278" t="s">
        <v>125</v>
      </c>
      <c r="C116" s="165" t="s">
        <v>760</v>
      </c>
      <c r="D116" s="422" t="s">
        <v>736</v>
      </c>
      <c r="E116" s="256" t="s">
        <v>51</v>
      </c>
      <c r="F116" s="256" t="s">
        <v>52</v>
      </c>
      <c r="G116" s="164" t="s">
        <v>737</v>
      </c>
      <c r="H116" s="164" t="s">
        <v>738</v>
      </c>
      <c r="I116" s="256" t="s">
        <v>739</v>
      </c>
      <c r="J116" s="288"/>
      <c r="K116" s="288"/>
      <c r="L116" s="288"/>
      <c r="M116" s="288"/>
      <c r="N116" s="288"/>
      <c r="O116" s="288"/>
      <c r="P116" s="288"/>
      <c r="Q116" s="288"/>
      <c r="R116" s="133"/>
      <c r="S116" s="133"/>
      <c r="T116" s="133"/>
      <c r="U116" s="133"/>
      <c r="V116" s="133"/>
      <c r="W116" s="133"/>
      <c r="X116" s="133"/>
      <c r="Y116" s="133"/>
      <c r="Z116" s="133"/>
      <c r="AJ116" s="285"/>
      <c r="AK116" s="285"/>
      <c r="AL116" s="285"/>
      <c r="AM116" s="285"/>
      <c r="AN116" s="285"/>
    </row>
    <row r="117" spans="1:40" hidden="1">
      <c r="A117" s="288"/>
      <c r="B117" s="350" t="s">
        <v>944</v>
      </c>
      <c r="C117" s="149">
        <f>'Inputs and eligible population'!G86</f>
        <v>0</v>
      </c>
      <c r="D117" s="128" t="e">
        <f>D$7*'Inputs and eligible population'!#REF!*'Unit costs'!$O$16*'Capacity (national prices)'!$C117</f>
        <v>#REF!</v>
      </c>
      <c r="E117" s="128" t="e">
        <f>E$7*'Inputs and eligible population'!#REF!*'Unit costs'!$O$16*'Capacity (national prices)'!$C117</f>
        <v>#REF!</v>
      </c>
      <c r="F117" s="128" t="e">
        <f>F$7*'Inputs and eligible population'!#REF!*'Unit costs'!$O$16*'Capacity (national prices)'!$C117</f>
        <v>#REF!</v>
      </c>
      <c r="G117" s="128" t="e">
        <f>G$7*'Inputs and eligible population'!#REF!*'Unit costs'!$O$16*'Capacity (national prices)'!$C117</f>
        <v>#REF!</v>
      </c>
      <c r="H117" s="128" t="e">
        <f>H$7*'Inputs and eligible population'!#REF!*'Unit costs'!$O$16*'Capacity (national prices)'!$C117</f>
        <v>#REF!</v>
      </c>
      <c r="I117" s="128" t="e">
        <f>I$7*'Inputs and eligible population'!#REF!*'Unit costs'!$O$16*'Capacity (national prices)'!$C117</f>
        <v>#REF!</v>
      </c>
      <c r="J117" s="288"/>
      <c r="K117" s="288"/>
      <c r="L117" s="288"/>
      <c r="M117" s="288"/>
      <c r="N117" s="288"/>
      <c r="O117" s="288"/>
      <c r="P117" s="288"/>
      <c r="Q117" s="288"/>
      <c r="R117" s="133"/>
      <c r="S117" s="133"/>
      <c r="T117" s="133"/>
      <c r="U117" s="133"/>
      <c r="V117" s="133"/>
      <c r="W117" s="133"/>
      <c r="X117" s="133"/>
      <c r="Y117" s="133"/>
      <c r="Z117" s="133"/>
      <c r="AJ117" s="285"/>
      <c r="AK117" s="285"/>
      <c r="AL117" s="285"/>
      <c r="AM117" s="285"/>
      <c r="AN117" s="285"/>
    </row>
    <row r="118" spans="1:40" hidden="1">
      <c r="A118" s="288"/>
      <c r="B118" s="350" t="s">
        <v>945</v>
      </c>
      <c r="C118" s="149">
        <f>'Inputs and eligible population'!I86</f>
        <v>0</v>
      </c>
      <c r="D118" s="128" t="e">
        <f>D$7*'Inputs and eligible population'!#REF!*'Unit costs'!#REF!*'Capacity (national prices)'!$C118</f>
        <v>#REF!</v>
      </c>
      <c r="E118" s="128" t="e">
        <f>E$7*'Inputs and eligible population'!#REF!*'Unit costs'!#REF!*'Capacity (national prices)'!$C118</f>
        <v>#REF!</v>
      </c>
      <c r="F118" s="128" t="e">
        <f>F$7*'Inputs and eligible population'!#REF!*'Unit costs'!#REF!*'Capacity (national prices)'!$C118</f>
        <v>#REF!</v>
      </c>
      <c r="G118" s="128" t="e">
        <f>G$7*'Inputs and eligible population'!#REF!*'Unit costs'!#REF!*'Capacity (national prices)'!$C118</f>
        <v>#REF!</v>
      </c>
      <c r="H118" s="128" t="e">
        <f>H$7*'Inputs and eligible population'!#REF!*'Unit costs'!#REF!*'Capacity (national prices)'!$C118</f>
        <v>#REF!</v>
      </c>
      <c r="I118" s="128" t="e">
        <f>I$7*'Inputs and eligible population'!#REF!*'Unit costs'!#REF!*'Capacity (national prices)'!$C118</f>
        <v>#REF!</v>
      </c>
      <c r="J118" s="288"/>
      <c r="K118" s="288"/>
      <c r="L118" s="288"/>
      <c r="M118" s="288"/>
      <c r="N118" s="288"/>
      <c r="O118" s="288"/>
      <c r="P118" s="288"/>
      <c r="Q118" s="288"/>
      <c r="R118" s="133"/>
      <c r="S118" s="133"/>
      <c r="T118" s="133"/>
      <c r="U118" s="133"/>
      <c r="V118" s="133"/>
      <c r="W118" s="133"/>
      <c r="X118" s="133"/>
      <c r="Y118" s="133"/>
      <c r="Z118" s="133"/>
      <c r="AJ118" s="285"/>
      <c r="AK118" s="285"/>
      <c r="AL118" s="285"/>
      <c r="AM118" s="285"/>
      <c r="AN118" s="285"/>
    </row>
    <row r="119" spans="1:40" hidden="1">
      <c r="A119" s="288"/>
      <c r="B119" s="350" t="s">
        <v>946</v>
      </c>
      <c r="C119" s="149">
        <f>'Inputs and eligible population'!J86</f>
        <v>0</v>
      </c>
      <c r="D119" s="128" t="e">
        <f>D$7*'Inputs and eligible population'!#REF!*'Unit costs'!#REF!*'Capacity (national prices)'!$C119</f>
        <v>#REF!</v>
      </c>
      <c r="E119" s="128" t="e">
        <f>E$7*'Inputs and eligible population'!#REF!*'Unit costs'!#REF!*'Capacity (national prices)'!$C119</f>
        <v>#REF!</v>
      </c>
      <c r="F119" s="128" t="e">
        <f>F$7*'Inputs and eligible population'!#REF!*'Unit costs'!#REF!*'Capacity (national prices)'!$C119</f>
        <v>#REF!</v>
      </c>
      <c r="G119" s="128" t="e">
        <f>G$7*'Inputs and eligible population'!#REF!*'Unit costs'!#REF!*'Capacity (national prices)'!$C119</f>
        <v>#REF!</v>
      </c>
      <c r="H119" s="128" t="e">
        <f>H$7*'Inputs and eligible population'!#REF!*'Unit costs'!#REF!*'Capacity (national prices)'!$C119</f>
        <v>#REF!</v>
      </c>
      <c r="I119" s="128" t="e">
        <f>I$7*'Inputs and eligible population'!#REF!*'Unit costs'!#REF!*'Capacity (national prices)'!$C119</f>
        <v>#REF!</v>
      </c>
      <c r="J119" s="288"/>
      <c r="K119" s="288"/>
      <c r="L119" s="288"/>
      <c r="M119" s="288"/>
      <c r="N119" s="288"/>
      <c r="O119" s="288"/>
      <c r="P119" s="288"/>
      <c r="Q119" s="288"/>
      <c r="R119" s="133"/>
      <c r="S119" s="133"/>
      <c r="T119" s="133"/>
      <c r="U119" s="133"/>
      <c r="V119" s="133"/>
      <c r="W119" s="133"/>
      <c r="X119" s="133"/>
      <c r="Y119" s="133"/>
      <c r="Z119" s="133"/>
      <c r="AJ119" s="285"/>
      <c r="AK119" s="285"/>
      <c r="AL119" s="285"/>
      <c r="AM119" s="285"/>
      <c r="AN119" s="285"/>
    </row>
    <row r="120" spans="1:40" hidden="1">
      <c r="A120" s="288"/>
      <c r="B120" s="282"/>
      <c r="C120" s="207"/>
      <c r="D120" s="186" t="e">
        <f t="shared" ref="D120:I120" si="55">SUM(D117:D119)</f>
        <v>#REF!</v>
      </c>
      <c r="E120" s="186" t="e">
        <f>SUM(E117:E119)</f>
        <v>#REF!</v>
      </c>
      <c r="F120" s="186" t="e">
        <f t="shared" si="55"/>
        <v>#REF!</v>
      </c>
      <c r="G120" s="186" t="e">
        <f t="shared" si="55"/>
        <v>#REF!</v>
      </c>
      <c r="H120" s="186" t="e">
        <f t="shared" si="55"/>
        <v>#REF!</v>
      </c>
      <c r="I120" s="186" t="e">
        <f t="shared" si="55"/>
        <v>#REF!</v>
      </c>
      <c r="J120" s="288"/>
      <c r="K120" s="288"/>
      <c r="L120" s="288"/>
      <c r="M120" s="288"/>
      <c r="N120" s="288"/>
      <c r="O120" s="288"/>
      <c r="P120" s="288"/>
      <c r="Q120" s="288"/>
      <c r="R120" s="133"/>
      <c r="S120" s="133"/>
      <c r="T120" s="133"/>
      <c r="U120" s="133"/>
      <c r="V120" s="133"/>
      <c r="W120" s="133"/>
      <c r="X120" s="133"/>
      <c r="Y120" s="133"/>
      <c r="Z120" s="133"/>
      <c r="AJ120" s="285"/>
      <c r="AK120" s="285"/>
      <c r="AL120" s="285"/>
      <c r="AM120" s="285"/>
      <c r="AN120" s="285"/>
    </row>
    <row r="121" spans="1:40" hidden="1">
      <c r="A121" s="288"/>
      <c r="B121" s="305"/>
      <c r="C121" s="225"/>
      <c r="D121" s="284" t="s">
        <v>177</v>
      </c>
      <c r="E121" s="186" t="e">
        <f>E120-$D$120</f>
        <v>#REF!</v>
      </c>
      <c r="F121" s="186" t="e">
        <f>F120-$D$120</f>
        <v>#REF!</v>
      </c>
      <c r="G121" s="186" t="e">
        <f>G120-$D$120</f>
        <v>#REF!</v>
      </c>
      <c r="H121" s="186" t="e">
        <f>H120-$D$120</f>
        <v>#REF!</v>
      </c>
      <c r="I121" s="186" t="e">
        <f>I120-$D$120</f>
        <v>#REF!</v>
      </c>
      <c r="J121" s="288"/>
      <c r="K121" s="288"/>
      <c r="L121" s="288"/>
      <c r="M121" s="288"/>
      <c r="N121" s="288"/>
      <c r="O121" s="288"/>
      <c r="P121" s="288"/>
      <c r="Q121" s="288"/>
      <c r="R121" s="133"/>
      <c r="S121" s="133"/>
      <c r="T121" s="133"/>
      <c r="U121" s="133"/>
      <c r="V121" s="133"/>
      <c r="W121" s="133"/>
      <c r="X121" s="133"/>
      <c r="Y121" s="133"/>
      <c r="Z121" s="133"/>
      <c r="AJ121" s="285"/>
      <c r="AK121" s="285"/>
      <c r="AL121" s="285"/>
      <c r="AM121" s="285"/>
      <c r="AN121" s="285"/>
    </row>
    <row r="122" spans="1:40" hidden="1">
      <c r="A122" s="288"/>
      <c r="B122" s="326"/>
      <c r="C122" s="392"/>
      <c r="D122" s="221"/>
      <c r="E122" s="221"/>
      <c r="F122" s="221"/>
      <c r="G122" s="221"/>
      <c r="H122" s="310"/>
      <c r="I122" s="310"/>
      <c r="J122" s="288"/>
      <c r="K122" s="288"/>
      <c r="L122" s="288"/>
      <c r="M122" s="288"/>
      <c r="N122" s="288"/>
      <c r="O122" s="288"/>
      <c r="P122" s="288"/>
      <c r="Q122" s="288"/>
      <c r="R122" s="133"/>
      <c r="S122" s="133"/>
      <c r="T122" s="133"/>
      <c r="U122" s="133"/>
      <c r="V122" s="133"/>
      <c r="W122" s="133"/>
      <c r="X122" s="133"/>
      <c r="Y122" s="133"/>
      <c r="Z122" s="133"/>
      <c r="AJ122" s="285"/>
      <c r="AK122" s="285"/>
      <c r="AL122" s="285"/>
      <c r="AM122" s="285"/>
      <c r="AN122" s="285"/>
    </row>
    <row r="123" spans="1:40" hidden="1">
      <c r="A123" s="288"/>
      <c r="B123" s="391" t="s">
        <v>761</v>
      </c>
      <c r="C123" s="392"/>
      <c r="D123" s="392"/>
      <c r="E123" s="392"/>
      <c r="F123" s="392"/>
      <c r="G123" s="392"/>
      <c r="H123" s="392"/>
      <c r="I123" s="220"/>
      <c r="J123" s="288"/>
      <c r="K123" s="288"/>
      <c r="L123" s="288"/>
      <c r="M123" s="288"/>
      <c r="N123" s="288"/>
      <c r="O123" s="288"/>
      <c r="P123" s="288"/>
      <c r="Q123" s="288"/>
      <c r="R123" s="133"/>
      <c r="S123" s="133"/>
      <c r="T123" s="133"/>
      <c r="U123" s="133"/>
      <c r="V123" s="133"/>
      <c r="W123" s="133"/>
      <c r="X123" s="133"/>
      <c r="Y123" s="133"/>
      <c r="Z123" s="133"/>
      <c r="AJ123" s="285"/>
      <c r="AK123" s="285"/>
      <c r="AL123" s="285"/>
      <c r="AM123" s="285"/>
      <c r="AN123" s="285"/>
    </row>
    <row r="124" spans="1:40" ht="72.5" hidden="1">
      <c r="A124" s="288"/>
      <c r="B124" s="278" t="s">
        <v>125</v>
      </c>
      <c r="C124" s="165" t="s">
        <v>762</v>
      </c>
      <c r="D124" s="422" t="s">
        <v>736</v>
      </c>
      <c r="E124" s="256" t="s">
        <v>51</v>
      </c>
      <c r="F124" s="256" t="s">
        <v>52</v>
      </c>
      <c r="G124" s="164" t="s">
        <v>737</v>
      </c>
      <c r="H124" s="164" t="s">
        <v>738</v>
      </c>
      <c r="I124" s="256" t="s">
        <v>739</v>
      </c>
      <c r="J124" s="288"/>
      <c r="K124" s="288"/>
      <c r="L124" s="288"/>
      <c r="M124" s="288"/>
      <c r="N124" s="288"/>
      <c r="O124" s="288"/>
      <c r="P124" s="288"/>
      <c r="Q124" s="288"/>
      <c r="R124" s="133"/>
      <c r="S124" s="133"/>
      <c r="T124" s="133"/>
      <c r="U124" s="133"/>
      <c r="V124" s="133"/>
      <c r="W124" s="133"/>
      <c r="X124" s="133"/>
      <c r="Y124" s="133"/>
      <c r="Z124" s="133"/>
      <c r="AJ124" s="285"/>
      <c r="AK124" s="285"/>
      <c r="AL124" s="285"/>
      <c r="AM124" s="285"/>
      <c r="AN124" s="285"/>
    </row>
    <row r="125" spans="1:40" hidden="1">
      <c r="A125" s="288"/>
      <c r="B125" s="350" t="s">
        <v>944</v>
      </c>
      <c r="C125" s="149">
        <f>'Inputs and eligible population'!G87</f>
        <v>0</v>
      </c>
      <c r="D125" s="128" t="e">
        <f>D$7*'Inputs and eligible population'!#REF!*'Unit costs'!$O$16*'Capacity (national prices)'!$C125</f>
        <v>#REF!</v>
      </c>
      <c r="E125" s="128" t="e">
        <f>E$7*'Inputs and eligible population'!#REF!*'Unit costs'!$O$16*'Capacity (national prices)'!$C125</f>
        <v>#REF!</v>
      </c>
      <c r="F125" s="128" t="e">
        <f>F$7*'Inputs and eligible population'!#REF!*'Unit costs'!$O$16*'Capacity (national prices)'!$C125</f>
        <v>#REF!</v>
      </c>
      <c r="G125" s="128" t="e">
        <f>G$7*'Inputs and eligible population'!#REF!*'Unit costs'!$O$16*'Capacity (national prices)'!$C125</f>
        <v>#REF!</v>
      </c>
      <c r="H125" s="128" t="e">
        <f>H$7*'Inputs and eligible population'!#REF!*'Unit costs'!$O$16*'Capacity (national prices)'!$C125</f>
        <v>#REF!</v>
      </c>
      <c r="I125" s="128" t="e">
        <f>I$7*'Inputs and eligible population'!#REF!*'Unit costs'!$O$16*'Capacity (national prices)'!$C125</f>
        <v>#REF!</v>
      </c>
      <c r="J125" s="288"/>
      <c r="K125" s="288"/>
      <c r="L125" s="221"/>
      <c r="M125" s="221"/>
      <c r="N125" s="288"/>
      <c r="O125" s="221"/>
      <c r="P125" s="221"/>
      <c r="Q125" s="221"/>
      <c r="R125" s="133"/>
      <c r="S125" s="133"/>
      <c r="T125" s="133"/>
      <c r="U125" s="133"/>
      <c r="V125" s="133"/>
      <c r="W125" s="133"/>
      <c r="X125" s="133"/>
      <c r="Y125" s="133"/>
      <c r="Z125" s="133"/>
      <c r="AJ125" s="285"/>
      <c r="AK125" s="285"/>
      <c r="AL125" s="285"/>
      <c r="AM125" s="285"/>
      <c r="AN125" s="285"/>
    </row>
    <row r="126" spans="1:40" hidden="1">
      <c r="A126" s="288"/>
      <c r="B126" s="350" t="s">
        <v>945</v>
      </c>
      <c r="C126" s="149">
        <f>'Inputs and eligible population'!I87</f>
        <v>0</v>
      </c>
      <c r="D126" s="128" t="e">
        <f>D$7*'Inputs and eligible population'!#REF!*'Unit costs'!#REF!*'Capacity (national prices)'!$C126</f>
        <v>#REF!</v>
      </c>
      <c r="E126" s="128" t="e">
        <f>E$7*'Inputs and eligible population'!#REF!*'Unit costs'!#REF!*'Capacity (national prices)'!$C126</f>
        <v>#REF!</v>
      </c>
      <c r="F126" s="128" t="e">
        <f>F$7*'Inputs and eligible population'!#REF!*'Unit costs'!#REF!*'Capacity (national prices)'!$C126</f>
        <v>#REF!</v>
      </c>
      <c r="G126" s="128" t="e">
        <f>G$7*'Inputs and eligible population'!#REF!*'Unit costs'!#REF!*'Capacity (national prices)'!$C126</f>
        <v>#REF!</v>
      </c>
      <c r="H126" s="128" t="e">
        <f>H$7*'Inputs and eligible population'!#REF!*'Unit costs'!#REF!*'Capacity (national prices)'!$C126</f>
        <v>#REF!</v>
      </c>
      <c r="I126" s="128" t="e">
        <f>I$7*'Inputs and eligible population'!#REF!*'Unit costs'!#REF!*'Capacity (national prices)'!$C126</f>
        <v>#REF!</v>
      </c>
      <c r="J126" s="288"/>
      <c r="K126" s="288"/>
      <c r="L126" s="221"/>
      <c r="M126" s="221"/>
      <c r="N126" s="288"/>
      <c r="O126" s="221"/>
      <c r="P126" s="221"/>
      <c r="Q126" s="221"/>
      <c r="R126" s="133"/>
      <c r="S126" s="133"/>
      <c r="T126" s="133"/>
      <c r="U126" s="133"/>
      <c r="V126" s="133"/>
      <c r="W126" s="133"/>
      <c r="X126" s="133"/>
      <c r="Y126" s="133"/>
      <c r="Z126" s="133"/>
      <c r="AJ126" s="285"/>
      <c r="AK126" s="285"/>
      <c r="AL126" s="285"/>
      <c r="AM126" s="285"/>
      <c r="AN126" s="285"/>
    </row>
    <row r="127" spans="1:40" hidden="1">
      <c r="A127" s="288"/>
      <c r="B127" s="350" t="s">
        <v>946</v>
      </c>
      <c r="C127" s="149">
        <f>'Inputs and eligible population'!J87</f>
        <v>0</v>
      </c>
      <c r="D127" s="128" t="e">
        <f>D$7*'Inputs and eligible population'!#REF!*'Unit costs'!#REF!*'Capacity (national prices)'!$C127</f>
        <v>#REF!</v>
      </c>
      <c r="E127" s="128" t="e">
        <f>E$7*'Inputs and eligible population'!#REF!*'Unit costs'!#REF!*'Capacity (national prices)'!$C127</f>
        <v>#REF!</v>
      </c>
      <c r="F127" s="128" t="e">
        <f>F$7*'Inputs and eligible population'!#REF!*'Unit costs'!#REF!*'Capacity (national prices)'!$C127</f>
        <v>#REF!</v>
      </c>
      <c r="G127" s="128" t="e">
        <f>G$7*'Inputs and eligible population'!#REF!*'Unit costs'!#REF!*'Capacity (national prices)'!$C127</f>
        <v>#REF!</v>
      </c>
      <c r="H127" s="128" t="e">
        <f>H$7*'Inputs and eligible population'!#REF!*'Unit costs'!#REF!*'Capacity (national prices)'!$C127</f>
        <v>#REF!</v>
      </c>
      <c r="I127" s="128" t="e">
        <f>I$7*'Inputs and eligible population'!#REF!*'Unit costs'!#REF!*'Capacity (national prices)'!$C127</f>
        <v>#REF!</v>
      </c>
      <c r="J127" s="288"/>
      <c r="K127" s="288"/>
      <c r="L127" s="221"/>
      <c r="M127" s="221"/>
      <c r="N127" s="288"/>
      <c r="O127" s="221"/>
      <c r="P127" s="221"/>
      <c r="Q127" s="221"/>
      <c r="R127" s="133"/>
      <c r="S127" s="133"/>
      <c r="T127" s="133"/>
      <c r="U127" s="133"/>
      <c r="V127" s="133"/>
      <c r="W127" s="133"/>
      <c r="X127" s="133"/>
      <c r="Y127" s="133"/>
      <c r="Z127" s="133"/>
      <c r="AJ127" s="285"/>
      <c r="AK127" s="285"/>
      <c r="AL127" s="285"/>
      <c r="AM127" s="285"/>
      <c r="AN127" s="285"/>
    </row>
    <row r="128" spans="1:40" hidden="1">
      <c r="A128" s="288"/>
      <c r="B128" s="282"/>
      <c r="C128" s="207"/>
      <c r="D128" s="186" t="e">
        <f t="shared" ref="D128:I128" si="56">SUM(D125:D127)</f>
        <v>#REF!</v>
      </c>
      <c r="E128" s="186" t="e">
        <f t="shared" si="56"/>
        <v>#REF!</v>
      </c>
      <c r="F128" s="186" t="e">
        <f t="shared" si="56"/>
        <v>#REF!</v>
      </c>
      <c r="G128" s="186" t="e">
        <f t="shared" si="56"/>
        <v>#REF!</v>
      </c>
      <c r="H128" s="186" t="e">
        <f t="shared" si="56"/>
        <v>#REF!</v>
      </c>
      <c r="I128" s="186" t="e">
        <f t="shared" si="56"/>
        <v>#REF!</v>
      </c>
      <c r="J128" s="288"/>
      <c r="K128" s="288"/>
      <c r="L128" s="221"/>
      <c r="M128" s="221"/>
      <c r="N128" s="288"/>
      <c r="O128" s="221"/>
      <c r="P128" s="221"/>
      <c r="Q128" s="221"/>
      <c r="V128" s="133"/>
    </row>
    <row r="129" spans="1:22" hidden="1">
      <c r="A129" s="288"/>
      <c r="B129" s="305"/>
      <c r="C129" s="225"/>
      <c r="D129" s="284" t="s">
        <v>178</v>
      </c>
      <c r="E129" s="186" t="e">
        <f>E128-$D$128</f>
        <v>#REF!</v>
      </c>
      <c r="F129" s="186" t="e">
        <f>F128-$D$128</f>
        <v>#REF!</v>
      </c>
      <c r="G129" s="186" t="e">
        <f>G128-$D$128</f>
        <v>#REF!</v>
      </c>
      <c r="H129" s="186" t="e">
        <f>H128-$D$128</f>
        <v>#REF!</v>
      </c>
      <c r="I129" s="186" t="e">
        <f>I128-$D$128</f>
        <v>#REF!</v>
      </c>
      <c r="J129" s="288"/>
      <c r="K129" s="288"/>
      <c r="L129" s="221"/>
      <c r="M129" s="221"/>
      <c r="N129" s="288"/>
      <c r="O129" s="221"/>
      <c r="P129" s="221"/>
      <c r="Q129" s="221"/>
      <c r="V129" s="133"/>
    </row>
    <row r="130" spans="1:22" hidden="1">
      <c r="A130" s="288"/>
      <c r="B130" s="326"/>
      <c r="C130" s="392"/>
      <c r="D130" s="221"/>
      <c r="E130" s="221"/>
      <c r="F130" s="221"/>
      <c r="G130" s="221"/>
      <c r="H130" s="310"/>
      <c r="I130" s="310"/>
      <c r="J130" s="288"/>
      <c r="K130" s="288"/>
      <c r="L130" s="221"/>
      <c r="M130" s="221"/>
      <c r="N130" s="288"/>
      <c r="O130" s="221"/>
      <c r="P130" s="221"/>
      <c r="Q130" s="221"/>
      <c r="V130" s="133"/>
    </row>
    <row r="131" spans="1:22" hidden="1">
      <c r="A131" s="288"/>
      <c r="B131" s="391" t="s">
        <v>763</v>
      </c>
      <c r="C131" s="392"/>
      <c r="D131" s="392"/>
      <c r="E131" s="392"/>
      <c r="F131" s="392"/>
      <c r="G131" s="392"/>
      <c r="H131" s="392"/>
      <c r="I131" s="220"/>
      <c r="J131" s="288"/>
      <c r="K131" s="288"/>
      <c r="L131" s="221"/>
      <c r="M131" s="221"/>
      <c r="N131" s="288"/>
      <c r="O131" s="221"/>
      <c r="P131" s="221"/>
      <c r="Q131" s="221"/>
      <c r="V131" s="133"/>
    </row>
    <row r="132" spans="1:22" ht="72.5" hidden="1">
      <c r="A132" s="288"/>
      <c r="B132" s="278" t="s">
        <v>125</v>
      </c>
      <c r="C132" s="165" t="s">
        <v>764</v>
      </c>
      <c r="D132" s="422" t="s">
        <v>736</v>
      </c>
      <c r="E132" s="256" t="s">
        <v>51</v>
      </c>
      <c r="F132" s="256" t="s">
        <v>52</v>
      </c>
      <c r="G132" s="164" t="s">
        <v>737</v>
      </c>
      <c r="H132" s="164" t="s">
        <v>738</v>
      </c>
      <c r="I132" s="256" t="s">
        <v>739</v>
      </c>
      <c r="J132" s="288"/>
      <c r="K132" s="288"/>
      <c r="L132" s="221"/>
      <c r="M132" s="221"/>
      <c r="N132" s="288"/>
      <c r="O132" s="221"/>
      <c r="P132" s="221"/>
      <c r="Q132" s="221"/>
      <c r="V132" s="133"/>
    </row>
    <row r="133" spans="1:22" hidden="1">
      <c r="A133" s="288"/>
      <c r="B133" s="350" t="s">
        <v>944</v>
      </c>
      <c r="C133" s="149">
        <f>'Inputs and eligible population'!G88</f>
        <v>0</v>
      </c>
      <c r="D133" s="128" t="e">
        <f>(D$7*'Inputs and eligible population'!#REF!*'Unit costs'!$O$16*'Capacity (national prices)'!$C133)/60</f>
        <v>#REF!</v>
      </c>
      <c r="E133" s="128" t="e">
        <f>(E$7*'Inputs and eligible population'!#REF!*'Unit costs'!$O$16*'Capacity (national prices)'!$C133)/60</f>
        <v>#REF!</v>
      </c>
      <c r="F133" s="128" t="e">
        <f>(F$7*'Inputs and eligible population'!#REF!*'Unit costs'!$O$16*'Capacity (national prices)'!$C133)/60</f>
        <v>#REF!</v>
      </c>
      <c r="G133" s="128" t="e">
        <f>(G$7*'Inputs and eligible population'!#REF!*'Unit costs'!$O$16*'Capacity (national prices)'!$C133)/60</f>
        <v>#REF!</v>
      </c>
      <c r="H133" s="128" t="e">
        <f>(H$7*'Inputs and eligible population'!#REF!*'Unit costs'!$O$16*'Capacity (national prices)'!$C133)/60</f>
        <v>#REF!</v>
      </c>
      <c r="I133" s="128" t="e">
        <f>(I$7*'Inputs and eligible population'!#REF!*'Unit costs'!$O$16*'Capacity (national prices)'!$C133)/60</f>
        <v>#REF!</v>
      </c>
      <c r="J133" s="288"/>
      <c r="K133" s="288"/>
      <c r="L133" s="221"/>
      <c r="M133" s="221"/>
      <c r="N133" s="288"/>
      <c r="O133" s="221"/>
      <c r="P133" s="221"/>
      <c r="Q133" s="221"/>
      <c r="V133" s="133"/>
    </row>
    <row r="134" spans="1:22" hidden="1">
      <c r="A134" s="288"/>
      <c r="B134" s="350" t="s">
        <v>945</v>
      </c>
      <c r="C134" s="149">
        <f>'Inputs and eligible population'!I88</f>
        <v>0</v>
      </c>
      <c r="D134" s="128" t="e">
        <f>(D$7*'Inputs and eligible population'!#REF!*'Unit costs'!#REF!*'Capacity (national prices)'!$C134)/60</f>
        <v>#REF!</v>
      </c>
      <c r="E134" s="128" t="e">
        <f>(E$7*'Inputs and eligible population'!#REF!*'Unit costs'!#REF!*'Capacity (national prices)'!$C134)/60</f>
        <v>#REF!</v>
      </c>
      <c r="F134" s="128" t="e">
        <f>(F$7*'Inputs and eligible population'!#REF!*'Unit costs'!#REF!*'Capacity (national prices)'!$C134)/60</f>
        <v>#REF!</v>
      </c>
      <c r="G134" s="128" t="e">
        <f>(G$7*'Inputs and eligible population'!#REF!*'Unit costs'!#REF!*'Capacity (national prices)'!$C134)/60</f>
        <v>#REF!</v>
      </c>
      <c r="H134" s="128" t="e">
        <f>(H$7*'Inputs and eligible population'!#REF!*'Unit costs'!#REF!*'Capacity (national prices)'!$C134)/60</f>
        <v>#REF!</v>
      </c>
      <c r="I134" s="128" t="e">
        <f>(I$7*'Inputs and eligible population'!#REF!*'Unit costs'!#REF!*'Capacity (national prices)'!$C134)/60</f>
        <v>#REF!</v>
      </c>
      <c r="J134" s="288"/>
      <c r="K134" s="288"/>
      <c r="L134" s="221"/>
      <c r="M134" s="221"/>
      <c r="N134" s="288"/>
      <c r="O134" s="221"/>
      <c r="P134" s="221"/>
      <c r="Q134" s="221"/>
      <c r="V134" s="133"/>
    </row>
    <row r="135" spans="1:22" hidden="1">
      <c r="A135" s="288"/>
      <c r="B135" s="350" t="s">
        <v>946</v>
      </c>
      <c r="C135" s="149">
        <f>'Inputs and eligible population'!J88</f>
        <v>0</v>
      </c>
      <c r="D135" s="128" t="e">
        <f>(D$7*'Inputs and eligible population'!#REF!*'Unit costs'!#REF!*'Capacity (national prices)'!$C135)/60</f>
        <v>#REF!</v>
      </c>
      <c r="E135" s="128" t="e">
        <f>(E$7*'Inputs and eligible population'!#REF!*'Unit costs'!#REF!*'Capacity (national prices)'!$C135)/60</f>
        <v>#REF!</v>
      </c>
      <c r="F135" s="128" t="e">
        <f>(F$7*'Inputs and eligible population'!#REF!*'Unit costs'!#REF!*'Capacity (national prices)'!$C135)/60</f>
        <v>#REF!</v>
      </c>
      <c r="G135" s="128" t="e">
        <f>(G$7*'Inputs and eligible population'!#REF!*'Unit costs'!#REF!*'Capacity (national prices)'!$C135)/60</f>
        <v>#REF!</v>
      </c>
      <c r="H135" s="128" t="e">
        <f>(H$7*'Inputs and eligible population'!#REF!*'Unit costs'!#REF!*'Capacity (national prices)'!$C135)/60</f>
        <v>#REF!</v>
      </c>
      <c r="I135" s="128" t="e">
        <f>(I$7*'Inputs and eligible population'!#REF!*'Unit costs'!#REF!*'Capacity (national prices)'!$C135)/60</f>
        <v>#REF!</v>
      </c>
      <c r="J135" s="288"/>
      <c r="K135" s="288"/>
      <c r="L135" s="221"/>
      <c r="M135" s="221"/>
      <c r="N135" s="288"/>
      <c r="O135" s="221"/>
      <c r="P135" s="221"/>
      <c r="Q135" s="221"/>
      <c r="V135" s="133"/>
    </row>
    <row r="136" spans="1:22" hidden="1">
      <c r="A136" s="288"/>
      <c r="B136" s="282"/>
      <c r="C136" s="207"/>
      <c r="D136" s="186" t="e">
        <f t="shared" ref="D136:I136" si="57">SUM(D133:D135)</f>
        <v>#REF!</v>
      </c>
      <c r="E136" s="186" t="e">
        <f t="shared" si="57"/>
        <v>#REF!</v>
      </c>
      <c r="F136" s="186" t="e">
        <f t="shared" si="57"/>
        <v>#REF!</v>
      </c>
      <c r="G136" s="186" t="e">
        <f t="shared" si="57"/>
        <v>#REF!</v>
      </c>
      <c r="H136" s="186" t="e">
        <f t="shared" si="57"/>
        <v>#REF!</v>
      </c>
      <c r="I136" s="186" t="e">
        <f t="shared" si="57"/>
        <v>#REF!</v>
      </c>
      <c r="J136" s="288"/>
      <c r="K136" s="288"/>
      <c r="L136" s="221"/>
      <c r="M136" s="221"/>
      <c r="N136" s="288"/>
      <c r="O136" s="221"/>
      <c r="P136" s="221"/>
      <c r="Q136" s="221"/>
      <c r="V136" s="133"/>
    </row>
    <row r="137" spans="1:22" hidden="1">
      <c r="A137" s="288"/>
      <c r="B137" s="305"/>
      <c r="C137" s="225"/>
      <c r="D137" s="284" t="s">
        <v>179</v>
      </c>
      <c r="E137" s="186" t="e">
        <f>E136-$D$136</f>
        <v>#REF!</v>
      </c>
      <c r="F137" s="186" t="e">
        <f>F136-$D$136</f>
        <v>#REF!</v>
      </c>
      <c r="G137" s="186" t="e">
        <f>G136-$D$136</f>
        <v>#REF!</v>
      </c>
      <c r="H137" s="186" t="e">
        <f>H136-$D$136</f>
        <v>#REF!</v>
      </c>
      <c r="I137" s="186" t="e">
        <f>I136-$D$136</f>
        <v>#REF!</v>
      </c>
      <c r="J137" s="288"/>
      <c r="K137" s="288"/>
      <c r="L137" s="221"/>
      <c r="M137" s="221"/>
      <c r="N137" s="288"/>
      <c r="O137" s="221"/>
      <c r="P137" s="221"/>
      <c r="Q137" s="221"/>
      <c r="V137" s="133"/>
    </row>
    <row r="138" spans="1:22" hidden="1">
      <c r="A138" s="288"/>
      <c r="B138" s="326"/>
      <c r="C138" s="392"/>
      <c r="D138" s="221"/>
      <c r="E138" s="221"/>
      <c r="F138" s="221"/>
      <c r="G138" s="221"/>
      <c r="H138" s="310"/>
      <c r="I138" s="310"/>
      <c r="J138" s="288"/>
      <c r="K138" s="288"/>
      <c r="L138" s="221"/>
      <c r="M138" s="221"/>
      <c r="N138" s="288"/>
      <c r="O138" s="221"/>
      <c r="P138" s="221"/>
      <c r="Q138" s="221"/>
      <c r="V138" s="133"/>
    </row>
    <row r="139" spans="1:22" hidden="1">
      <c r="A139" s="288"/>
      <c r="B139" s="391" t="s">
        <v>765</v>
      </c>
      <c r="C139" s="392"/>
      <c r="D139" s="392"/>
      <c r="E139" s="392"/>
      <c r="F139" s="392"/>
      <c r="G139" s="392"/>
      <c r="H139" s="392"/>
      <c r="I139" s="220"/>
      <c r="J139" s="288"/>
      <c r="K139" s="288"/>
      <c r="L139" s="221"/>
      <c r="M139" s="221"/>
      <c r="N139" s="288"/>
      <c r="O139" s="221"/>
      <c r="P139" s="221"/>
      <c r="Q139" s="221"/>
      <c r="V139" s="133"/>
    </row>
    <row r="140" spans="1:22" ht="72.5" hidden="1">
      <c r="A140" s="288"/>
      <c r="B140" s="278" t="s">
        <v>125</v>
      </c>
      <c r="C140" s="165" t="s">
        <v>766</v>
      </c>
      <c r="D140" s="422" t="s">
        <v>736</v>
      </c>
      <c r="E140" s="256" t="s">
        <v>51</v>
      </c>
      <c r="F140" s="256" t="s">
        <v>52</v>
      </c>
      <c r="G140" s="164" t="s">
        <v>737</v>
      </c>
      <c r="H140" s="164" t="s">
        <v>738</v>
      </c>
      <c r="I140" s="256" t="s">
        <v>739</v>
      </c>
      <c r="J140" s="288"/>
      <c r="K140" s="288"/>
      <c r="L140" s="221"/>
      <c r="M140" s="221"/>
      <c r="N140" s="288"/>
      <c r="O140" s="221"/>
      <c r="P140" s="221"/>
      <c r="Q140" s="221"/>
      <c r="V140" s="133"/>
    </row>
    <row r="141" spans="1:22" hidden="1">
      <c r="A141" s="288"/>
      <c r="B141" s="350" t="s">
        <v>944</v>
      </c>
      <c r="C141" s="149">
        <f>'Inputs and eligible population'!G89</f>
        <v>0</v>
      </c>
      <c r="D141" s="128" t="e">
        <f>(D$7*'Inputs and eligible population'!#REF!*'Unit costs'!$O$16*'Capacity (national prices)'!$C141)/60</f>
        <v>#REF!</v>
      </c>
      <c r="E141" s="128" t="e">
        <f>(E$7*'Inputs and eligible population'!#REF!*'Unit costs'!$O$16*'Capacity (national prices)'!$C141)/60</f>
        <v>#REF!</v>
      </c>
      <c r="F141" s="128" t="e">
        <f>(F$7*'Inputs and eligible population'!#REF!*'Unit costs'!$O$16*'Capacity (national prices)'!$C141)/60</f>
        <v>#REF!</v>
      </c>
      <c r="G141" s="128" t="e">
        <f>(G$7*'Inputs and eligible population'!#REF!*'Unit costs'!$O$16*'Capacity (national prices)'!$C141)/60</f>
        <v>#REF!</v>
      </c>
      <c r="H141" s="128" t="e">
        <f>(H$7*'Inputs and eligible population'!#REF!*'Unit costs'!$O$16*'Capacity (national prices)'!$C141)/60</f>
        <v>#REF!</v>
      </c>
      <c r="I141" s="128" t="e">
        <f>(I$7*'Inputs and eligible population'!#REF!*'Unit costs'!$O$16*'Capacity (national prices)'!$C141)/60</f>
        <v>#REF!</v>
      </c>
      <c r="J141" s="288"/>
      <c r="K141" s="288"/>
      <c r="L141" s="221"/>
      <c r="M141" s="221"/>
      <c r="N141" s="288"/>
      <c r="O141" s="221"/>
      <c r="P141" s="221"/>
      <c r="Q141" s="221"/>
      <c r="V141" s="133"/>
    </row>
    <row r="142" spans="1:22" hidden="1">
      <c r="A142" s="288"/>
      <c r="B142" s="350" t="s">
        <v>945</v>
      </c>
      <c r="C142" s="149">
        <f>'Inputs and eligible population'!I89</f>
        <v>0</v>
      </c>
      <c r="D142" s="128" t="e">
        <f>(D$7*'Inputs and eligible population'!#REF!*'Unit costs'!#REF!*'Capacity (national prices)'!$C142)/60</f>
        <v>#REF!</v>
      </c>
      <c r="E142" s="128" t="e">
        <f>(E$7*'Inputs and eligible population'!#REF!*'Unit costs'!#REF!*'Capacity (national prices)'!$C142)/60</f>
        <v>#REF!</v>
      </c>
      <c r="F142" s="128" t="e">
        <f>(F$7*'Inputs and eligible population'!#REF!*'Unit costs'!#REF!*'Capacity (national prices)'!$C142)/60</f>
        <v>#REF!</v>
      </c>
      <c r="G142" s="128" t="e">
        <f>(G$7*'Inputs and eligible population'!#REF!*'Unit costs'!#REF!*'Capacity (national prices)'!$C142)/60</f>
        <v>#REF!</v>
      </c>
      <c r="H142" s="128" t="e">
        <f>(H$7*'Inputs and eligible population'!#REF!*'Unit costs'!#REF!*'Capacity (national prices)'!$C142)/60</f>
        <v>#REF!</v>
      </c>
      <c r="I142" s="128" t="e">
        <f>(I$7*'Inputs and eligible population'!#REF!*'Unit costs'!#REF!*'Capacity (national prices)'!$C142)/60</f>
        <v>#REF!</v>
      </c>
      <c r="J142" s="288"/>
      <c r="K142" s="288"/>
      <c r="L142" s="221"/>
      <c r="M142" s="221"/>
      <c r="N142" s="288"/>
      <c r="O142" s="221"/>
      <c r="P142" s="221"/>
      <c r="Q142" s="221"/>
      <c r="V142" s="133"/>
    </row>
    <row r="143" spans="1:22" hidden="1">
      <c r="A143" s="288"/>
      <c r="B143" s="350" t="s">
        <v>946</v>
      </c>
      <c r="C143" s="149">
        <f>'Inputs and eligible population'!J89</f>
        <v>0</v>
      </c>
      <c r="D143" s="128" t="e">
        <f>(D$7*'Inputs and eligible population'!#REF!*'Unit costs'!#REF!*'Capacity (national prices)'!$C143)/60</f>
        <v>#REF!</v>
      </c>
      <c r="E143" s="128" t="e">
        <f>(E$7*'Inputs and eligible population'!#REF!*'Unit costs'!#REF!*'Capacity (national prices)'!$C143)/60</f>
        <v>#REF!</v>
      </c>
      <c r="F143" s="128" t="e">
        <f>(F$7*'Inputs and eligible population'!#REF!*'Unit costs'!#REF!*'Capacity (national prices)'!$C143)/60</f>
        <v>#REF!</v>
      </c>
      <c r="G143" s="128" t="e">
        <f>(G$7*'Inputs and eligible population'!#REF!*'Unit costs'!#REF!*'Capacity (national prices)'!$C143)/60</f>
        <v>#REF!</v>
      </c>
      <c r="H143" s="128" t="e">
        <f>(H$7*'Inputs and eligible population'!#REF!*'Unit costs'!#REF!*'Capacity (national prices)'!$C143)/60</f>
        <v>#REF!</v>
      </c>
      <c r="I143" s="128" t="e">
        <f>(I$7*'Inputs and eligible population'!#REF!*'Unit costs'!#REF!*'Capacity (national prices)'!$C143)/60</f>
        <v>#REF!</v>
      </c>
      <c r="J143" s="288"/>
      <c r="K143" s="288"/>
      <c r="L143" s="221"/>
      <c r="M143" s="221"/>
      <c r="N143" s="288"/>
      <c r="O143" s="221"/>
      <c r="P143" s="221"/>
      <c r="Q143" s="221"/>
      <c r="V143" s="133"/>
    </row>
    <row r="144" spans="1:22" hidden="1">
      <c r="A144" s="288"/>
      <c r="B144" s="282"/>
      <c r="C144" s="207"/>
      <c r="D144" s="186" t="e">
        <f t="shared" ref="D144:I144" si="58">SUM(D141:D143)</f>
        <v>#REF!</v>
      </c>
      <c r="E144" s="186" t="e">
        <f t="shared" si="58"/>
        <v>#REF!</v>
      </c>
      <c r="F144" s="186" t="e">
        <f t="shared" si="58"/>
        <v>#REF!</v>
      </c>
      <c r="G144" s="186" t="e">
        <f t="shared" si="58"/>
        <v>#REF!</v>
      </c>
      <c r="H144" s="186" t="e">
        <f t="shared" si="58"/>
        <v>#REF!</v>
      </c>
      <c r="I144" s="186" t="e">
        <f t="shared" si="58"/>
        <v>#REF!</v>
      </c>
      <c r="J144" s="288"/>
      <c r="K144" s="288"/>
      <c r="L144" s="221"/>
      <c r="M144" s="221"/>
      <c r="N144" s="288"/>
      <c r="O144" s="221"/>
      <c r="P144" s="221"/>
      <c r="Q144" s="221"/>
      <c r="V144" s="133"/>
    </row>
    <row r="145" spans="1:40" hidden="1">
      <c r="A145" s="288"/>
      <c r="B145" s="305"/>
      <c r="C145" s="225"/>
      <c r="D145" s="284" t="s">
        <v>180</v>
      </c>
      <c r="E145" s="186" t="e">
        <f>E144-$D$144</f>
        <v>#REF!</v>
      </c>
      <c r="F145" s="186" t="e">
        <f>F144-$D$144</f>
        <v>#REF!</v>
      </c>
      <c r="G145" s="186" t="e">
        <f>G144-$D$144</f>
        <v>#REF!</v>
      </c>
      <c r="H145" s="186" t="e">
        <f>H144-$D$144</f>
        <v>#REF!</v>
      </c>
      <c r="I145" s="186" t="e">
        <f>I144-$D$144</f>
        <v>#REF!</v>
      </c>
      <c r="J145" s="288"/>
      <c r="K145" s="288"/>
      <c r="L145" s="221"/>
      <c r="M145" s="221"/>
      <c r="N145" s="288"/>
      <c r="O145" s="221"/>
      <c r="P145" s="221"/>
      <c r="Q145" s="221"/>
      <c r="V145" s="133"/>
    </row>
    <row r="146" spans="1:40" hidden="1">
      <c r="A146" s="288"/>
      <c r="B146" s="326"/>
      <c r="C146" s="392"/>
      <c r="D146" s="221"/>
      <c r="E146" s="221"/>
      <c r="F146" s="221"/>
      <c r="G146" s="221"/>
      <c r="H146" s="310"/>
      <c r="I146" s="310"/>
      <c r="J146" s="288"/>
      <c r="K146" s="288"/>
      <c r="L146" s="221"/>
      <c r="M146" s="221"/>
      <c r="N146" s="288"/>
      <c r="O146" s="221"/>
      <c r="P146" s="221"/>
      <c r="Q146" s="221"/>
      <c r="V146" s="133"/>
    </row>
    <row r="147" spans="1:40" hidden="1">
      <c r="A147" s="288"/>
      <c r="B147" s="391" t="s">
        <v>767</v>
      </c>
      <c r="C147" s="392"/>
      <c r="D147" s="392"/>
      <c r="E147" s="392"/>
      <c r="F147" s="392"/>
      <c r="G147" s="392"/>
      <c r="H147" s="392"/>
      <c r="I147" s="220"/>
      <c r="J147" s="288"/>
      <c r="K147" s="288"/>
      <c r="L147" s="221"/>
      <c r="M147" s="221"/>
      <c r="N147" s="288"/>
      <c r="O147" s="221"/>
      <c r="P147" s="221"/>
      <c r="Q147" s="221"/>
      <c r="V147" s="133"/>
    </row>
    <row r="148" spans="1:40" ht="43.5" hidden="1">
      <c r="A148" s="288"/>
      <c r="B148" s="278" t="s">
        <v>125</v>
      </c>
      <c r="C148" s="165" t="s">
        <v>96</v>
      </c>
      <c r="D148" s="422" t="s">
        <v>736</v>
      </c>
      <c r="E148" s="256" t="s">
        <v>51</v>
      </c>
      <c r="F148" s="256" t="s">
        <v>52</v>
      </c>
      <c r="G148" s="164" t="s">
        <v>737</v>
      </c>
      <c r="H148" s="164" t="s">
        <v>738</v>
      </c>
      <c r="I148" s="256" t="s">
        <v>739</v>
      </c>
      <c r="J148" s="288"/>
      <c r="K148" s="288"/>
      <c r="L148" s="221"/>
      <c r="M148" s="221"/>
      <c r="N148" s="288"/>
      <c r="O148" s="221"/>
      <c r="P148" s="221"/>
      <c r="Q148" s="221"/>
      <c r="V148" s="133"/>
    </row>
    <row r="149" spans="1:40" hidden="1">
      <c r="A149" s="288"/>
      <c r="B149" s="350" t="s">
        <v>944</v>
      </c>
      <c r="C149" s="149">
        <f>'Inputs and eligible population'!G90</f>
        <v>0</v>
      </c>
      <c r="D149" s="128" t="e">
        <f>($C149*'Financial impact (cash)'!#REF!*'Unit costs'!$O$16)/60</f>
        <v>#REF!</v>
      </c>
      <c r="E149" s="128" t="e">
        <f>($C149*'Financial impact (cash)'!#REF!*'Unit costs'!$O$16)/60</f>
        <v>#REF!</v>
      </c>
      <c r="F149" s="128" t="e">
        <f>($C149*'Financial impact (cash)'!#REF!*'Unit costs'!$O$16)/60</f>
        <v>#REF!</v>
      </c>
      <c r="G149" s="128" t="e">
        <f>($C149*'Financial impact (cash)'!#REF!*'Unit costs'!$O$16)/60</f>
        <v>#REF!</v>
      </c>
      <c r="H149" s="128" t="e">
        <f>($C149*'Financial impact (cash)'!#REF!*'Unit costs'!$O$16)/60</f>
        <v>#REF!</v>
      </c>
      <c r="I149" s="128" t="e">
        <f>($C149*'Financial impact (cash)'!#REF!*'Unit costs'!$O$16)/60</f>
        <v>#REF!</v>
      </c>
      <c r="J149" s="288"/>
      <c r="K149" s="288"/>
      <c r="L149" s="221"/>
      <c r="M149" s="221"/>
      <c r="N149" s="288"/>
      <c r="O149" s="221"/>
      <c r="P149" s="221"/>
      <c r="Q149" s="221"/>
      <c r="V149" s="133"/>
    </row>
    <row r="150" spans="1:40" hidden="1">
      <c r="A150" s="288"/>
      <c r="B150" s="350" t="s">
        <v>945</v>
      </c>
      <c r="C150" s="149">
        <f>'Inputs and eligible population'!I90</f>
        <v>0</v>
      </c>
      <c r="D150" s="128" t="e">
        <f>($C150*'Financial impact (cash)'!#REF!*'Unit costs'!#REF!)/60</f>
        <v>#REF!</v>
      </c>
      <c r="E150" s="128" t="e">
        <f>($C150*'Financial impact (cash)'!#REF!*'Unit costs'!#REF!)/60</f>
        <v>#REF!</v>
      </c>
      <c r="F150" s="128" t="e">
        <f>($C150*'Financial impact (cash)'!#REF!*'Unit costs'!#REF!)/60</f>
        <v>#REF!</v>
      </c>
      <c r="G150" s="128" t="e">
        <f>($C150*'Financial impact (cash)'!#REF!*'Unit costs'!#REF!)/60</f>
        <v>#REF!</v>
      </c>
      <c r="H150" s="128" t="e">
        <f>($C150*'Financial impact (cash)'!#REF!*'Unit costs'!#REF!)/60</f>
        <v>#REF!</v>
      </c>
      <c r="I150" s="128" t="e">
        <f>($C150*'Financial impact (cash)'!#REF!*'Unit costs'!#REF!)/60</f>
        <v>#REF!</v>
      </c>
      <c r="J150" s="288"/>
      <c r="K150" s="288"/>
      <c r="L150" s="221"/>
      <c r="M150" s="221"/>
      <c r="N150" s="288"/>
      <c r="O150" s="221"/>
      <c r="P150" s="221"/>
      <c r="Q150" s="221"/>
      <c r="V150" s="133"/>
    </row>
    <row r="151" spans="1:40" hidden="1">
      <c r="A151" s="288"/>
      <c r="B151" s="350" t="s">
        <v>946</v>
      </c>
      <c r="C151" s="149">
        <f>'Inputs and eligible population'!J90</f>
        <v>0</v>
      </c>
      <c r="D151" s="128" t="e">
        <f>($C151*'Financial impact (cash)'!#REF!*'Unit costs'!#REF!)/60</f>
        <v>#REF!</v>
      </c>
      <c r="E151" s="128" t="e">
        <f>($C151*'Financial impact (cash)'!#REF!*'Unit costs'!#REF!)/60</f>
        <v>#REF!</v>
      </c>
      <c r="F151" s="128" t="e">
        <f>($C151*'Financial impact (cash)'!#REF!*'Unit costs'!#REF!)/60</f>
        <v>#REF!</v>
      </c>
      <c r="G151" s="128" t="e">
        <f>($C151*'Financial impact (cash)'!#REF!*'Unit costs'!#REF!)/60</f>
        <v>#REF!</v>
      </c>
      <c r="H151" s="128" t="e">
        <f>($C151*'Financial impact (cash)'!#REF!*'Unit costs'!#REF!)/60</f>
        <v>#REF!</v>
      </c>
      <c r="I151" s="128" t="e">
        <f>($C151*'Financial impact (cash)'!#REF!*'Unit costs'!#REF!)/60</f>
        <v>#REF!</v>
      </c>
      <c r="J151" s="288"/>
      <c r="K151" s="288"/>
      <c r="L151" s="221"/>
      <c r="M151" s="221"/>
      <c r="N151" s="288"/>
      <c r="O151" s="221"/>
      <c r="P151" s="221"/>
      <c r="Q151" s="221"/>
      <c r="V151" s="133"/>
    </row>
    <row r="152" spans="1:40" hidden="1">
      <c r="A152" s="288"/>
      <c r="B152" s="282"/>
      <c r="C152" s="207"/>
      <c r="D152" s="186" t="e">
        <f t="shared" ref="D152:I152" si="59">SUM(D149:D151)</f>
        <v>#REF!</v>
      </c>
      <c r="E152" s="186" t="e">
        <f t="shared" si="59"/>
        <v>#REF!</v>
      </c>
      <c r="F152" s="186" t="e">
        <f t="shared" si="59"/>
        <v>#REF!</v>
      </c>
      <c r="G152" s="186" t="e">
        <f t="shared" si="59"/>
        <v>#REF!</v>
      </c>
      <c r="H152" s="186" t="e">
        <f t="shared" si="59"/>
        <v>#REF!</v>
      </c>
      <c r="I152" s="186" t="e">
        <f t="shared" si="59"/>
        <v>#REF!</v>
      </c>
      <c r="J152" s="288"/>
      <c r="K152" s="288"/>
      <c r="L152" s="221"/>
      <c r="M152" s="221"/>
      <c r="N152" s="288"/>
      <c r="O152" s="221"/>
      <c r="P152" s="221"/>
      <c r="Q152" s="221"/>
      <c r="V152" s="133"/>
    </row>
    <row r="153" spans="1:40" hidden="1">
      <c r="A153" s="288"/>
      <c r="B153" s="305"/>
      <c r="C153" s="225"/>
      <c r="D153" s="284" t="s">
        <v>181</v>
      </c>
      <c r="E153" s="186" t="e">
        <f>E152-$D$152</f>
        <v>#REF!</v>
      </c>
      <c r="F153" s="186" t="e">
        <f>F152-$D$152</f>
        <v>#REF!</v>
      </c>
      <c r="G153" s="186" t="e">
        <f>G152-$D$152</f>
        <v>#REF!</v>
      </c>
      <c r="H153" s="186" t="e">
        <f>H152-$D$152</f>
        <v>#REF!</v>
      </c>
      <c r="I153" s="186" t="e">
        <f>I152-$D$152</f>
        <v>#REF!</v>
      </c>
      <c r="J153" s="288"/>
      <c r="K153" s="288"/>
      <c r="L153" s="221"/>
      <c r="M153" s="221"/>
      <c r="N153" s="288"/>
      <c r="O153" s="221"/>
      <c r="P153" s="221"/>
      <c r="Q153" s="221"/>
      <c r="V153" s="133"/>
    </row>
    <row r="154" spans="1:40" hidden="1">
      <c r="A154" s="288"/>
      <c r="B154" s="326"/>
      <c r="C154" s="392"/>
      <c r="D154" s="221"/>
      <c r="E154" s="221"/>
      <c r="F154" s="221"/>
      <c r="G154" s="221"/>
      <c r="H154" s="221"/>
      <c r="I154" s="221"/>
      <c r="J154" s="221"/>
      <c r="K154" s="221"/>
      <c r="L154" s="221"/>
      <c r="M154" s="221"/>
      <c r="N154" s="288"/>
      <c r="O154" s="221"/>
      <c r="P154" s="221"/>
      <c r="Q154" s="221"/>
      <c r="R154" s="133"/>
      <c r="S154" s="133"/>
      <c r="T154" s="133"/>
      <c r="U154" s="133"/>
      <c r="V154" s="133"/>
      <c r="W154" s="133"/>
      <c r="X154" s="133"/>
      <c r="Y154" s="133"/>
      <c r="Z154" s="133"/>
      <c r="AJ154" s="285"/>
      <c r="AK154" s="285"/>
      <c r="AL154" s="285"/>
      <c r="AM154" s="285"/>
      <c r="AN154" s="285"/>
    </row>
    <row r="155" spans="1:40">
      <c r="A155" s="331"/>
      <c r="B155" s="332" t="s">
        <v>768</v>
      </c>
      <c r="C155" s="333"/>
      <c r="D155" s="333"/>
      <c r="E155" s="334"/>
      <c r="F155" s="335"/>
      <c r="G155" s="336"/>
      <c r="H155" s="336"/>
      <c r="I155" s="385"/>
      <c r="J155" s="331"/>
      <c r="K155" s="331"/>
      <c r="L155" s="331"/>
      <c r="M155" s="331"/>
      <c r="N155" s="331"/>
      <c r="O155" s="331"/>
      <c r="P155" s="331"/>
      <c r="Q155" s="406"/>
      <c r="R155" s="133"/>
      <c r="S155" s="133"/>
      <c r="T155" s="133"/>
      <c r="U155" s="133"/>
      <c r="V155" s="133"/>
      <c r="W155" s="133"/>
      <c r="X155" s="133"/>
      <c r="Y155" s="133"/>
      <c r="Z155" s="133"/>
      <c r="AJ155" s="285"/>
      <c r="AK155" s="285"/>
      <c r="AL155" s="285"/>
      <c r="AM155" s="285"/>
      <c r="AN155" s="285"/>
    </row>
    <row r="156" spans="1:40">
      <c r="A156" s="331"/>
      <c r="B156" s="395" t="s">
        <v>100</v>
      </c>
      <c r="C156" s="396"/>
      <c r="D156" s="396"/>
      <c r="E156" s="396"/>
      <c r="F156" s="396"/>
      <c r="G156" s="396"/>
      <c r="H156" s="396"/>
      <c r="I156" s="337"/>
      <c r="J156" s="406"/>
      <c r="K156" s="406"/>
      <c r="L156" s="434"/>
      <c r="M156" s="434"/>
      <c r="N156" s="434"/>
      <c r="O156" s="434"/>
      <c r="P156" s="434"/>
      <c r="Q156" s="434"/>
      <c r="R156" s="133"/>
      <c r="S156" s="133"/>
      <c r="T156" s="133"/>
      <c r="U156" s="133"/>
      <c r="V156" s="133"/>
      <c r="W156" s="133"/>
      <c r="X156" s="133"/>
      <c r="Y156" s="133"/>
      <c r="Z156" s="133"/>
      <c r="AJ156" s="285"/>
      <c r="AK156" s="285"/>
      <c r="AL156" s="285"/>
      <c r="AM156" s="285"/>
      <c r="AN156" s="285"/>
    </row>
    <row r="157" spans="1:40" ht="43.5">
      <c r="A157" s="331"/>
      <c r="B157" s="278" t="s">
        <v>125</v>
      </c>
      <c r="C157" s="165" t="s">
        <v>100</v>
      </c>
      <c r="D157" s="422" t="s">
        <v>736</v>
      </c>
      <c r="E157" s="256" t="s">
        <v>51</v>
      </c>
      <c r="F157" s="256" t="s">
        <v>52</v>
      </c>
      <c r="G157" s="164" t="s">
        <v>737</v>
      </c>
      <c r="H157" s="164" t="s">
        <v>738</v>
      </c>
      <c r="I157" s="256" t="s">
        <v>739</v>
      </c>
      <c r="J157" s="331"/>
      <c r="K157" s="668" t="s">
        <v>976</v>
      </c>
      <c r="L157" s="422" t="s">
        <v>736</v>
      </c>
      <c r="M157" s="256" t="s">
        <v>51</v>
      </c>
      <c r="N157" s="256" t="s">
        <v>52</v>
      </c>
      <c r="O157" s="164" t="s">
        <v>737</v>
      </c>
      <c r="P157" s="164" t="s">
        <v>738</v>
      </c>
      <c r="Q157" s="256" t="s">
        <v>739</v>
      </c>
      <c r="R157" s="133"/>
      <c r="S157" s="133"/>
      <c r="T157" s="133"/>
      <c r="U157" s="133"/>
      <c r="V157" s="133"/>
      <c r="W157" s="133"/>
      <c r="X157" s="133"/>
      <c r="Y157" s="133"/>
      <c r="Z157" s="133"/>
      <c r="AJ157" s="285"/>
      <c r="AK157" s="285"/>
      <c r="AL157" s="285"/>
      <c r="AM157" s="285"/>
      <c r="AN157" s="285"/>
    </row>
    <row r="158" spans="1:40">
      <c r="A158" s="331"/>
      <c r="B158" s="350" t="s">
        <v>1112</v>
      </c>
      <c r="C158" s="149">
        <f>'Inputs and eligible population'!F91</f>
        <v>0</v>
      </c>
      <c r="D158" s="128">
        <f>('Financial impact (cash)'!D$13)*'Capacity (local prices)'!$C158</f>
        <v>0</v>
      </c>
      <c r="E158" s="128">
        <f>('Financial impact (cash)'!E$13)*'Capacity (local prices)'!$C158</f>
        <v>0</v>
      </c>
      <c r="F158" s="128">
        <f>('Financial impact (cash)'!F$13)*'Capacity (local prices)'!$C158</f>
        <v>0</v>
      </c>
      <c r="G158" s="128">
        <f>('Financial impact (cash)'!G$13)*'Capacity (local prices)'!$C158</f>
        <v>0</v>
      </c>
      <c r="H158" s="128">
        <f>('Financial impact (cash)'!H$13)*'Capacity (local prices)'!$C158</f>
        <v>0</v>
      </c>
      <c r="I158" s="128">
        <f>('Financial impact (cash)'!I$13)*'Capacity (local prices)'!$C158</f>
        <v>0</v>
      </c>
      <c r="J158" s="331"/>
      <c r="K158" s="669">
        <f>'Unit costs'!$N$86</f>
        <v>0</v>
      </c>
      <c r="L158" s="292">
        <f>(D158*'Unit costs'!$N$86)/1000</f>
        <v>0</v>
      </c>
      <c r="M158" s="292">
        <f>(E158*'Unit costs'!$N$86)/1000</f>
        <v>0</v>
      </c>
      <c r="N158" s="292">
        <f>(F158*'Unit costs'!$N$86)/1000</f>
        <v>0</v>
      </c>
      <c r="O158" s="292">
        <f>(G158*'Unit costs'!$N$86)/1000</f>
        <v>0</v>
      </c>
      <c r="P158" s="292">
        <f>(H158*'Unit costs'!$N$86)/1000</f>
        <v>0</v>
      </c>
      <c r="Q158" s="292">
        <f>(I158*'Unit costs'!$N$86)/1000</f>
        <v>0</v>
      </c>
      <c r="R158" s="133"/>
      <c r="S158" s="133"/>
      <c r="T158" s="133"/>
      <c r="U158" s="133"/>
      <c r="V158" s="133"/>
      <c r="W158" s="133"/>
      <c r="X158" s="133"/>
      <c r="Y158" s="133"/>
      <c r="Z158" s="133"/>
      <c r="AJ158" s="285"/>
      <c r="AK158" s="285"/>
      <c r="AL158" s="285"/>
      <c r="AM158" s="285"/>
      <c r="AN158" s="285"/>
    </row>
    <row r="159" spans="1:40">
      <c r="A159" s="331"/>
      <c r="B159" s="350" t="s">
        <v>1068</v>
      </c>
      <c r="C159" s="149">
        <f>'Inputs and eligible population'!G91</f>
        <v>0</v>
      </c>
      <c r="D159" s="128">
        <f>'Financial impact (cash)'!D$14*'Capacity (local prices)'!$C159</f>
        <v>0</v>
      </c>
      <c r="E159" s="128">
        <f>'Financial impact (cash)'!E$14*'Capacity (local prices)'!$C159</f>
        <v>0</v>
      </c>
      <c r="F159" s="128">
        <f>'Financial impact (cash)'!F$14*'Capacity (local prices)'!$C159</f>
        <v>0</v>
      </c>
      <c r="G159" s="128">
        <f>'Financial impact (cash)'!G$14*'Capacity (local prices)'!$C159</f>
        <v>0</v>
      </c>
      <c r="H159" s="128">
        <f>'Financial impact (cash)'!H$14*'Capacity (local prices)'!$C159</f>
        <v>0</v>
      </c>
      <c r="I159" s="128">
        <f>'Financial impact (cash)'!I$14*'Capacity (local prices)'!$C159</f>
        <v>0</v>
      </c>
      <c r="J159" s="331"/>
      <c r="K159" s="669">
        <f>'Unit costs'!$N$86</f>
        <v>0</v>
      </c>
      <c r="L159" s="292">
        <f>(D159*'Unit costs'!$N$86)/1000</f>
        <v>0</v>
      </c>
      <c r="M159" s="292">
        <f>(E159*'Unit costs'!$N$86)/1000</f>
        <v>0</v>
      </c>
      <c r="N159" s="292">
        <f>(F159*'Unit costs'!$N$86)/1000</f>
        <v>0</v>
      </c>
      <c r="O159" s="292">
        <f>(G159*'Unit costs'!$N$86)/1000</f>
        <v>0</v>
      </c>
      <c r="P159" s="292">
        <f>(H159*'Unit costs'!$N$86)/1000</f>
        <v>0</v>
      </c>
      <c r="Q159" s="292">
        <f>(I159*'Unit costs'!$N$86)/1000</f>
        <v>0</v>
      </c>
      <c r="R159" s="133"/>
      <c r="S159" s="133"/>
      <c r="T159" s="133"/>
      <c r="U159" s="133"/>
      <c r="V159" s="133"/>
      <c r="W159" s="133"/>
      <c r="X159" s="133"/>
      <c r="Y159" s="133"/>
      <c r="Z159" s="133"/>
      <c r="AJ159" s="285"/>
      <c r="AK159" s="285"/>
      <c r="AL159" s="285"/>
      <c r="AM159" s="285"/>
      <c r="AN159" s="285"/>
    </row>
    <row r="160" spans="1:40">
      <c r="A160" s="331"/>
      <c r="B160" s="350" t="s">
        <v>997</v>
      </c>
      <c r="C160" s="149">
        <f>'Inputs and eligible population'!H91</f>
        <v>0</v>
      </c>
      <c r="D160" s="128">
        <f>'Financial impact (cash)'!D$15*'Capacity (local prices)'!$C160</f>
        <v>0</v>
      </c>
      <c r="E160" s="128">
        <f>'Financial impact (cash)'!E$15*'Capacity (local prices)'!$C160</f>
        <v>0</v>
      </c>
      <c r="F160" s="128">
        <f>'Financial impact (cash)'!F$15*'Capacity (local prices)'!$C160</f>
        <v>0</v>
      </c>
      <c r="G160" s="128">
        <f>'Financial impact (cash)'!G$15*'Capacity (local prices)'!$C160</f>
        <v>0</v>
      </c>
      <c r="H160" s="128">
        <f>'Financial impact (cash)'!H$15*'Capacity (local prices)'!$C160</f>
        <v>0</v>
      </c>
      <c r="I160" s="128">
        <f>'Financial impact (cash)'!I$15*'Capacity (local prices)'!$C160</f>
        <v>0</v>
      </c>
      <c r="J160" s="331"/>
      <c r="K160" s="669">
        <f>'Unit costs'!$N$86</f>
        <v>0</v>
      </c>
      <c r="L160" s="292">
        <f>(D160*'Unit costs'!$N$86)/1000</f>
        <v>0</v>
      </c>
      <c r="M160" s="292">
        <f>(E160*'Unit costs'!$N$86)/1000</f>
        <v>0</v>
      </c>
      <c r="N160" s="292">
        <f>(F160*'Unit costs'!$N$86)/1000</f>
        <v>0</v>
      </c>
      <c r="O160" s="292">
        <f>(G160*'Unit costs'!$N$86)/1000</f>
        <v>0</v>
      </c>
      <c r="P160" s="292">
        <f>(H160*'Unit costs'!$N$86)/1000</f>
        <v>0</v>
      </c>
      <c r="Q160" s="292">
        <f>(I160*'Unit costs'!$N$86)/1000</f>
        <v>0</v>
      </c>
      <c r="R160" s="133"/>
      <c r="S160" s="133"/>
      <c r="T160" s="133"/>
      <c r="U160" s="133"/>
      <c r="V160" s="133"/>
      <c r="W160" s="133"/>
      <c r="X160" s="133"/>
      <c r="Y160" s="133"/>
      <c r="Z160" s="133"/>
      <c r="AJ160" s="285"/>
      <c r="AK160" s="285"/>
      <c r="AL160" s="285"/>
      <c r="AM160" s="285"/>
      <c r="AN160" s="285"/>
    </row>
    <row r="161" spans="1:40">
      <c r="A161" s="331"/>
      <c r="B161" s="350" t="s">
        <v>998</v>
      </c>
      <c r="C161" s="149">
        <f>'Inputs and eligible population'!I91</f>
        <v>0</v>
      </c>
      <c r="D161" s="128">
        <f>'Financial impact (cash)'!D$16*'Capacity (local prices)'!$C161</f>
        <v>0</v>
      </c>
      <c r="E161" s="128">
        <f>'Financial impact (cash)'!E$16*'Capacity (local prices)'!$C161</f>
        <v>0</v>
      </c>
      <c r="F161" s="128">
        <f>'Financial impact (cash)'!F$16*'Capacity (local prices)'!$C161</f>
        <v>0</v>
      </c>
      <c r="G161" s="128">
        <f>'Financial impact (cash)'!G$16*'Capacity (local prices)'!$C161</f>
        <v>0</v>
      </c>
      <c r="H161" s="128">
        <f>'Financial impact (cash)'!H$16*'Capacity (local prices)'!$C161</f>
        <v>0</v>
      </c>
      <c r="I161" s="128">
        <f>'Financial impact (cash)'!I$16*'Capacity (local prices)'!$C161</f>
        <v>0</v>
      </c>
      <c r="J161" s="331"/>
      <c r="K161" s="669">
        <f>'Unit costs'!$N$86</f>
        <v>0</v>
      </c>
      <c r="L161" s="292">
        <f>(D161*'Unit costs'!$N$86)/1000</f>
        <v>0</v>
      </c>
      <c r="M161" s="292">
        <f>(E161*'Unit costs'!$N$86)/1000</f>
        <v>0</v>
      </c>
      <c r="N161" s="292">
        <f>(F161*'Unit costs'!$N$86)/1000</f>
        <v>0</v>
      </c>
      <c r="O161" s="292">
        <f>(G161*'Unit costs'!$N$86)/1000</f>
        <v>0</v>
      </c>
      <c r="P161" s="292">
        <f>(H161*'Unit costs'!$N$86)/1000</f>
        <v>0</v>
      </c>
      <c r="Q161" s="292">
        <f>(I161*'Unit costs'!$N$86)/1000</f>
        <v>0</v>
      </c>
      <c r="R161" s="133"/>
      <c r="S161" s="133"/>
      <c r="T161" s="133"/>
      <c r="U161" s="133"/>
      <c r="V161" s="133"/>
      <c r="W161" s="133"/>
      <c r="X161" s="133"/>
      <c r="Y161" s="133"/>
      <c r="Z161" s="133"/>
      <c r="AJ161" s="285"/>
      <c r="AK161" s="285"/>
      <c r="AL161" s="285"/>
      <c r="AM161" s="285"/>
      <c r="AN161" s="285"/>
    </row>
    <row r="162" spans="1:40">
      <c r="A162" s="331"/>
      <c r="B162" s="350" t="s">
        <v>1095</v>
      </c>
      <c r="C162" s="149">
        <f>'Capacity (local prices)'!C162</f>
        <v>0</v>
      </c>
      <c r="D162" s="128">
        <f>'Financial impact (cash)'!D$17*'Capacity (local prices)'!$C162</f>
        <v>0</v>
      </c>
      <c r="E162" s="128">
        <f>'Financial impact (cash)'!E$17*'Capacity (local prices)'!$C162</f>
        <v>0</v>
      </c>
      <c r="F162" s="128">
        <f>'Financial impact (cash)'!F$17*'Capacity (local prices)'!$C162</f>
        <v>0</v>
      </c>
      <c r="G162" s="128">
        <f>'Financial impact (cash)'!G$17*'Capacity (local prices)'!$C162</f>
        <v>0</v>
      </c>
      <c r="H162" s="128">
        <f>'Financial impact (cash)'!H$17*'Capacity (local prices)'!$C162</f>
        <v>0</v>
      </c>
      <c r="I162" s="128">
        <f>'Financial impact (cash)'!I$17*'Capacity (local prices)'!$C162</f>
        <v>0</v>
      </c>
      <c r="J162" s="331"/>
      <c r="K162" s="669">
        <f>'Unit costs'!$N$86</f>
        <v>0</v>
      </c>
      <c r="L162" s="292">
        <f>(D162*'Unit costs'!$N$86)/1000</f>
        <v>0</v>
      </c>
      <c r="M162" s="292">
        <f>(E162*'Unit costs'!$N$86)/1000</f>
        <v>0</v>
      </c>
      <c r="N162" s="292">
        <f>(F162*'Unit costs'!$N$86)/1000</f>
        <v>0</v>
      </c>
      <c r="O162" s="292">
        <f>(G162*'Unit costs'!$N$86)/1000</f>
        <v>0</v>
      </c>
      <c r="P162" s="292">
        <f>(H162*'Unit costs'!$N$86)/1000</f>
        <v>0</v>
      </c>
      <c r="Q162" s="292">
        <f>(I162*'Unit costs'!$N$86)/1000</f>
        <v>0</v>
      </c>
      <c r="R162" s="133"/>
      <c r="S162" s="133"/>
      <c r="T162" s="133"/>
      <c r="U162" s="133"/>
      <c r="V162" s="133"/>
      <c r="W162" s="133"/>
      <c r="X162" s="133"/>
      <c r="Y162" s="133"/>
      <c r="Z162" s="133"/>
      <c r="AJ162" s="285"/>
      <c r="AK162" s="285"/>
      <c r="AL162" s="285"/>
      <c r="AM162" s="285"/>
      <c r="AN162" s="285"/>
    </row>
    <row r="163" spans="1:40">
      <c r="A163" s="331"/>
      <c r="B163" s="282"/>
      <c r="C163" s="207"/>
      <c r="D163" s="186">
        <f>SUM(D158:D162)</f>
        <v>0</v>
      </c>
      <c r="E163" s="186">
        <f t="shared" ref="E163:I163" si="60">SUM(E158:E162)</f>
        <v>0</v>
      </c>
      <c r="F163" s="186">
        <f t="shared" si="60"/>
        <v>0</v>
      </c>
      <c r="G163" s="186">
        <f t="shared" si="60"/>
        <v>0</v>
      </c>
      <c r="H163" s="186">
        <f t="shared" si="60"/>
        <v>0</v>
      </c>
      <c r="I163" s="186">
        <f t="shared" si="60"/>
        <v>0</v>
      </c>
      <c r="J163" s="331"/>
      <c r="K163" s="331"/>
      <c r="L163" s="293">
        <f>SUM(L158:L162)</f>
        <v>0</v>
      </c>
      <c r="M163" s="293">
        <f>SUM(M158:M162)</f>
        <v>0</v>
      </c>
      <c r="N163" s="293">
        <f t="shared" ref="N163:Q163" si="61">SUM(N158:N162)</f>
        <v>0</v>
      </c>
      <c r="O163" s="293">
        <f t="shared" si="61"/>
        <v>0</v>
      </c>
      <c r="P163" s="293">
        <f t="shared" si="61"/>
        <v>0</v>
      </c>
      <c r="Q163" s="293">
        <f t="shared" si="61"/>
        <v>0</v>
      </c>
      <c r="R163" s="133"/>
      <c r="S163" s="133"/>
      <c r="T163" s="133"/>
      <c r="U163" s="133"/>
      <c r="V163" s="133"/>
      <c r="W163" s="133"/>
      <c r="X163" s="133"/>
      <c r="Y163" s="133"/>
      <c r="Z163" s="133"/>
      <c r="AJ163" s="285"/>
      <c r="AK163" s="285"/>
      <c r="AL163" s="285"/>
      <c r="AM163" s="285"/>
      <c r="AN163" s="285"/>
    </row>
    <row r="164" spans="1:40">
      <c r="A164" s="331"/>
      <c r="B164" s="305"/>
      <c r="C164" s="257"/>
      <c r="D164" s="284" t="s">
        <v>769</v>
      </c>
      <c r="E164" s="186">
        <f>E163-$D$163</f>
        <v>0</v>
      </c>
      <c r="F164" s="186">
        <f>F163-$D$163</f>
        <v>0</v>
      </c>
      <c r="G164" s="186">
        <f>G163-$D$163</f>
        <v>0</v>
      </c>
      <c r="H164" s="186">
        <f>H163-$D$163</f>
        <v>0</v>
      </c>
      <c r="I164" s="186">
        <f>I163-$D$163</f>
        <v>0</v>
      </c>
      <c r="J164" s="331"/>
      <c r="K164" s="331"/>
      <c r="L164" s="537"/>
      <c r="M164" s="293">
        <f>M163-$L$163</f>
        <v>0</v>
      </c>
      <c r="N164" s="293">
        <f>N163-$L$163</f>
        <v>0</v>
      </c>
      <c r="O164" s="293">
        <f>O163-$L$163</f>
        <v>0</v>
      </c>
      <c r="P164" s="293">
        <f>P163-$L$163</f>
        <v>0</v>
      </c>
      <c r="Q164" s="293">
        <f>Q163-$L$163</f>
        <v>0</v>
      </c>
      <c r="V164" s="133"/>
    </row>
    <row r="165" spans="1:40">
      <c r="A165" s="331"/>
      <c r="B165" s="331"/>
      <c r="C165" s="331"/>
      <c r="D165" s="331"/>
      <c r="E165" s="331"/>
      <c r="F165" s="331"/>
      <c r="G165" s="331"/>
      <c r="H165" s="331"/>
      <c r="I165" s="331"/>
      <c r="J165" s="331"/>
      <c r="K165" s="331"/>
      <c r="L165" s="331"/>
      <c r="M165" s="331"/>
      <c r="N165" s="331"/>
      <c r="O165" s="331"/>
      <c r="P165" s="331"/>
      <c r="Q165" s="331"/>
      <c r="V165" s="133"/>
    </row>
    <row r="166" spans="1:40">
      <c r="A166" s="289"/>
      <c r="B166" s="327" t="s">
        <v>770</v>
      </c>
      <c r="C166" s="311"/>
      <c r="D166" s="312"/>
      <c r="E166" s="313"/>
      <c r="F166" s="314"/>
      <c r="G166" s="314"/>
      <c r="H166" s="314"/>
      <c r="I166" s="435"/>
      <c r="J166" s="289"/>
      <c r="K166" s="289"/>
      <c r="L166" s="289"/>
      <c r="M166" s="289"/>
      <c r="N166" s="289"/>
      <c r="O166" s="289"/>
      <c r="P166" s="289"/>
      <c r="Q166" s="223"/>
      <c r="R166" s="133"/>
      <c r="S166" s="133"/>
      <c r="T166" s="133"/>
      <c r="U166" s="133"/>
      <c r="V166" s="133"/>
      <c r="W166" s="133"/>
      <c r="X166" s="133"/>
      <c r="Y166" s="133"/>
      <c r="Z166" s="133"/>
      <c r="AJ166" s="285"/>
      <c r="AK166" s="285"/>
      <c r="AL166" s="285"/>
      <c r="AM166" s="285"/>
      <c r="AN166" s="285"/>
    </row>
    <row r="167" spans="1:40">
      <c r="A167" s="289"/>
      <c r="B167" s="397" t="s">
        <v>941</v>
      </c>
      <c r="C167" s="398"/>
      <c r="D167" s="398"/>
      <c r="E167" s="398"/>
      <c r="F167" s="398"/>
      <c r="G167" s="398"/>
      <c r="H167" s="398"/>
      <c r="I167" s="222"/>
      <c r="J167" s="223"/>
      <c r="K167" s="223"/>
      <c r="L167" s="289"/>
      <c r="M167" s="289"/>
      <c r="N167" s="289"/>
      <c r="O167" s="289"/>
      <c r="P167" s="289"/>
      <c r="Q167" s="223"/>
      <c r="R167" s="133"/>
      <c r="S167" s="133"/>
      <c r="T167" s="133"/>
      <c r="U167" s="133"/>
      <c r="V167" s="133"/>
      <c r="W167" s="133"/>
      <c r="X167" s="133"/>
      <c r="Y167" s="133"/>
      <c r="Z167" s="133"/>
      <c r="AJ167" s="285"/>
      <c r="AK167" s="285"/>
      <c r="AL167" s="285"/>
      <c r="AM167" s="285"/>
      <c r="AN167" s="285"/>
    </row>
    <row r="168" spans="1:40" ht="43.5">
      <c r="A168" s="289"/>
      <c r="B168" s="278" t="s">
        <v>125</v>
      </c>
      <c r="C168" s="165" t="s">
        <v>941</v>
      </c>
      <c r="D168" s="422" t="s">
        <v>736</v>
      </c>
      <c r="E168" s="256" t="s">
        <v>51</v>
      </c>
      <c r="F168" s="256" t="s">
        <v>52</v>
      </c>
      <c r="G168" s="164" t="s">
        <v>737</v>
      </c>
      <c r="H168" s="164" t="s">
        <v>738</v>
      </c>
      <c r="I168" s="256" t="s">
        <v>739</v>
      </c>
      <c r="J168" s="289"/>
      <c r="K168" s="289"/>
      <c r="L168" s="289"/>
      <c r="M168" s="289"/>
      <c r="N168" s="289"/>
      <c r="O168" s="289"/>
      <c r="P168" s="289"/>
      <c r="Q168" s="223"/>
      <c r="R168" s="133"/>
      <c r="S168" s="133"/>
      <c r="T168" s="133"/>
      <c r="U168" s="133"/>
      <c r="V168" s="133"/>
      <c r="W168" s="133"/>
      <c r="X168" s="133"/>
      <c r="Y168" s="133"/>
      <c r="Z168" s="133"/>
      <c r="AJ168" s="285"/>
      <c r="AK168" s="285"/>
      <c r="AL168" s="285"/>
      <c r="AM168" s="285"/>
      <c r="AN168" s="285"/>
    </row>
    <row r="169" spans="1:40">
      <c r="A169" s="289"/>
      <c r="B169" s="350" t="s">
        <v>1112</v>
      </c>
      <c r="C169" s="149">
        <f>'Capacity (local prices)'!C169</f>
        <v>7.14</v>
      </c>
      <c r="D169" s="128">
        <f>'Capacity (local prices)'!D169</f>
        <v>0</v>
      </c>
      <c r="E169" s="128">
        <f>'Capacity (local prices)'!E169</f>
        <v>1131.2836543555445</v>
      </c>
      <c r="F169" s="128">
        <f>'Capacity (local prices)'!F169</f>
        <v>1856.0608194991369</v>
      </c>
      <c r="G169" s="128">
        <f>'Capacity (local prices)'!G169</f>
        <v>1873.95660056209</v>
      </c>
      <c r="H169" s="128">
        <f>'Capacity (local prices)'!H169</f>
        <v>1892.0249293004681</v>
      </c>
      <c r="I169" s="128">
        <f>'Capacity (local prices)'!I169</f>
        <v>1910.2674693857368</v>
      </c>
      <c r="J169" s="289"/>
      <c r="K169" s="289"/>
      <c r="L169" s="289"/>
      <c r="M169" s="289"/>
      <c r="N169" s="289"/>
      <c r="O169" s="289"/>
      <c r="P169" s="289"/>
      <c r="Q169" s="223"/>
      <c r="R169" s="133"/>
      <c r="S169" s="133"/>
      <c r="T169" s="133"/>
      <c r="U169" s="133"/>
      <c r="V169" s="133"/>
      <c r="W169" s="133"/>
      <c r="X169" s="133"/>
      <c r="Y169" s="133"/>
      <c r="Z169" s="133"/>
      <c r="AJ169" s="285"/>
      <c r="AK169" s="285"/>
      <c r="AL169" s="285"/>
      <c r="AM169" s="285"/>
      <c r="AN169" s="285"/>
    </row>
    <row r="170" spans="1:40">
      <c r="A170" s="289"/>
      <c r="B170" s="350" t="s">
        <v>1068</v>
      </c>
      <c r="C170" s="632">
        <f>'Inputs and eligible population'!G93</f>
        <v>5.29</v>
      </c>
      <c r="D170" s="128">
        <f>D$7*'Inputs and eligible population'!E$65*$C170</f>
        <v>0</v>
      </c>
      <c r="E170" s="128">
        <f>E$7*'Inputs and eligible population'!F$65*$C170</f>
        <v>838.16393999171305</v>
      </c>
      <c r="F170" s="128">
        <f>F$7*'Inputs and eligible population'!G$65*$C170</f>
        <v>1375.1487024020216</v>
      </c>
      <c r="G170" s="128">
        <f>G$7*'Inputs and eligible population'!H$65*$C170</f>
        <v>1388.4076214248539</v>
      </c>
      <c r="H170" s="128">
        <f>H$7*'Inputs and eligible population'!I$65*$C170</f>
        <v>1401.7943803920837</v>
      </c>
      <c r="I170" s="128">
        <f>I$7*'Inputs and eligible population'!J$65*$C170</f>
        <v>1415.3102119118414</v>
      </c>
      <c r="J170" s="289"/>
      <c r="K170" s="289"/>
      <c r="L170" s="289"/>
      <c r="M170" s="289"/>
      <c r="N170" s="289"/>
      <c r="O170" s="289"/>
      <c r="P170" s="289"/>
      <c r="Q170" s="223"/>
      <c r="R170" s="133"/>
      <c r="S170" s="133"/>
      <c r="T170" s="133"/>
      <c r="U170" s="133"/>
      <c r="V170" s="133"/>
      <c r="W170" s="133"/>
      <c r="X170" s="133"/>
      <c r="Y170" s="133"/>
      <c r="Z170" s="133"/>
      <c r="AJ170" s="285"/>
      <c r="AK170" s="285"/>
      <c r="AL170" s="285"/>
      <c r="AM170" s="285"/>
      <c r="AN170" s="285"/>
    </row>
    <row r="171" spans="1:40">
      <c r="A171" s="289"/>
      <c r="B171" s="350" t="s">
        <v>997</v>
      </c>
      <c r="C171" s="632">
        <f>'Inputs and eligible population'!H93</f>
        <v>6.44</v>
      </c>
      <c r="D171" s="128">
        <f>D$7*'Inputs and eligible population'!E$66*$C171</f>
        <v>505.31460000000004</v>
      </c>
      <c r="E171" s="128">
        <f>E$7*'Inputs and eligible population'!F$66*$C171</f>
        <v>510.1867460819123</v>
      </c>
      <c r="F171" s="128">
        <f>F$7*'Inputs and eligible population'!G$66*$C171</f>
        <v>515.10586845828243</v>
      </c>
      <c r="G171" s="128">
        <f>G$7*'Inputs and eligible population'!H$66*$C171</f>
        <v>520.07242006549711</v>
      </c>
      <c r="H171" s="128">
        <f>H$7*'Inputs and eligible population'!I$66*$C171</f>
        <v>525.08685820706819</v>
      </c>
      <c r="I171" s="128">
        <f>I$7*'Inputs and eligible population'!J$66*$C171</f>
        <v>530.14964459573991</v>
      </c>
      <c r="J171" s="289"/>
      <c r="K171" s="289"/>
      <c r="L171" s="289"/>
      <c r="M171" s="289"/>
      <c r="N171" s="289"/>
      <c r="O171" s="289"/>
      <c r="P171" s="289"/>
      <c r="Q171" s="223"/>
      <c r="R171" s="133"/>
      <c r="S171" s="133"/>
      <c r="T171" s="133"/>
      <c r="U171" s="133"/>
      <c r="V171" s="133"/>
      <c r="W171" s="133"/>
      <c r="X171" s="133"/>
      <c r="Y171" s="133"/>
      <c r="Z171" s="133"/>
      <c r="AJ171" s="285"/>
      <c r="AK171" s="285"/>
      <c r="AL171" s="285"/>
      <c r="AM171" s="285"/>
      <c r="AN171" s="285"/>
    </row>
    <row r="172" spans="1:40">
      <c r="A172" s="289"/>
      <c r="B172" s="350" t="s">
        <v>998</v>
      </c>
      <c r="C172" s="632">
        <f>'Inputs and eligible population'!I93</f>
        <v>3.68</v>
      </c>
      <c r="D172" s="128">
        <f>D$7*'Inputs and eligible population'!E$67*$C172</f>
        <v>2598.7608</v>
      </c>
      <c r="E172" s="128">
        <f>E$7*'Inputs and eligible population'!F$67*$C172</f>
        <v>1457.6764173768922</v>
      </c>
      <c r="F172" s="128">
        <f>F$7*'Inputs and eligible population'!G$67*$C172</f>
        <v>735.86552636897488</v>
      </c>
      <c r="G172" s="128">
        <f>G$7*'Inputs and eligible population'!H$67*$C172</f>
        <v>742.96060009356722</v>
      </c>
      <c r="H172" s="128">
        <f>H$7*'Inputs and eligible population'!I$67*$C172</f>
        <v>750.12408315295443</v>
      </c>
      <c r="I172" s="128">
        <f>I$7*'Inputs and eligible population'!J$67*$C172</f>
        <v>757.35663513677127</v>
      </c>
      <c r="J172" s="289"/>
      <c r="K172" s="289"/>
      <c r="L172" s="289"/>
      <c r="M172" s="289"/>
      <c r="N172" s="289"/>
      <c r="O172" s="289"/>
      <c r="P172" s="289"/>
      <c r="Q172" s="223"/>
      <c r="R172" s="133"/>
      <c r="S172" s="133"/>
      <c r="T172" s="133"/>
      <c r="U172" s="133"/>
      <c r="V172" s="133"/>
      <c r="W172" s="133"/>
      <c r="X172" s="133"/>
      <c r="Y172" s="133"/>
      <c r="Z172" s="133"/>
      <c r="AJ172" s="285"/>
      <c r="AK172" s="285"/>
      <c r="AL172" s="285"/>
      <c r="AM172" s="285"/>
      <c r="AN172" s="285"/>
    </row>
    <row r="173" spans="1:40">
      <c r="A173" s="289"/>
      <c r="B173" s="350" t="s">
        <v>1095</v>
      </c>
      <c r="C173" s="149">
        <f>'Capacity (local prices)'!C173</f>
        <v>0</v>
      </c>
      <c r="D173" s="149">
        <f>'Capacity (local prices)'!D173</f>
        <v>0</v>
      </c>
      <c r="E173" s="149">
        <f>'Capacity (local prices)'!E173</f>
        <v>0</v>
      </c>
      <c r="F173" s="149">
        <f>'Capacity (local prices)'!F173</f>
        <v>0</v>
      </c>
      <c r="G173" s="149">
        <f>'Capacity (local prices)'!G173</f>
        <v>0</v>
      </c>
      <c r="H173" s="149">
        <f>'Capacity (local prices)'!H173</f>
        <v>0</v>
      </c>
      <c r="I173" s="149">
        <f>'Capacity (local prices)'!I173</f>
        <v>0</v>
      </c>
      <c r="J173" s="289"/>
      <c r="K173" s="289"/>
      <c r="L173" s="289"/>
      <c r="M173" s="289"/>
      <c r="N173" s="289"/>
      <c r="O173" s="289"/>
      <c r="P173" s="289"/>
      <c r="Q173" s="223"/>
      <c r="R173" s="133"/>
      <c r="S173" s="133"/>
      <c r="T173" s="133"/>
      <c r="U173" s="133"/>
      <c r="V173" s="133"/>
      <c r="W173" s="133"/>
      <c r="X173" s="133"/>
      <c r="Y173" s="133"/>
      <c r="Z173" s="133"/>
      <c r="AJ173" s="285"/>
      <c r="AK173" s="285"/>
      <c r="AL173" s="285"/>
      <c r="AM173" s="285"/>
      <c r="AN173" s="285"/>
    </row>
    <row r="174" spans="1:40">
      <c r="A174" s="289"/>
      <c r="B174" s="282"/>
      <c r="C174" s="207"/>
      <c r="D174" s="186">
        <f>SUM(D169:D173)</f>
        <v>3104.0754000000002</v>
      </c>
      <c r="E174" s="186">
        <f t="shared" ref="E174:I174" si="62">SUM(E169:E173)</f>
        <v>3937.3107578060617</v>
      </c>
      <c r="F174" s="186">
        <f t="shared" si="62"/>
        <v>4482.1809167284164</v>
      </c>
      <c r="G174" s="186">
        <f t="shared" si="62"/>
        <v>4525.3972421460085</v>
      </c>
      <c r="H174" s="186">
        <f t="shared" si="62"/>
        <v>4569.0302510525744</v>
      </c>
      <c r="I174" s="186">
        <f t="shared" si="62"/>
        <v>4613.08396103009</v>
      </c>
      <c r="J174" s="289"/>
      <c r="K174" s="289"/>
      <c r="L174" s="289"/>
      <c r="M174" s="289"/>
      <c r="N174" s="289"/>
      <c r="O174" s="289"/>
      <c r="P174" s="289"/>
      <c r="Q174" s="223"/>
      <c r="R174" s="133"/>
      <c r="S174" s="133"/>
      <c r="T174" s="133"/>
      <c r="U174" s="133"/>
      <c r="V174" s="133"/>
      <c r="W174" s="133"/>
      <c r="X174" s="133"/>
      <c r="Y174" s="133"/>
      <c r="Z174" s="133"/>
      <c r="AJ174" s="285"/>
      <c r="AK174" s="285"/>
      <c r="AL174" s="285"/>
      <c r="AM174" s="285"/>
      <c r="AN174" s="285"/>
    </row>
    <row r="175" spans="1:40">
      <c r="A175" s="289"/>
      <c r="B175" s="305"/>
      <c r="C175" s="257"/>
      <c r="D175" s="284" t="s">
        <v>947</v>
      </c>
      <c r="E175" s="186">
        <f>E174-$D$174</f>
        <v>833.23535780606153</v>
      </c>
      <c r="F175" s="186">
        <f>F174-$D$174</f>
        <v>1378.1055167284162</v>
      </c>
      <c r="G175" s="186">
        <f>G174-$D$174</f>
        <v>1421.3218421460083</v>
      </c>
      <c r="H175" s="186">
        <f>H174-$D$174</f>
        <v>1464.9548510525742</v>
      </c>
      <c r="I175" s="186">
        <f>I174-$D$174</f>
        <v>1509.0085610300898</v>
      </c>
      <c r="J175" s="289"/>
      <c r="K175" s="289"/>
      <c r="L175" s="289"/>
      <c r="M175" s="289"/>
      <c r="N175" s="289"/>
      <c r="O175" s="289"/>
      <c r="P175" s="289"/>
      <c r="Q175" s="223"/>
      <c r="V175" s="133"/>
    </row>
    <row r="176" spans="1:40">
      <c r="A176" s="289"/>
      <c r="B176" s="328"/>
      <c r="C176" s="223"/>
      <c r="D176" s="223"/>
      <c r="E176" s="223"/>
      <c r="F176" s="223"/>
      <c r="G176" s="223"/>
      <c r="H176" s="223"/>
      <c r="I176" s="223"/>
      <c r="J176" s="289"/>
      <c r="K176" s="289"/>
      <c r="L176" s="289"/>
      <c r="M176" s="289"/>
      <c r="N176" s="289"/>
      <c r="O176" s="289"/>
      <c r="P176" s="289"/>
      <c r="Q176" s="223"/>
      <c r="V176" s="133"/>
    </row>
    <row r="177" spans="1:40">
      <c r="A177" s="289"/>
      <c r="B177" s="397" t="s">
        <v>942</v>
      </c>
      <c r="C177" s="398"/>
      <c r="D177" s="398"/>
      <c r="E177" s="398"/>
      <c r="F177" s="398"/>
      <c r="G177" s="398"/>
      <c r="H177" s="398"/>
      <c r="I177" s="222"/>
      <c r="J177" s="289"/>
      <c r="K177" s="289"/>
      <c r="L177" s="289"/>
      <c r="M177" s="289"/>
      <c r="N177" s="289"/>
      <c r="O177" s="289"/>
      <c r="P177" s="289"/>
      <c r="Q177" s="223"/>
      <c r="R177" s="133"/>
      <c r="S177" s="133"/>
      <c r="T177" s="133"/>
      <c r="U177" s="133"/>
      <c r="V177" s="133"/>
      <c r="W177" s="133"/>
      <c r="X177" s="133"/>
      <c r="Y177" s="133"/>
      <c r="Z177" s="133"/>
      <c r="AJ177" s="285"/>
      <c r="AK177" s="285"/>
      <c r="AL177" s="285"/>
      <c r="AM177" s="285"/>
      <c r="AN177" s="285"/>
    </row>
    <row r="178" spans="1:40" ht="43.5">
      <c r="A178" s="289"/>
      <c r="B178" s="278" t="s">
        <v>125</v>
      </c>
      <c r="C178" s="165" t="s">
        <v>948</v>
      </c>
      <c r="D178" s="422" t="s">
        <v>736</v>
      </c>
      <c r="E178" s="256" t="s">
        <v>51</v>
      </c>
      <c r="F178" s="256" t="s">
        <v>52</v>
      </c>
      <c r="G178" s="164" t="s">
        <v>737</v>
      </c>
      <c r="H178" s="164" t="s">
        <v>738</v>
      </c>
      <c r="I178" s="256" t="s">
        <v>739</v>
      </c>
      <c r="J178" s="289"/>
      <c r="K178" s="289"/>
      <c r="L178" s="289"/>
      <c r="M178" s="289"/>
      <c r="N178" s="289"/>
      <c r="O178" s="289"/>
      <c r="P178" s="289"/>
      <c r="Q178" s="223"/>
      <c r="R178" s="133"/>
      <c r="S178" s="133"/>
      <c r="T178" s="133"/>
      <c r="U178" s="133"/>
      <c r="V178" s="133"/>
      <c r="W178" s="133"/>
      <c r="X178" s="133"/>
      <c r="Y178" s="133"/>
      <c r="Z178" s="133"/>
      <c r="AJ178" s="285"/>
      <c r="AK178" s="285"/>
      <c r="AL178" s="285"/>
      <c r="AM178" s="285"/>
      <c r="AN178" s="285"/>
    </row>
    <row r="179" spans="1:40">
      <c r="A179" s="289"/>
      <c r="B179" s="350" t="s">
        <v>1112</v>
      </c>
      <c r="C179" s="149">
        <f>'Capacity (local prices)'!C179</f>
        <v>6.46</v>
      </c>
      <c r="D179" s="128">
        <f>'Capacity (local prices)'!D179</f>
        <v>0</v>
      </c>
      <c r="E179" s="128">
        <f>'Capacity (local prices)'!E179</f>
        <v>1023.5423539407309</v>
      </c>
      <c r="F179" s="128">
        <f>'Capacity (local prices)'!F179</f>
        <v>1679.293122403981</v>
      </c>
      <c r="G179" s="128">
        <f>'Capacity (local prices)'!G179</f>
        <v>1695.4845433657006</v>
      </c>
      <c r="H179" s="128">
        <f>'Capacity (local prices)'!H179</f>
        <v>1711.8320788908998</v>
      </c>
      <c r="I179" s="128">
        <f>'Capacity (local prices)'!I179</f>
        <v>1728.337234206143</v>
      </c>
      <c r="J179" s="289"/>
      <c r="K179" s="289"/>
      <c r="L179" s="289"/>
      <c r="M179" s="289"/>
      <c r="N179" s="289"/>
      <c r="O179" s="289"/>
      <c r="P179" s="289"/>
      <c r="Q179" s="223"/>
      <c r="R179" s="133"/>
      <c r="S179" s="133"/>
      <c r="T179" s="133"/>
      <c r="U179" s="133"/>
      <c r="V179" s="133"/>
      <c r="W179" s="133"/>
      <c r="X179" s="133"/>
      <c r="Y179" s="133"/>
      <c r="Z179" s="133"/>
      <c r="AJ179" s="285"/>
      <c r="AK179" s="285"/>
      <c r="AL179" s="285"/>
      <c r="AM179" s="285"/>
      <c r="AN179" s="285"/>
    </row>
    <row r="180" spans="1:40">
      <c r="A180" s="289"/>
      <c r="B180" s="350" t="s">
        <v>1068</v>
      </c>
      <c r="C180" s="632">
        <f>'Inputs and eligible population'!G95</f>
        <v>5.29</v>
      </c>
      <c r="D180" s="128">
        <f>D$7*'Inputs and eligible population'!E$65*$C180</f>
        <v>0</v>
      </c>
      <c r="E180" s="128">
        <f>E$7*'Inputs and eligible population'!F$65*$C180</f>
        <v>838.16393999171305</v>
      </c>
      <c r="F180" s="128">
        <f>F$7*'Inputs and eligible population'!G$65*$C180</f>
        <v>1375.1487024020216</v>
      </c>
      <c r="G180" s="128">
        <f>G$7*'Inputs and eligible population'!H$65*$C180</f>
        <v>1388.4076214248539</v>
      </c>
      <c r="H180" s="128">
        <f>H$7*'Inputs and eligible population'!I$65*$C180</f>
        <v>1401.7943803920837</v>
      </c>
      <c r="I180" s="128">
        <f>I$7*'Inputs and eligible population'!J$65*$C180</f>
        <v>1415.3102119118414</v>
      </c>
      <c r="J180" s="289"/>
      <c r="K180" s="289"/>
      <c r="L180" s="289"/>
      <c r="M180" s="289"/>
      <c r="N180" s="289"/>
      <c r="O180" s="289"/>
      <c r="P180" s="289"/>
      <c r="Q180" s="223"/>
      <c r="R180" s="133"/>
      <c r="S180" s="133"/>
      <c r="T180" s="133"/>
      <c r="U180" s="133"/>
      <c r="V180" s="133"/>
      <c r="W180" s="133"/>
      <c r="X180" s="133"/>
      <c r="Y180" s="133"/>
      <c r="Z180" s="133"/>
      <c r="AJ180" s="285"/>
      <c r="AK180" s="285"/>
      <c r="AL180" s="285"/>
      <c r="AM180" s="285"/>
      <c r="AN180" s="285"/>
    </row>
    <row r="181" spans="1:40">
      <c r="A181" s="289"/>
      <c r="B181" s="350" t="s">
        <v>997</v>
      </c>
      <c r="C181" s="632">
        <f>'Inputs and eligible population'!H95</f>
        <v>6.44</v>
      </c>
      <c r="D181" s="128">
        <f>D$7*'Inputs and eligible population'!E$66*$C181</f>
        <v>505.31460000000004</v>
      </c>
      <c r="E181" s="128">
        <f>E$7*'Inputs and eligible population'!F$66*$C181</f>
        <v>510.1867460819123</v>
      </c>
      <c r="F181" s="128">
        <f>F$7*'Inputs and eligible population'!G$66*$C181</f>
        <v>515.10586845828243</v>
      </c>
      <c r="G181" s="128">
        <f>G$7*'Inputs and eligible population'!H$66*$C181</f>
        <v>520.07242006549711</v>
      </c>
      <c r="H181" s="128">
        <f>H$7*'Inputs and eligible population'!I$66*$C181</f>
        <v>525.08685820706819</v>
      </c>
      <c r="I181" s="128">
        <f>I$7*'Inputs and eligible population'!J$66*$C181</f>
        <v>530.14964459573991</v>
      </c>
      <c r="J181" s="289"/>
      <c r="K181" s="289"/>
      <c r="L181" s="289"/>
      <c r="M181" s="289"/>
      <c r="N181" s="289"/>
      <c r="O181" s="289"/>
      <c r="P181" s="289"/>
      <c r="Q181" s="223"/>
      <c r="R181" s="133"/>
      <c r="S181" s="133"/>
      <c r="T181" s="133"/>
      <c r="U181" s="133"/>
      <c r="V181" s="133"/>
      <c r="W181" s="133"/>
      <c r="X181" s="133"/>
      <c r="Y181" s="133"/>
      <c r="Z181" s="133"/>
      <c r="AJ181" s="285"/>
      <c r="AK181" s="285"/>
      <c r="AL181" s="285"/>
      <c r="AM181" s="285"/>
      <c r="AN181" s="285"/>
    </row>
    <row r="182" spans="1:40">
      <c r="A182" s="289"/>
      <c r="B182" s="350" t="s">
        <v>998</v>
      </c>
      <c r="C182" s="632">
        <f>'Inputs and eligible population'!I95</f>
        <v>3.68</v>
      </c>
      <c r="D182" s="128">
        <f>D$7*'Inputs and eligible population'!E$67*$C182</f>
        <v>2598.7608</v>
      </c>
      <c r="E182" s="128">
        <f>E$7*'Inputs and eligible population'!F$67*$C182</f>
        <v>1457.6764173768922</v>
      </c>
      <c r="F182" s="128">
        <f>F$7*'Inputs and eligible population'!G$67*$C182</f>
        <v>735.86552636897488</v>
      </c>
      <c r="G182" s="128">
        <f>G$7*'Inputs and eligible population'!H$67*$C182</f>
        <v>742.96060009356722</v>
      </c>
      <c r="H182" s="128">
        <f>H$7*'Inputs and eligible population'!I$67*$C182</f>
        <v>750.12408315295443</v>
      </c>
      <c r="I182" s="128">
        <f>I$7*'Inputs and eligible population'!J$67*$C182</f>
        <v>757.35663513677127</v>
      </c>
      <c r="J182" s="289"/>
      <c r="K182" s="289"/>
      <c r="L182" s="289"/>
      <c r="M182" s="289"/>
      <c r="N182" s="289"/>
      <c r="O182" s="289"/>
      <c r="P182" s="289"/>
      <c r="Q182" s="223"/>
      <c r="R182" s="133"/>
      <c r="S182" s="133"/>
      <c r="T182" s="133"/>
      <c r="U182" s="133"/>
      <c r="V182" s="133"/>
      <c r="W182" s="133"/>
      <c r="X182" s="133"/>
      <c r="Y182" s="133"/>
      <c r="Z182" s="133"/>
      <c r="AJ182" s="285"/>
      <c r="AK182" s="285"/>
      <c r="AL182" s="285"/>
      <c r="AM182" s="285"/>
      <c r="AN182" s="285"/>
    </row>
    <row r="183" spans="1:40">
      <c r="A183" s="289"/>
      <c r="B183" s="350" t="s">
        <v>1095</v>
      </c>
      <c r="C183" s="149">
        <f>'Capacity (local prices)'!C183</f>
        <v>0</v>
      </c>
      <c r="D183" s="149">
        <f>'Capacity (local prices)'!D183</f>
        <v>0</v>
      </c>
      <c r="E183" s="149">
        <f>'Capacity (local prices)'!E183</f>
        <v>0</v>
      </c>
      <c r="F183" s="149">
        <f>'Capacity (local prices)'!F183</f>
        <v>0</v>
      </c>
      <c r="G183" s="149">
        <f>'Capacity (local prices)'!G183</f>
        <v>0</v>
      </c>
      <c r="H183" s="149">
        <f>'Capacity (local prices)'!H183</f>
        <v>0</v>
      </c>
      <c r="I183" s="149">
        <f>'Capacity (local prices)'!I183</f>
        <v>0</v>
      </c>
      <c r="J183" s="289"/>
      <c r="K183" s="289"/>
      <c r="L183" s="289"/>
      <c r="M183" s="289"/>
      <c r="N183" s="289"/>
      <c r="O183" s="289"/>
      <c r="P183" s="289"/>
      <c r="Q183" s="223"/>
      <c r="R183" s="133"/>
      <c r="S183" s="133"/>
      <c r="T183" s="133"/>
      <c r="U183" s="133"/>
      <c r="V183" s="133"/>
      <c r="W183" s="133"/>
      <c r="X183" s="133"/>
      <c r="Y183" s="133"/>
      <c r="Z183" s="133"/>
      <c r="AJ183" s="285"/>
      <c r="AK183" s="285"/>
      <c r="AL183" s="285"/>
      <c r="AM183" s="285"/>
      <c r="AN183" s="285"/>
    </row>
    <row r="184" spans="1:40">
      <c r="A184" s="289"/>
      <c r="B184" s="282"/>
      <c r="C184" s="207"/>
      <c r="D184" s="186">
        <f>SUM(D179:D183)</f>
        <v>3104.0754000000002</v>
      </c>
      <c r="E184" s="186">
        <f t="shared" ref="E184:I184" si="63">SUM(E179:E183)</f>
        <v>3829.5694573912488</v>
      </c>
      <c r="F184" s="186">
        <f t="shared" si="63"/>
        <v>4305.4132196332603</v>
      </c>
      <c r="G184" s="186">
        <f t="shared" si="63"/>
        <v>4346.9251849496186</v>
      </c>
      <c r="H184" s="186">
        <f t="shared" si="63"/>
        <v>4388.8374006430058</v>
      </c>
      <c r="I184" s="186">
        <f t="shared" si="63"/>
        <v>4431.1537258504959</v>
      </c>
      <c r="J184" s="289"/>
      <c r="K184" s="289"/>
      <c r="L184" s="289"/>
      <c r="M184" s="289"/>
      <c r="N184" s="289"/>
      <c r="O184" s="289"/>
      <c r="P184" s="289"/>
      <c r="Q184" s="223"/>
      <c r="R184" s="133"/>
      <c r="S184" s="133"/>
      <c r="T184" s="133"/>
      <c r="U184" s="133"/>
      <c r="V184" s="133"/>
      <c r="W184" s="133"/>
      <c r="X184" s="133"/>
      <c r="Y184" s="133"/>
      <c r="Z184" s="133"/>
      <c r="AJ184" s="285"/>
      <c r="AK184" s="285"/>
      <c r="AL184" s="285"/>
      <c r="AM184" s="285"/>
      <c r="AN184" s="285"/>
    </row>
    <row r="185" spans="1:40">
      <c r="A185" s="289"/>
      <c r="B185" s="305"/>
      <c r="C185" s="257"/>
      <c r="D185" s="284" t="s">
        <v>949</v>
      </c>
      <c r="E185" s="186">
        <f>E184-$D$184</f>
        <v>725.49405739124859</v>
      </c>
      <c r="F185" s="186">
        <f>F184-$D$184</f>
        <v>1201.3378196332601</v>
      </c>
      <c r="G185" s="186">
        <f>G184-$D$184</f>
        <v>1242.8497849496184</v>
      </c>
      <c r="H185" s="186">
        <f>H184-$D$184</f>
        <v>1284.7620006430056</v>
      </c>
      <c r="I185" s="186">
        <f>I184-$D$184</f>
        <v>1327.0783258504957</v>
      </c>
      <c r="J185" s="289"/>
      <c r="K185" s="289"/>
      <c r="L185" s="289"/>
      <c r="M185" s="289"/>
      <c r="N185" s="289"/>
      <c r="O185" s="289"/>
      <c r="P185" s="289"/>
      <c r="Q185" s="223"/>
      <c r="V185" s="133"/>
    </row>
    <row r="186" spans="1:40">
      <c r="A186" s="289"/>
      <c r="B186" s="328"/>
      <c r="C186" s="223"/>
      <c r="D186" s="223"/>
      <c r="E186" s="223"/>
      <c r="F186" s="223"/>
      <c r="G186" s="223"/>
      <c r="H186" s="223"/>
      <c r="I186" s="223"/>
      <c r="J186" s="223"/>
      <c r="K186" s="223"/>
      <c r="L186" s="289"/>
      <c r="M186" s="289"/>
      <c r="N186" s="289"/>
      <c r="O186" s="289"/>
      <c r="P186" s="289"/>
      <c r="Q186" s="223"/>
      <c r="V186" s="133"/>
    </row>
    <row r="187" spans="1:40">
      <c r="A187" s="290"/>
      <c r="B187" s="329" t="s">
        <v>103</v>
      </c>
      <c r="C187" s="315"/>
      <c r="D187" s="316"/>
      <c r="E187" s="317"/>
      <c r="F187" s="318"/>
      <c r="G187" s="318"/>
      <c r="H187" s="318"/>
      <c r="I187" s="432"/>
      <c r="J187" s="438"/>
      <c r="K187" s="290"/>
      <c r="L187" s="290"/>
      <c r="M187" s="290"/>
      <c r="N187" s="290"/>
      <c r="O187" s="290"/>
      <c r="P187" s="290"/>
      <c r="Q187" s="290"/>
      <c r="R187" s="133"/>
      <c r="S187" s="133"/>
      <c r="T187" s="133"/>
      <c r="U187" s="133"/>
      <c r="V187" s="133"/>
      <c r="W187" s="133"/>
      <c r="X187" s="133"/>
      <c r="Y187" s="133"/>
      <c r="Z187" s="133"/>
      <c r="AJ187" s="285"/>
      <c r="AK187" s="285"/>
      <c r="AL187" s="285"/>
      <c r="AM187" s="285"/>
      <c r="AN187" s="285"/>
    </row>
    <row r="188" spans="1:40">
      <c r="A188" s="290"/>
      <c r="B188" s="399" t="s">
        <v>771</v>
      </c>
      <c r="C188" s="400"/>
      <c r="D188" s="400"/>
      <c r="E188" s="400"/>
      <c r="F188" s="400"/>
      <c r="G188" s="400"/>
      <c r="H188" s="400"/>
      <c r="I188" s="224"/>
      <c r="J188" s="436"/>
      <c r="K188" s="436"/>
      <c r="L188" s="437"/>
      <c r="M188" s="437"/>
      <c r="N188" s="437"/>
      <c r="O188" s="437"/>
      <c r="P188" s="437"/>
      <c r="Q188" s="437"/>
      <c r="R188" s="133"/>
      <c r="S188" s="133"/>
      <c r="T188" s="133"/>
      <c r="U188" s="133"/>
      <c r="V188" s="133"/>
      <c r="W188" s="133"/>
      <c r="X188" s="133"/>
      <c r="Y188" s="133"/>
      <c r="Z188" s="133"/>
      <c r="AJ188" s="285"/>
      <c r="AK188" s="285"/>
      <c r="AL188" s="285"/>
      <c r="AM188" s="285"/>
      <c r="AN188" s="285"/>
    </row>
    <row r="189" spans="1:40" ht="43.5">
      <c r="A189" s="290"/>
      <c r="B189" s="278" t="s">
        <v>125</v>
      </c>
      <c r="C189" s="209"/>
      <c r="D189" s="422" t="s">
        <v>736</v>
      </c>
      <c r="E189" s="256" t="s">
        <v>51</v>
      </c>
      <c r="F189" s="256" t="s">
        <v>52</v>
      </c>
      <c r="G189" s="164" t="s">
        <v>737</v>
      </c>
      <c r="H189" s="164" t="s">
        <v>738</v>
      </c>
      <c r="I189" s="256" t="s">
        <v>739</v>
      </c>
      <c r="J189" s="290"/>
      <c r="K189" s="290"/>
      <c r="L189" s="422" t="s">
        <v>736</v>
      </c>
      <c r="M189" s="256" t="s">
        <v>51</v>
      </c>
      <c r="N189" s="256" t="s">
        <v>52</v>
      </c>
      <c r="O189" s="164" t="s">
        <v>737</v>
      </c>
      <c r="P189" s="164" t="s">
        <v>738</v>
      </c>
      <c r="Q189" s="256" t="s">
        <v>739</v>
      </c>
      <c r="R189" s="133"/>
      <c r="S189" s="133"/>
      <c r="T189" s="133"/>
      <c r="U189" s="133"/>
      <c r="V189" s="133"/>
      <c r="W189" s="133"/>
      <c r="X189" s="133"/>
      <c r="Y189" s="133"/>
      <c r="Z189" s="133"/>
      <c r="AJ189" s="285"/>
      <c r="AK189" s="285"/>
      <c r="AL189" s="285"/>
      <c r="AM189" s="285"/>
      <c r="AN189" s="285"/>
    </row>
    <row r="190" spans="1:40">
      <c r="A190" s="290"/>
      <c r="B190" s="251" t="s">
        <v>1002</v>
      </c>
      <c r="C190" s="167"/>
      <c r="D190" s="128">
        <f>('Unit costs'!$D123*'Financial impact (cash)'!D$14)+('Unit costs'!$E123*'Financial impact (cash)'!D$15)+('Unit costs'!$F123*'Financial impact (cash)'!D$16)+('Unit costs'!$C123*'Financial impact (cash)'!D$13)+('Unit costs'!$G123*'Financial impact (cash)'!D$17)</f>
        <v>0</v>
      </c>
      <c r="E190" s="128">
        <f>('Unit costs'!$D123*'Financial impact (cash)'!E$14)+('Unit costs'!$E123*'Financial impact (cash)'!E$15)+('Unit costs'!$F123*'Financial impact (cash)'!E$16)+('Unit costs'!$C123*'Financial impact (cash)'!E$13)+('Unit costs'!$G123*'Financial impact (cash)'!E$17)</f>
        <v>0</v>
      </c>
      <c r="F190" s="128">
        <f>('Unit costs'!$D123*'Financial impact (cash)'!F$14)+('Unit costs'!$E123*'Financial impact (cash)'!F$15)+('Unit costs'!$F123*'Financial impact (cash)'!F$16)+('Unit costs'!$C123*'Financial impact (cash)'!F$13)+('Unit costs'!$G123*'Financial impact (cash)'!F$17)</f>
        <v>0</v>
      </c>
      <c r="G190" s="128">
        <f>('Unit costs'!$D123*'Financial impact (cash)'!G$14)+('Unit costs'!$E123*'Financial impact (cash)'!G$15)+('Unit costs'!$F123*'Financial impact (cash)'!G$16)+('Unit costs'!$C123*'Financial impact (cash)'!G$13)+('Unit costs'!$G123*'Financial impact (cash)'!G$17)</f>
        <v>0</v>
      </c>
      <c r="H190" s="128">
        <f>('Unit costs'!$D123*'Financial impact (cash)'!H$14)+('Unit costs'!$E123*'Financial impact (cash)'!H$15)+('Unit costs'!$F123*'Financial impact (cash)'!H$16)+('Unit costs'!$C123*'Financial impact (cash)'!H$13)+('Unit costs'!$G123*'Financial impact (cash)'!H$17)</f>
        <v>0</v>
      </c>
      <c r="I190" s="128">
        <f>('Unit costs'!$D123*'Financial impact (cash)'!I$14)+('Unit costs'!$E123*'Financial impact (cash)'!I$15)+('Unit costs'!$F123*'Financial impact (cash)'!I$16)+('Unit costs'!$C123*'Financial impact (cash)'!I$13)+('Unit costs'!$G123*'Financial impact (cash)'!I$17)</f>
        <v>0</v>
      </c>
      <c r="J190" s="290"/>
      <c r="K190" s="290"/>
      <c r="L190" s="292">
        <f>(D190*'Unit costs'!$I123)/1000</f>
        <v>0</v>
      </c>
      <c r="M190" s="292">
        <f>(E190*'Unit costs'!$I123)/1000</f>
        <v>0</v>
      </c>
      <c r="N190" s="292">
        <f>(F190*'Unit costs'!$I123)/1000</f>
        <v>0</v>
      </c>
      <c r="O190" s="292">
        <f>(G190*'Unit costs'!$I123)/1000</f>
        <v>0</v>
      </c>
      <c r="P190" s="292">
        <f>(H190*'Unit costs'!$I123)/1000</f>
        <v>0</v>
      </c>
      <c r="Q190" s="292">
        <f>(I190*'Unit costs'!$I123)/1000</f>
        <v>0</v>
      </c>
      <c r="R190" s="639"/>
      <c r="S190" s="133"/>
      <c r="T190" s="133"/>
      <c r="U190" s="133"/>
      <c r="V190" s="133"/>
      <c r="W190" s="133"/>
      <c r="X190" s="133"/>
      <c r="Y190" s="133"/>
      <c r="Z190" s="133"/>
      <c r="AJ190" s="285"/>
      <c r="AK190" s="285"/>
      <c r="AL190" s="285"/>
      <c r="AM190" s="285"/>
      <c r="AN190" s="285"/>
    </row>
    <row r="191" spans="1:40">
      <c r="A191" s="290"/>
      <c r="B191" s="251" t="s">
        <v>1003</v>
      </c>
      <c r="C191" s="167"/>
      <c r="D191" s="128">
        <f>('Unit costs'!$D124*'Financial impact (cash)'!D$14)+('Unit costs'!$E124*'Financial impact (cash)'!D$15)+('Unit costs'!$F124*'Financial impact (cash)'!D$16)+('Unit costs'!$C124*'Financial impact (cash)'!D$13)+('Unit costs'!$G124*'Financial impact (cash)'!D$17)</f>
        <v>0</v>
      </c>
      <c r="E191" s="128">
        <f>('Unit costs'!$D124*'Financial impact (cash)'!E$14)+('Unit costs'!$E124*'Financial impact (cash)'!E$15)+('Unit costs'!$F124*'Financial impact (cash)'!E$16)+('Unit costs'!$C124*'Financial impact (cash)'!E$13)+('Unit costs'!$G124*'Financial impact (cash)'!E$17)</f>
        <v>0</v>
      </c>
      <c r="F191" s="128">
        <f>('Unit costs'!$D124*'Financial impact (cash)'!F$14)+('Unit costs'!$E124*'Financial impact (cash)'!F$15)+('Unit costs'!$F124*'Financial impact (cash)'!F$16)+('Unit costs'!$C124*'Financial impact (cash)'!F$13)+('Unit costs'!$G124*'Financial impact (cash)'!F$17)</f>
        <v>0</v>
      </c>
      <c r="G191" s="128">
        <f>('Unit costs'!$D124*'Financial impact (cash)'!G$14)+('Unit costs'!$E124*'Financial impact (cash)'!G$15)+('Unit costs'!$F124*'Financial impact (cash)'!G$16)+('Unit costs'!$C124*'Financial impact (cash)'!G$13)+('Unit costs'!$G124*'Financial impact (cash)'!G$17)</f>
        <v>0</v>
      </c>
      <c r="H191" s="128">
        <f>('Unit costs'!$D124*'Financial impact (cash)'!H$14)+('Unit costs'!$E124*'Financial impact (cash)'!H$15)+('Unit costs'!$F124*'Financial impact (cash)'!H$16)+('Unit costs'!$C124*'Financial impact (cash)'!H$13)+('Unit costs'!$G124*'Financial impact (cash)'!H$17)</f>
        <v>0</v>
      </c>
      <c r="I191" s="128">
        <f>('Unit costs'!$D124*'Financial impact (cash)'!I$14)+('Unit costs'!$E124*'Financial impact (cash)'!I$15)+('Unit costs'!$F124*'Financial impact (cash)'!I$16)+('Unit costs'!$C124*'Financial impact (cash)'!I$13)+('Unit costs'!$G124*'Financial impact (cash)'!I$17)</f>
        <v>0</v>
      </c>
      <c r="J191" s="290"/>
      <c r="K191" s="290"/>
      <c r="L191" s="292">
        <f>(D191*'Unit costs'!$I124)/1000</f>
        <v>0</v>
      </c>
      <c r="M191" s="292">
        <f>(E191*'Unit costs'!$I124)/1000</f>
        <v>0</v>
      </c>
      <c r="N191" s="292">
        <f>(F191*'Unit costs'!$I124)/1000</f>
        <v>0</v>
      </c>
      <c r="O191" s="292">
        <f>(G191*'Unit costs'!$I124)/1000</f>
        <v>0</v>
      </c>
      <c r="P191" s="292">
        <f>(H191*'Unit costs'!$I124)/1000</f>
        <v>0</v>
      </c>
      <c r="Q191" s="292">
        <f>(I191*'Unit costs'!$I124)/1000</f>
        <v>0</v>
      </c>
      <c r="R191" s="639"/>
      <c r="S191" s="133"/>
      <c r="T191" s="133"/>
      <c r="U191" s="133"/>
      <c r="V191" s="133"/>
      <c r="W191" s="133"/>
      <c r="X191" s="133"/>
      <c r="Y191" s="133"/>
      <c r="Z191" s="133"/>
      <c r="AJ191" s="285"/>
      <c r="AK191" s="285"/>
      <c r="AL191" s="285"/>
      <c r="AM191" s="285"/>
      <c r="AN191" s="285"/>
    </row>
    <row r="192" spans="1:40">
      <c r="A192" s="290"/>
      <c r="B192" s="251" t="s">
        <v>1004</v>
      </c>
      <c r="C192" s="167"/>
      <c r="D192" s="128">
        <f>('Unit costs'!$D125*'Financial impact (cash)'!D$14)+('Unit costs'!$E125*'Financial impact (cash)'!D$15)+('Unit costs'!$F125*'Financial impact (cash)'!D$16)+('Unit costs'!$C125*'Financial impact (cash)'!D$13)+('Unit costs'!$G125*'Financial impact (cash)'!D$17)</f>
        <v>0</v>
      </c>
      <c r="E192" s="128">
        <f>('Unit costs'!$D125*'Financial impact (cash)'!E$14)+('Unit costs'!$E125*'Financial impact (cash)'!E$15)+('Unit costs'!$F125*'Financial impact (cash)'!E$16)+('Unit costs'!$C125*'Financial impact (cash)'!E$13)+('Unit costs'!$G125*'Financial impact (cash)'!E$17)</f>
        <v>205.50068623237274</v>
      </c>
      <c r="F192" s="128">
        <f>('Unit costs'!$D125*'Financial impact (cash)'!F$14)+('Unit costs'!$E125*'Financial impact (cash)'!F$15)+('Unit costs'!$F125*'Financial impact (cash)'!F$16)+('Unit costs'!$C125*'Financial impact (cash)'!F$13)+('Unit costs'!$G125*'Financial impact (cash)'!F$17)</f>
        <v>337.15838695943705</v>
      </c>
      <c r="G192" s="128">
        <f>('Unit costs'!$D125*'Financial impact (cash)'!G$14)+('Unit costs'!$E125*'Financial impact (cash)'!G$15)+('Unit costs'!$F125*'Financial impact (cash)'!G$16)+('Unit costs'!$C125*'Financial impact (cash)'!G$13)+('Unit costs'!$G125*'Financial impact (cash)'!G$17)</f>
        <v>340.40920321134888</v>
      </c>
      <c r="H192" s="128">
        <f>('Unit costs'!$D125*'Financial impact (cash)'!H$14)+('Unit costs'!$E125*'Financial impact (cash)'!H$15)+('Unit costs'!$F125*'Financial impact (cash)'!H$16)+('Unit costs'!$C125*'Financial impact (cash)'!H$13)+('Unit costs'!$G125*'Financial impact (cash)'!H$17)</f>
        <v>343.69136320766211</v>
      </c>
      <c r="I192" s="128">
        <f>('Unit costs'!$D125*'Financial impact (cash)'!I$14)+('Unit costs'!$E125*'Financial impact (cash)'!I$15)+('Unit costs'!$F125*'Financial impact (cash)'!I$16)+('Unit costs'!$C125*'Financial impact (cash)'!I$13)+('Unit costs'!$G125*'Financial impact (cash)'!I$17)</f>
        <v>347.00516915872561</v>
      </c>
      <c r="J192" s="290"/>
      <c r="K192" s="290"/>
      <c r="L192" s="292">
        <f>(D192*'Unit costs'!$I125)/1000</f>
        <v>0</v>
      </c>
      <c r="M192" s="292">
        <f>(E192*'Unit costs'!$I125)/1000</f>
        <v>566.1174004466651</v>
      </c>
      <c r="N192" s="292">
        <f>(F192*'Unit costs'!$I125)/1000</f>
        <v>928.81066756359644</v>
      </c>
      <c r="O192" s="292">
        <f>(G192*'Unit costs'!$I125)/1000</f>
        <v>937.76608119068817</v>
      </c>
      <c r="P192" s="292">
        <f>(H192*'Unit costs'!$I125)/1000</f>
        <v>946.80784119173177</v>
      </c>
      <c r="Q192" s="292">
        <f>(I192*'Unit costs'!$I125)/1000</f>
        <v>955.93678010184055</v>
      </c>
      <c r="R192" s="639"/>
      <c r="S192" s="133"/>
      <c r="T192" s="133"/>
      <c r="U192" s="133"/>
      <c r="V192" s="133"/>
      <c r="W192" s="133"/>
      <c r="X192" s="133"/>
      <c r="Y192" s="133"/>
      <c r="Z192" s="133"/>
      <c r="AJ192" s="285"/>
      <c r="AK192" s="285"/>
      <c r="AL192" s="285"/>
      <c r="AM192" s="285"/>
      <c r="AN192" s="285"/>
    </row>
    <row r="193" spans="1:40">
      <c r="A193" s="290"/>
      <c r="B193" s="251" t="s">
        <v>1013</v>
      </c>
      <c r="C193" s="167"/>
      <c r="D193" s="128">
        <f>('Unit costs'!$D126*'Financial impact (cash)'!D$14)+('Unit costs'!$E126*'Financial impact (cash)'!D$15)+('Unit costs'!$F126*'Financial impact (cash)'!D$16)+('Unit costs'!$C126*'Financial impact (cash)'!D$13)+('Unit costs'!$G126*'Financial impact (cash)'!D$17)</f>
        <v>0</v>
      </c>
      <c r="E193" s="128">
        <f>('Unit costs'!$D126*'Financial impact (cash)'!E$14)+('Unit costs'!$E126*'Financial impact (cash)'!E$15)+('Unit costs'!$F126*'Financial impact (cash)'!E$16)+('Unit costs'!$C126*'Financial impact (cash)'!E$13)+('Unit costs'!$G126*'Financial impact (cash)'!E$17)</f>
        <v>130.08177594200311</v>
      </c>
      <c r="F193" s="128">
        <f>('Unit costs'!$D126*'Financial impact (cash)'!F$14)+('Unit costs'!$E126*'Financial impact (cash)'!F$15)+('Unit costs'!$F126*'Financial impact (cash)'!F$16)+('Unit costs'!$C126*'Financial impact (cash)'!F$13)+('Unit costs'!$G126*'Financial impact (cash)'!F$17)</f>
        <v>213.42099899282795</v>
      </c>
      <c r="G193" s="128">
        <f>('Unit costs'!$D126*'Financial impact (cash)'!G$14)+('Unit costs'!$E126*'Financial impact (cash)'!G$15)+('Unit costs'!$F126*'Financial impact (cash)'!G$16)+('Unit costs'!$C126*'Financial impact (cash)'!G$13)+('Unit costs'!$G126*'Financial impact (cash)'!G$17)</f>
        <v>215.47876317387619</v>
      </c>
      <c r="H193" s="128">
        <f>('Unit costs'!$D126*'Financial impact (cash)'!H$14)+('Unit costs'!$E126*'Financial impact (cash)'!H$15)+('Unit costs'!$F126*'Financial impact (cash)'!H$16)+('Unit costs'!$C126*'Financial impact (cash)'!H$13)+('Unit costs'!$G126*'Financial impact (cash)'!H$17)</f>
        <v>217.55636792096419</v>
      </c>
      <c r="I193" s="128">
        <f>('Unit costs'!$D126*'Financial impact (cash)'!I$14)+('Unit costs'!$E126*'Financial impact (cash)'!I$15)+('Unit costs'!$F126*'Financial impact (cash)'!I$16)+('Unit costs'!$C126*'Financial impact (cash)'!I$13)+('Unit costs'!$G126*'Financial impact (cash)'!I$17)</f>
        <v>219.65400453300981</v>
      </c>
      <c r="J193" s="290"/>
      <c r="K193" s="290"/>
      <c r="L193" s="292">
        <f>(D193*'Unit costs'!$I126)/1000</f>
        <v>0</v>
      </c>
      <c r="M193" s="292">
        <f>(E193*'Unit costs'!$I126)/1000</f>
        <v>0</v>
      </c>
      <c r="N193" s="292">
        <f>(F193*'Unit costs'!$I126)/1000</f>
        <v>0</v>
      </c>
      <c r="O193" s="292">
        <f>(G193*'Unit costs'!$I126)/1000</f>
        <v>0</v>
      </c>
      <c r="P193" s="292">
        <f>(H193*'Unit costs'!$I126)/1000</f>
        <v>0</v>
      </c>
      <c r="Q193" s="292">
        <f>(I193*'Unit costs'!$I126)/1000</f>
        <v>0</v>
      </c>
      <c r="R193" s="639"/>
      <c r="S193" s="133"/>
      <c r="T193" s="133"/>
      <c r="U193" s="133"/>
      <c r="V193" s="133"/>
      <c r="W193" s="133"/>
      <c r="X193" s="133"/>
      <c r="Y193" s="133"/>
      <c r="Z193" s="133"/>
      <c r="AJ193" s="285"/>
      <c r="AK193" s="285"/>
      <c r="AL193" s="285"/>
      <c r="AM193" s="285"/>
      <c r="AN193" s="285"/>
    </row>
    <row r="194" spans="1:40">
      <c r="A194" s="290"/>
      <c r="B194" s="251" t="s">
        <v>1000</v>
      </c>
      <c r="C194" s="167"/>
      <c r="D194" s="128">
        <f>('Unit costs'!$D127*'Financial impact (cash)'!D$14)+('Unit costs'!$E127*'Financial impact (cash)'!D$15)+('Unit costs'!$F127*'Financial impact (cash)'!D$16)+('Unit costs'!$C127*'Financial impact (cash)'!D$13)+('Unit costs'!$G127*'Financial impact (cash)'!D$17)</f>
        <v>0</v>
      </c>
      <c r="E194" s="128">
        <f>('Unit costs'!$D127*'Financial impact (cash)'!E$14)+('Unit costs'!$E127*'Financial impact (cash)'!E$15)+('Unit costs'!$F127*'Financial impact (cash)'!E$16)+('Unit costs'!$C127*'Financial impact (cash)'!E$13)+('Unit costs'!$G127*'Financial impact (cash)'!E$17)</f>
        <v>9.0312560641829194</v>
      </c>
      <c r="F194" s="128">
        <f>('Unit costs'!$D127*'Financial impact (cash)'!F$14)+('Unit costs'!$E127*'Financial impact (cash)'!F$15)+('Unit costs'!$F127*'Financial impact (cash)'!F$16)+('Unit costs'!$C127*'Financial impact (cash)'!F$13)+('Unit costs'!$G127*'Financial impact (cash)'!F$17)</f>
        <v>14.817292256505716</v>
      </c>
      <c r="G194" s="128">
        <f>('Unit costs'!$D127*'Financial impact (cash)'!G$14)+('Unit costs'!$E127*'Financial impact (cash)'!G$15)+('Unit costs'!$F127*'Financial impact (cash)'!G$16)+('Unit costs'!$C127*'Financial impact (cash)'!G$13)+('Unit costs'!$G127*'Financial impact (cash)'!G$17)</f>
        <v>14.960157735579712</v>
      </c>
      <c r="H194" s="128">
        <f>('Unit costs'!$D127*'Financial impact (cash)'!H$14)+('Unit costs'!$E127*'Financial impact (cash)'!H$15)+('Unit costs'!$F127*'Financial impact (cash)'!H$16)+('Unit costs'!$C127*'Financial impact (cash)'!H$13)+('Unit costs'!$G127*'Financial impact (cash)'!H$17)</f>
        <v>15.104400696096176</v>
      </c>
      <c r="I194" s="128">
        <f>('Unit costs'!$D127*'Financial impact (cash)'!I$14)+('Unit costs'!$E127*'Financial impact (cash)'!I$15)+('Unit costs'!$F127*'Financial impact (cash)'!I$16)+('Unit costs'!$C127*'Financial impact (cash)'!I$13)+('Unit costs'!$G127*'Financial impact (cash)'!I$17)</f>
        <v>15.250034419465967</v>
      </c>
      <c r="J194" s="290"/>
      <c r="K194" s="290"/>
      <c r="L194" s="292">
        <f>(D194*'Unit costs'!$I127)/1000</f>
        <v>0</v>
      </c>
      <c r="M194" s="292">
        <f>(E194*'Unit costs'!$I127)/1000</f>
        <v>3.4770335847104237</v>
      </c>
      <c r="N194" s="292">
        <f>(F194*'Unit costs'!$I127)/1000</f>
        <v>5.7046575187547006</v>
      </c>
      <c r="O194" s="292">
        <f>(G194*'Unit costs'!$I127)/1000</f>
        <v>5.7596607281981891</v>
      </c>
      <c r="P194" s="292">
        <f>(H194*'Unit costs'!$I127)/1000</f>
        <v>5.8151942679970281</v>
      </c>
      <c r="Q194" s="292">
        <f>(I194*'Unit costs'!$I127)/1000</f>
        <v>5.8712632514943968</v>
      </c>
      <c r="R194" s="639"/>
      <c r="S194" s="133"/>
      <c r="T194" s="133"/>
      <c r="U194" s="133"/>
      <c r="V194" s="133"/>
      <c r="W194" s="133"/>
      <c r="X194" s="133"/>
      <c r="Y194" s="133"/>
      <c r="Z194" s="133"/>
      <c r="AJ194" s="285"/>
      <c r="AK194" s="285"/>
      <c r="AL194" s="285"/>
      <c r="AM194" s="285"/>
      <c r="AN194" s="285"/>
    </row>
    <row r="195" spans="1:40">
      <c r="A195" s="290"/>
      <c r="B195" s="251" t="s">
        <v>929</v>
      </c>
      <c r="C195" s="167"/>
      <c r="D195" s="128">
        <f>('Unit costs'!$D128*'Financial impact (cash)'!D$14)+('Unit costs'!$E128*'Financial impact (cash)'!D$15)+('Unit costs'!$F128*'Financial impact (cash)'!D$16)+('Unit costs'!$C128*'Financial impact (cash)'!D$13)+('Unit costs'!$G128*'Financial impact (cash)'!D$17)</f>
        <v>246.3801</v>
      </c>
      <c r="E195" s="128">
        <f>('Unit costs'!$D128*'Financial impact (cash)'!E$14)+('Unit costs'!$E128*'Financial impact (cash)'!E$15)+('Unit costs'!$F128*'Financial impact (cash)'!E$16)+('Unit costs'!$C128*'Financial impact (cash)'!E$13)+('Unit costs'!$G128*'Financial impact (cash)'!E$17)</f>
        <v>262.06486895014996</v>
      </c>
      <c r="F195" s="128">
        <f>('Unit costs'!$D128*'Financial impact (cash)'!F$14)+('Unit costs'!$E128*'Financial impact (cash)'!F$15)+('Unit costs'!$F128*'Financial impact (cash)'!F$16)+('Unit costs'!$C128*'Financial impact (cash)'!F$13)+('Unit costs'!$G128*'Financial impact (cash)'!F$17)</f>
        <v>272.99011320622947</v>
      </c>
      <c r="G195" s="128">
        <f>('Unit costs'!$D128*'Financial impact (cash)'!G$14)+('Unit costs'!$E128*'Financial impact (cash)'!G$15)+('Unit costs'!$F128*'Financial impact (cash)'!G$16)+('Unit costs'!$C128*'Financial impact (cash)'!G$13)+('Unit costs'!$G128*'Financial impact (cash)'!G$17)</f>
        <v>275.62223131732014</v>
      </c>
      <c r="H195" s="128">
        <f>('Unit costs'!$D128*'Financial impact (cash)'!H$14)+('Unit costs'!$E128*'Financial impact (cash)'!H$15)+('Unit costs'!$F128*'Financial impact (cash)'!H$16)+('Unit costs'!$C128*'Financial impact (cash)'!H$13)+('Unit costs'!$G128*'Financial impact (cash)'!H$17)</f>
        <v>278.27972780446015</v>
      </c>
      <c r="I195" s="128">
        <f>('Unit costs'!$D128*'Financial impact (cash)'!I$14)+('Unit costs'!$E128*'Financial impact (cash)'!I$15)+('Unit costs'!$F128*'Financial impact (cash)'!I$16)+('Unit costs'!$C128*'Financial impact (cash)'!I$13)+('Unit costs'!$G128*'Financial impact (cash)'!I$17)</f>
        <v>280.96284736106531</v>
      </c>
      <c r="J195" s="290"/>
      <c r="K195" s="290"/>
      <c r="L195" s="292">
        <f>(D195*'Unit costs'!$I128)/1000</f>
        <v>213.36516660000001</v>
      </c>
      <c r="M195" s="292">
        <f>(E195*'Unit costs'!$I128)/1000</f>
        <v>226.94817651082985</v>
      </c>
      <c r="N195" s="292">
        <f>(F195*'Unit costs'!$I128)/1000</f>
        <v>236.40943803659471</v>
      </c>
      <c r="O195" s="292">
        <f>(G195*'Unit costs'!$I128)/1000</f>
        <v>238.68885232079924</v>
      </c>
      <c r="P195" s="292">
        <f>(H195*'Unit costs'!$I128)/1000</f>
        <v>240.99024427866249</v>
      </c>
      <c r="Q195" s="292">
        <f>(I195*'Unit costs'!$I128)/1000</f>
        <v>243.31382581468256</v>
      </c>
      <c r="R195" s="639"/>
      <c r="S195" s="133"/>
      <c r="T195" s="133"/>
      <c r="U195" s="133"/>
      <c r="V195" s="133"/>
      <c r="W195" s="133"/>
      <c r="X195" s="133"/>
      <c r="Y195" s="133"/>
      <c r="Z195" s="133"/>
      <c r="AJ195" s="285"/>
      <c r="AK195" s="285"/>
      <c r="AL195" s="285"/>
      <c r="AM195" s="285"/>
      <c r="AN195" s="285"/>
    </row>
    <row r="196" spans="1:40">
      <c r="A196" s="290"/>
      <c r="B196" s="251" t="s">
        <v>930</v>
      </c>
      <c r="C196" s="167"/>
      <c r="D196" s="128">
        <f>('Unit costs'!$D129*'Financial impact (cash)'!D$14)+('Unit costs'!$E129*'Financial impact (cash)'!D$15)+('Unit costs'!$F129*'Financial impact (cash)'!D$16)+('Unit costs'!$C129*'Financial impact (cash)'!D$13)+('Unit costs'!$G129*'Financial impact (cash)'!D$17)</f>
        <v>35.309249999999999</v>
      </c>
      <c r="E196" s="128">
        <f>('Unit costs'!$D129*'Financial impact (cash)'!E$14)+('Unit costs'!$E129*'Financial impact (cash)'!E$15)+('Unit costs'!$F129*'Financial impact (cash)'!E$16)+('Unit costs'!$C129*'Financial impact (cash)'!E$13)+('Unit costs'!$G129*'Financial impact (cash)'!E$17)</f>
        <v>28.202869814465959</v>
      </c>
      <c r="F196" s="128">
        <f>('Unit costs'!$D129*'Financial impact (cash)'!F$14)+('Unit costs'!$E129*'Financial impact (cash)'!F$15)+('Unit costs'!$F129*'Financial impact (cash)'!F$16)+('Unit costs'!$C129*'Financial impact (cash)'!F$13)+('Unit costs'!$G129*'Financial impact (cash)'!F$17)</f>
        <v>23.775655186214976</v>
      </c>
      <c r="G196" s="128">
        <f>('Unit costs'!$D129*'Financial impact (cash)'!G$14)+('Unit costs'!$E129*'Financial impact (cash)'!G$15)+('Unit costs'!$F129*'Financial impact (cash)'!G$16)+('Unit costs'!$C129*'Financial impact (cash)'!G$13)+('Unit costs'!$G129*'Financial impact (cash)'!G$17)</f>
        <v>24.004895475849224</v>
      </c>
      <c r="H196" s="128">
        <f>('Unit costs'!$D129*'Financial impact (cash)'!H$14)+('Unit costs'!$E129*'Financial impact (cash)'!H$15)+('Unit costs'!$F129*'Financial impact (cash)'!H$16)+('Unit costs'!$C129*'Financial impact (cash)'!H$13)+('Unit costs'!$G129*'Financial impact (cash)'!H$17)</f>
        <v>24.236346056219102</v>
      </c>
      <c r="I196" s="128">
        <f>('Unit costs'!$D129*'Financial impact (cash)'!I$14)+('Unit costs'!$E129*'Financial impact (cash)'!I$15)+('Unit costs'!$F129*'Financial impact (cash)'!I$16)+('Unit costs'!$C129*'Financial impact (cash)'!I$13)+('Unit costs'!$G129*'Financial impact (cash)'!I$17)</f>
        <v>24.470028238522314</v>
      </c>
      <c r="J196" s="290"/>
      <c r="K196" s="290"/>
      <c r="L196" s="292">
        <f>(D196*'Unit costs'!$I129)/1000</f>
        <v>18.890448750000001</v>
      </c>
      <c r="M196" s="292">
        <f>(E196*'Unit costs'!$I129)/1000</f>
        <v>15.088535350739289</v>
      </c>
      <c r="N196" s="292">
        <f>(F196*'Unit costs'!$I129)/1000</f>
        <v>12.719975524625012</v>
      </c>
      <c r="O196" s="292">
        <f>(G196*'Unit costs'!$I129)/1000</f>
        <v>12.842619079579336</v>
      </c>
      <c r="P196" s="292">
        <f>(H196*'Unit costs'!$I129)/1000</f>
        <v>12.966445140077219</v>
      </c>
      <c r="Q196" s="292">
        <f>(I196*'Unit costs'!$I129)/1000</f>
        <v>13.091465107609437</v>
      </c>
      <c r="R196" s="639"/>
      <c r="S196" s="133"/>
      <c r="T196" s="133"/>
      <c r="U196" s="133"/>
      <c r="V196" s="133"/>
      <c r="W196" s="133"/>
      <c r="X196" s="133"/>
      <c r="Y196" s="133"/>
      <c r="Z196" s="133"/>
      <c r="AJ196" s="285"/>
      <c r="AK196" s="285"/>
      <c r="AL196" s="285"/>
      <c r="AM196" s="285"/>
      <c r="AN196" s="285"/>
    </row>
    <row r="197" spans="1:40">
      <c r="A197" s="290"/>
      <c r="B197" s="251" t="s">
        <v>931</v>
      </c>
      <c r="C197" s="167"/>
      <c r="D197" s="128">
        <f>('Unit costs'!$D130*'Financial impact (cash)'!D$14)+('Unit costs'!$E130*'Financial impact (cash)'!D$15)+('Unit costs'!$F130*'Financial impact (cash)'!D$16)+('Unit costs'!$C130*'Financial impact (cash)'!D$13)+('Unit costs'!$G130*'Financial impact (cash)'!D$17)</f>
        <v>0</v>
      </c>
      <c r="E197" s="128">
        <f>('Unit costs'!$D130*'Financial impact (cash)'!E$14)+('Unit costs'!$E130*'Financial impact (cash)'!E$15)+('Unit costs'!$F130*'Financial impact (cash)'!E$16)+('Unit costs'!$C130*'Financial impact (cash)'!E$13)+('Unit costs'!$G130*'Financial impact (cash)'!E$17)</f>
        <v>19.811826881633621</v>
      </c>
      <c r="F197" s="128">
        <f>('Unit costs'!$D130*'Financial impact (cash)'!F$14)+('Unit costs'!$E130*'Financial impact (cash)'!F$15)+('Unit costs'!$F130*'Financial impact (cash)'!F$16)+('Unit costs'!$C130*'Financial impact (cash)'!F$13)+('Unit costs'!$G130*'Financial impact (cash)'!F$17)</f>
        <v>32.504629140644404</v>
      </c>
      <c r="G197" s="128">
        <f>('Unit costs'!$D130*'Financial impact (cash)'!G$14)+('Unit costs'!$E130*'Financial impact (cash)'!G$15)+('Unit costs'!$F130*'Financial impact (cash)'!G$16)+('Unit costs'!$C130*'Financial impact (cash)'!G$13)+('Unit costs'!$G130*'Financial impact (cash)'!G$17)</f>
        <v>32.818032516504914</v>
      </c>
      <c r="H197" s="128">
        <f>('Unit costs'!$D130*'Financial impact (cash)'!H$14)+('Unit costs'!$E130*'Financial impact (cash)'!H$15)+('Unit costs'!$F130*'Financial impact (cash)'!H$16)+('Unit costs'!$C130*'Financial impact (cash)'!H$13)+('Unit costs'!$G130*'Financial impact (cash)'!H$17)</f>
        <v>33.134457667374008</v>
      </c>
      <c r="I197" s="128">
        <f>('Unit costs'!$D130*'Financial impact (cash)'!I$14)+('Unit costs'!$E130*'Financial impact (cash)'!I$15)+('Unit costs'!$F130*'Financial impact (cash)'!I$16)+('Unit costs'!$C130*'Financial impact (cash)'!I$13)+('Unit costs'!$G130*'Financial impact (cash)'!I$17)</f>
        <v>33.453933728624527</v>
      </c>
      <c r="J197" s="290"/>
      <c r="K197" s="290"/>
      <c r="L197" s="292">
        <f>(D197*'Unit costs'!$I130)/1000</f>
        <v>0</v>
      </c>
      <c r="M197" s="292">
        <f>(E197*'Unit costs'!$I130)/1000</f>
        <v>12.679569204245517</v>
      </c>
      <c r="N197" s="292">
        <f>(F197*'Unit costs'!$I130)/1000</f>
        <v>20.802962650012418</v>
      </c>
      <c r="O197" s="292">
        <f>(G197*'Unit costs'!$I130)/1000</f>
        <v>21.003540810563145</v>
      </c>
      <c r="P197" s="292">
        <f>(H197*'Unit costs'!$I130)/1000</f>
        <v>21.206052907119368</v>
      </c>
      <c r="Q197" s="292">
        <f>(I197*'Unit costs'!$I130)/1000</f>
        <v>21.410517586319695</v>
      </c>
      <c r="R197" s="639"/>
      <c r="S197" s="133"/>
      <c r="T197" s="133"/>
      <c r="U197" s="133"/>
      <c r="V197" s="133"/>
      <c r="W197" s="133"/>
      <c r="X197" s="133"/>
      <c r="Y197" s="133"/>
      <c r="Z197" s="133"/>
      <c r="AJ197" s="285"/>
      <c r="AK197" s="285"/>
      <c r="AL197" s="285"/>
      <c r="AM197" s="285"/>
      <c r="AN197" s="285"/>
    </row>
    <row r="198" spans="1:40">
      <c r="A198" s="290"/>
      <c r="B198" s="251" t="s">
        <v>932</v>
      </c>
      <c r="C198" s="167"/>
      <c r="D198" s="128">
        <f>('Unit costs'!$D131*'Financial impact (cash)'!D$14)+('Unit costs'!$E131*'Financial impact (cash)'!D$15)+('Unit costs'!$F131*'Financial impact (cash)'!D$16)+('Unit costs'!$C131*'Financial impact (cash)'!D$13)+('Unit costs'!$G131*'Financial impact (cash)'!D$17)</f>
        <v>82.388249999999999</v>
      </c>
      <c r="E198" s="128">
        <f>('Unit costs'!$D131*'Financial impact (cash)'!E$14)+('Unit costs'!$E131*'Financial impact (cash)'!E$15)+('Unit costs'!$F131*'Financial impact (cash)'!E$16)+('Unit costs'!$C131*'Financial impact (cash)'!E$13)+('Unit costs'!$G131*'Financial impact (cash)'!E$17)</f>
        <v>86.364364972634974</v>
      </c>
      <c r="F198" s="128">
        <f>('Unit costs'!$D131*'Financial impact (cash)'!F$14)+('Unit costs'!$E131*'Financial impact (cash)'!F$15)+('Unit costs'!$F131*'Financial impact (cash)'!F$16)+('Unit costs'!$C131*'Financial impact (cash)'!F$13)+('Unit costs'!$G131*'Financial impact (cash)'!F$17)</f>
        <v>89.204836729833886</v>
      </c>
      <c r="G198" s="128">
        <f>('Unit costs'!$D131*'Financial impact (cash)'!G$14)+('Unit costs'!$E131*'Financial impact (cash)'!G$15)+('Unit costs'!$F131*'Financial impact (cash)'!G$16)+('Unit costs'!$C131*'Financial impact (cash)'!G$13)+('Unit costs'!$G131*'Financial impact (cash)'!G$17)</f>
        <v>90.064932590434182</v>
      </c>
      <c r="H198" s="128">
        <f>('Unit costs'!$D131*'Financial impact (cash)'!H$14)+('Unit costs'!$E131*'Financial impact (cash)'!H$15)+('Unit costs'!$F131*'Financial impact (cash)'!H$16)+('Unit costs'!$C131*'Financial impact (cash)'!H$13)+('Unit costs'!$G131*'Financial impact (cash)'!H$17)</f>
        <v>90.933321329722887</v>
      </c>
      <c r="I198" s="128">
        <f>('Unit costs'!$D131*'Financial impact (cash)'!I$14)+('Unit costs'!$E131*'Financial impact (cash)'!I$15)+('Unit costs'!$F131*'Financial impact (cash)'!I$16)+('Unit costs'!$C131*'Financial impact (cash)'!I$13)+('Unit costs'!$G131*'Financial impact (cash)'!I$17)</f>
        <v>91.810082906039639</v>
      </c>
      <c r="J198" s="290"/>
      <c r="K198" s="290"/>
      <c r="L198" s="292">
        <f>(D198*'Unit costs'!$I131)/1000</f>
        <v>112.45996124999999</v>
      </c>
      <c r="M198" s="292">
        <f>(E198*'Unit costs'!$I131)/1000</f>
        <v>117.88735818764674</v>
      </c>
      <c r="N198" s="292">
        <f>(F198*'Unit costs'!$I131)/1000</f>
        <v>121.76460213622326</v>
      </c>
      <c r="O198" s="292">
        <f>(G198*'Unit costs'!$I131)/1000</f>
        <v>122.93863298594266</v>
      </c>
      <c r="P198" s="292">
        <f>(H198*'Unit costs'!$I131)/1000</f>
        <v>124.12398361507175</v>
      </c>
      <c r="Q198" s="292">
        <f>(I198*'Unit costs'!$I131)/1000</f>
        <v>125.3207631667441</v>
      </c>
      <c r="R198" s="639"/>
      <c r="S198" s="133"/>
      <c r="T198" s="133"/>
      <c r="U198" s="133"/>
      <c r="V198" s="133"/>
      <c r="W198" s="133"/>
      <c r="X198" s="133"/>
      <c r="Y198" s="133"/>
      <c r="Z198" s="133"/>
      <c r="AJ198" s="285"/>
      <c r="AK198" s="285"/>
      <c r="AL198" s="285"/>
      <c r="AM198" s="285"/>
      <c r="AN198" s="285"/>
    </row>
    <row r="199" spans="1:40">
      <c r="A199" s="290"/>
      <c r="B199" s="251" t="s">
        <v>933</v>
      </c>
      <c r="C199" s="167"/>
      <c r="D199" s="128">
        <f>('Unit costs'!$D132*'Financial impact (cash)'!D$14)+('Unit costs'!$E132*'Financial impact (cash)'!D$15)+('Unit costs'!$F132*'Financial impact (cash)'!D$16)+('Unit costs'!$C132*'Financial impact (cash)'!D$13)+('Unit costs'!$G132*'Financial impact (cash)'!D$17)</f>
        <v>42.371100000000006</v>
      </c>
      <c r="E199" s="128">
        <f>('Unit costs'!$D132*'Financial impact (cash)'!E$14)+('Unit costs'!$E132*'Financial impact (cash)'!E$15)+('Unit costs'!$F132*'Financial impact (cash)'!E$16)+('Unit costs'!$C132*'Financial impact (cash)'!E$13)+('Unit costs'!$G132*'Financial impact (cash)'!E$17)</f>
        <v>133.41423342853017</v>
      </c>
      <c r="F199" s="128">
        <f>('Unit costs'!$D132*'Financial impact (cash)'!F$14)+('Unit costs'!$E132*'Financial impact (cash)'!F$15)+('Unit costs'!$F132*'Financial impact (cash)'!F$16)+('Unit costs'!$C132*'Financial impact (cash)'!F$13)+('Unit costs'!$G132*'Financial impact (cash)'!F$17)</f>
        <v>191.89338827873877</v>
      </c>
      <c r="G199" s="128">
        <f>('Unit costs'!$D132*'Financial impact (cash)'!G$14)+('Unit costs'!$E132*'Financial impact (cash)'!G$15)+('Unit costs'!$F132*'Financial impact (cash)'!G$16)+('Unit costs'!$C132*'Financial impact (cash)'!G$13)+('Unit costs'!$G132*'Financial impact (cash)'!G$17)</f>
        <v>193.74358738212334</v>
      </c>
      <c r="H199" s="128">
        <f>('Unit costs'!$D132*'Financial impact (cash)'!H$14)+('Unit costs'!$E132*'Financial impact (cash)'!H$15)+('Unit costs'!$F132*'Financial impact (cash)'!H$16)+('Unit costs'!$C132*'Financial impact (cash)'!H$13)+('Unit costs'!$G132*'Financial impact (cash)'!H$17)</f>
        <v>195.61162574903261</v>
      </c>
      <c r="I199" s="128">
        <f>('Unit costs'!$D132*'Financial impact (cash)'!I$14)+('Unit costs'!$E132*'Financial impact (cash)'!I$15)+('Unit costs'!$F132*'Financial impact (cash)'!I$16)+('Unit costs'!$C132*'Financial impact (cash)'!I$13)+('Unit costs'!$G132*'Financial impact (cash)'!I$17)</f>
        <v>197.4976753822109</v>
      </c>
      <c r="J199" s="290"/>
      <c r="K199" s="290"/>
      <c r="L199" s="292">
        <f>(D199*'Unit costs'!$I132)/1000</f>
        <v>57.836551500000006</v>
      </c>
      <c r="M199" s="292">
        <f>(E199*'Unit costs'!$I132)/1000</f>
        <v>182.11042862994367</v>
      </c>
      <c r="N199" s="292">
        <f>(F199*'Unit costs'!$I132)/1000</f>
        <v>261.93447500047841</v>
      </c>
      <c r="O199" s="292">
        <f>(G199*'Unit costs'!$I132)/1000</f>
        <v>264.45999677659836</v>
      </c>
      <c r="P199" s="292">
        <f>(H199*'Unit costs'!$I132)/1000</f>
        <v>267.00986914742953</v>
      </c>
      <c r="Q199" s="292">
        <f>(I199*'Unit costs'!$I132)/1000</f>
        <v>269.58432689671787</v>
      </c>
      <c r="R199" s="639"/>
      <c r="S199" s="133"/>
      <c r="T199" s="133"/>
      <c r="U199" s="133"/>
      <c r="V199" s="133"/>
      <c r="W199" s="133"/>
      <c r="X199" s="133"/>
      <c r="Y199" s="133"/>
      <c r="Z199" s="133"/>
      <c r="AJ199" s="285"/>
      <c r="AK199" s="285"/>
      <c r="AL199" s="285"/>
      <c r="AM199" s="285"/>
      <c r="AN199" s="285"/>
    </row>
    <row r="200" spans="1:40">
      <c r="A200" s="290"/>
      <c r="B200" s="251" t="s">
        <v>934</v>
      </c>
      <c r="C200" s="167"/>
      <c r="D200" s="128">
        <f>('Unit costs'!$D133*'Financial impact (cash)'!D$14)+('Unit costs'!$E133*'Financial impact (cash)'!D$15)+('Unit costs'!$F133*'Financial impact (cash)'!D$16)+('Unit costs'!$C133*'Financial impact (cash)'!D$13)+('Unit costs'!$G133*'Financial impact (cash)'!D$17)</f>
        <v>368.00085000000001</v>
      </c>
      <c r="E200" s="128">
        <f>('Unit costs'!$D133*'Financial impact (cash)'!E$14)+('Unit costs'!$E133*'Financial impact (cash)'!E$15)+('Unit costs'!$F133*'Financial impact (cash)'!E$16)+('Unit costs'!$C133*'Financial impact (cash)'!E$13)+('Unit costs'!$G133*'Financial impact (cash)'!E$17)</f>
        <v>398.16748226827497</v>
      </c>
      <c r="F200" s="128">
        <f>('Unit costs'!$D133*'Financial impact (cash)'!F$14)+('Unit costs'!$E133*'Financial impact (cash)'!F$15)+('Unit costs'!$F133*'Financial impact (cash)'!F$16)+('Unit costs'!$C133*'Financial impact (cash)'!F$13)+('Unit costs'!$G133*'Financial impact (cash)'!F$17)</f>
        <v>418.80346696390785</v>
      </c>
      <c r="G200" s="128">
        <f>('Unit costs'!$D133*'Financial impact (cash)'!G$14)+('Unit costs'!$E133*'Financial impact (cash)'!G$15)+('Unit costs'!$F133*'Financial impact (cash)'!G$16)+('Unit costs'!$C133*'Financial impact (cash)'!G$13)+('Unit costs'!$G133*'Financial impact (cash)'!G$17)</f>
        <v>422.84148935759981</v>
      </c>
      <c r="H200" s="128">
        <f>('Unit costs'!$D133*'Financial impact (cash)'!H$14)+('Unit costs'!$E133*'Financial impact (cash)'!H$15)+('Unit costs'!$F133*'Financial impact (cash)'!H$16)+('Unit costs'!$C133*'Financial impact (cash)'!H$13)+('Unit costs'!$G133*'Financial impact (cash)'!H$17)</f>
        <v>426.91844558574667</v>
      </c>
      <c r="I200" s="128">
        <f>('Unit costs'!$D133*'Financial impact (cash)'!I$14)+('Unit costs'!$E133*'Financial impact (cash)'!I$15)+('Unit costs'!$F133*'Financial impact (cash)'!I$16)+('Unit costs'!$C133*'Financial impact (cash)'!I$13)+('Unit costs'!$G133*'Financial impact (cash)'!I$17)</f>
        <v>431.03471104088419</v>
      </c>
      <c r="J200" s="290"/>
      <c r="K200" s="290"/>
      <c r="L200" s="292">
        <f>(D200*'Unit costs'!$I133)/1000</f>
        <v>502.32116024999999</v>
      </c>
      <c r="M200" s="292">
        <f>(E200*'Unit costs'!$I133)/1000</f>
        <v>543.49861329619523</v>
      </c>
      <c r="N200" s="292">
        <f>(F200*'Unit costs'!$I133)/1000</f>
        <v>571.66673240573425</v>
      </c>
      <c r="O200" s="292">
        <f>(G200*'Unit costs'!$I133)/1000</f>
        <v>577.17863297312374</v>
      </c>
      <c r="P200" s="292">
        <f>(H200*'Unit costs'!$I133)/1000</f>
        <v>582.74367822454417</v>
      </c>
      <c r="Q200" s="292">
        <f>(I200*'Unit costs'!$I133)/1000</f>
        <v>588.36238057080686</v>
      </c>
      <c r="R200" s="639"/>
      <c r="S200" s="133"/>
      <c r="T200" s="133"/>
      <c r="U200" s="133"/>
      <c r="V200" s="133"/>
      <c r="W200" s="133"/>
      <c r="X200" s="133"/>
      <c r="Y200" s="133"/>
      <c r="Z200" s="133"/>
      <c r="AJ200" s="285"/>
      <c r="AK200" s="285"/>
      <c r="AL200" s="285"/>
      <c r="AM200" s="285"/>
      <c r="AN200" s="285"/>
    </row>
    <row r="201" spans="1:40">
      <c r="A201" s="290"/>
      <c r="B201" s="251" t="s">
        <v>935</v>
      </c>
      <c r="C201" s="167"/>
      <c r="D201" s="128">
        <f>('Unit costs'!$D134*'Financial impact (cash)'!D$14)+('Unit costs'!$E134*'Financial impact (cash)'!D$15)+('Unit costs'!$F134*'Financial impact (cash)'!D$16)+('Unit costs'!$C134*'Financial impact (cash)'!D$13)+('Unit costs'!$G134*'Financial impact (cash)'!D$17)</f>
        <v>109.06635</v>
      </c>
      <c r="E201" s="128">
        <f>('Unit costs'!$D134*'Financial impact (cash)'!E$14)+('Unit costs'!$E134*'Financial impact (cash)'!E$15)+('Unit costs'!$F134*'Financial impact (cash)'!E$16)+('Unit costs'!$C134*'Financial impact (cash)'!E$13)+('Unit costs'!$G134*'Financial impact (cash)'!E$17)</f>
        <v>97.917828906404281</v>
      </c>
      <c r="F201" s="128">
        <f>('Unit costs'!$D134*'Financial impact (cash)'!F$14)+('Unit costs'!$E134*'Financial impact (cash)'!F$15)+('Unit costs'!$F134*'Financial impact (cash)'!F$16)+('Unit costs'!$C134*'Financial impact (cash)'!F$13)+('Unit costs'!$G134*'Financial impact (cash)'!F$17)</f>
        <v>91.163340617286849</v>
      </c>
      <c r="G201" s="128">
        <f>('Unit costs'!$D134*'Financial impact (cash)'!G$14)+('Unit costs'!$E134*'Financial impact (cash)'!G$15)+('Unit costs'!$F134*'Financial impact (cash)'!G$16)+('Unit costs'!$C134*'Financial impact (cash)'!G$13)+('Unit costs'!$G134*'Financial impact (cash)'!G$17)</f>
        <v>92.042319995287315</v>
      </c>
      <c r="H201" s="128">
        <f>('Unit costs'!$D134*'Financial impact (cash)'!H$14)+('Unit costs'!$E134*'Financial impact (cash)'!H$15)+('Unit costs'!$F134*'Financial impact (cash)'!H$16)+('Unit costs'!$C134*'Financial impact (cash)'!H$13)+('Unit costs'!$G134*'Financial impact (cash)'!H$17)</f>
        <v>92.929774323215213</v>
      </c>
      <c r="I201" s="128">
        <f>('Unit costs'!$D134*'Financial impact (cash)'!I$14)+('Unit costs'!$E134*'Financial impact (cash)'!I$15)+('Unit costs'!$F134*'Financial impact (cash)'!I$16)+('Unit costs'!$C134*'Financial impact (cash)'!I$13)+('Unit costs'!$G134*'Financial impact (cash)'!I$17)</f>
        <v>93.825785314906</v>
      </c>
      <c r="J201" s="290"/>
      <c r="K201" s="290"/>
      <c r="L201" s="292">
        <f>(D201*'Unit costs'!$I134)/1000</f>
        <v>273.97467119999999</v>
      </c>
      <c r="M201" s="292">
        <f>(E201*'Unit costs'!$I134)/1000</f>
        <v>245.96958621288755</v>
      </c>
      <c r="N201" s="292">
        <f>(F201*'Unit costs'!$I134)/1000</f>
        <v>229.00231163062458</v>
      </c>
      <c r="O201" s="292">
        <f>(G201*'Unit costs'!$I134)/1000</f>
        <v>231.21030782816175</v>
      </c>
      <c r="P201" s="292">
        <f>(H201*'Unit costs'!$I134)/1000</f>
        <v>233.43959309991661</v>
      </c>
      <c r="Q201" s="292">
        <f>(I201*'Unit costs'!$I134)/1000</f>
        <v>235.69037271104386</v>
      </c>
      <c r="R201" s="639"/>
      <c r="S201" s="133"/>
      <c r="T201" s="133"/>
      <c r="U201" s="133"/>
      <c r="V201" s="133"/>
      <c r="W201" s="133"/>
      <c r="X201" s="133"/>
      <c r="Y201" s="133"/>
      <c r="Z201" s="133"/>
      <c r="AJ201" s="285"/>
      <c r="AK201" s="285"/>
      <c r="AL201" s="285"/>
      <c r="AM201" s="285"/>
      <c r="AN201" s="285"/>
    </row>
    <row r="202" spans="1:40">
      <c r="A202" s="290"/>
      <c r="B202" s="251" t="s">
        <v>1001</v>
      </c>
      <c r="C202" s="167"/>
      <c r="D202" s="128">
        <f>('Unit costs'!$D135*'Financial impact (cash)'!D$14)+('Unit costs'!$E135*'Financial impact (cash)'!D$15)+('Unit costs'!$F135*'Financial impact (cash)'!D$16)+('Unit costs'!$C135*'Financial impact (cash)'!D$13)+('Unit costs'!$G135*'Financial impact (cash)'!D$17)</f>
        <v>0</v>
      </c>
      <c r="E202" s="128">
        <f>('Unit costs'!$D135*'Financial impact (cash)'!E$14)+('Unit costs'!$E135*'Financial impact (cash)'!E$15)+('Unit costs'!$F135*'Financial impact (cash)'!E$16)+('Unit costs'!$C135*'Financial impact (cash)'!E$13)+('Unit costs'!$G135*'Financial impact (cash)'!E$17)</f>
        <v>10.305241550914758</v>
      </c>
      <c r="F202" s="128">
        <f>('Unit costs'!$D135*'Financial impact (cash)'!F$14)+('Unit costs'!$E135*'Financial impact (cash)'!F$15)+('Unit costs'!$F135*'Financial impact (cash)'!F$16)+('Unit costs'!$C135*'Financial impact (cash)'!F$13)+('Unit costs'!$G135*'Financial impact (cash)'!F$17)</f>
        <v>16.907479396954177</v>
      </c>
      <c r="G202" s="128">
        <f>('Unit costs'!$D135*'Financial impact (cash)'!G$14)+('Unit costs'!$E135*'Financial impact (cash)'!G$15)+('Unit costs'!$F135*'Financial impact (cash)'!G$16)+('Unit costs'!$C135*'Financial impact (cash)'!G$13)+('Unit costs'!$G135*'Financial impact (cash)'!G$17)</f>
        <v>17.070498057999956</v>
      </c>
      <c r="H202" s="128">
        <f>('Unit costs'!$D135*'Financial impact (cash)'!H$14)+('Unit costs'!$E135*'Financial impact (cash)'!H$15)+('Unit costs'!$F135*'Financial impact (cash)'!H$16)+('Unit costs'!$C135*'Financial impact (cash)'!H$13)+('Unit costs'!$G135*'Financial impact (cash)'!H$17)</f>
        <v>17.235088513588565</v>
      </c>
      <c r="I202" s="128">
        <f>('Unit costs'!$D135*'Financial impact (cash)'!I$14)+('Unit costs'!$E135*'Financial impact (cash)'!I$15)+('Unit costs'!$F135*'Financial impact (cash)'!I$16)+('Unit costs'!$C135*'Financial impact (cash)'!I$13)+('Unit costs'!$G135*'Financial impact (cash)'!I$17)</f>
        <v>17.401265918660354</v>
      </c>
      <c r="J202" s="290"/>
      <c r="K202" s="290"/>
      <c r="L202" s="292">
        <f>(D202*'Unit costs'!$I135)/1000</f>
        <v>0</v>
      </c>
      <c r="M202" s="292">
        <f>(E202*'Unit costs'!$I135)/1000</f>
        <v>51.258271474250002</v>
      </c>
      <c r="N202" s="292">
        <f>(F202*'Unit costs'!$I135)/1000</f>
        <v>84.097802520450074</v>
      </c>
      <c r="O202" s="292">
        <f>(G202*'Unit costs'!$I135)/1000</f>
        <v>84.908657340491771</v>
      </c>
      <c r="P202" s="292">
        <f>(H202*'Unit costs'!$I135)/1000</f>
        <v>85.727330266589519</v>
      </c>
      <c r="Q202" s="292">
        <f>(I202*'Unit costs'!$I135)/1000</f>
        <v>86.55389667941661</v>
      </c>
      <c r="R202" s="639"/>
      <c r="S202" s="133"/>
      <c r="T202" s="133"/>
      <c r="U202" s="133"/>
      <c r="V202" s="133"/>
      <c r="W202" s="133"/>
      <c r="X202" s="133"/>
      <c r="Y202" s="133"/>
      <c r="Z202" s="133"/>
      <c r="AJ202" s="285"/>
      <c r="AK202" s="285"/>
      <c r="AL202" s="285"/>
      <c r="AM202" s="285"/>
      <c r="AN202" s="285"/>
    </row>
    <row r="203" spans="1:40">
      <c r="A203" s="290"/>
      <c r="B203" s="251" t="s">
        <v>936</v>
      </c>
      <c r="C203" s="167"/>
      <c r="D203" s="128">
        <f>('Unit costs'!$D136*'Financial impact (cash)'!D$14)+('Unit costs'!$E136*'Financial impact (cash)'!D$15)+('Unit costs'!$F136*'Financial impact (cash)'!D$16)+('Unit costs'!$C136*'Financial impact (cash)'!D$13)+('Unit costs'!$G136*'Financial impact (cash)'!D$17)</f>
        <v>207.93224999999998</v>
      </c>
      <c r="E203" s="128">
        <f>('Unit costs'!$D136*'Financial impact (cash)'!E$14)+('Unit costs'!$E136*'Financial impact (cash)'!E$15)+('Unit costs'!$F136*'Financial impact (cash)'!E$16)+('Unit costs'!$C136*'Financial impact (cash)'!E$13)+('Unit costs'!$G136*'Financial impact (cash)'!E$17)</f>
        <v>210.88775125311344</v>
      </c>
      <c r="F203" s="128">
        <f>('Unit costs'!$D136*'Financial impact (cash)'!F$14)+('Unit costs'!$E136*'Financial impact (cash)'!F$15)+('Unit costs'!$F136*'Financial impact (cash)'!F$16)+('Unit costs'!$C136*'Financial impact (cash)'!F$13)+('Unit costs'!$G136*'Financial impact (cash)'!F$17)</f>
        <v>213.52098072195417</v>
      </c>
      <c r="G203" s="128">
        <f>('Unit costs'!$D136*'Financial impact (cash)'!G$14)+('Unit costs'!$E136*'Financial impact (cash)'!G$15)+('Unit costs'!$F136*'Financial impact (cash)'!G$16)+('Unit costs'!$C136*'Financial impact (cash)'!G$13)+('Unit costs'!$G136*'Financial impact (cash)'!G$17)</f>
        <v>215.57970890758455</v>
      </c>
      <c r="H203" s="128">
        <f>('Unit costs'!$D136*'Financial impact (cash)'!H$14)+('Unit costs'!$E136*'Financial impact (cash)'!H$15)+('Unit costs'!$F136*'Financial impact (cash)'!H$16)+('Unit costs'!$C136*'Financial impact (cash)'!H$13)+('Unit costs'!$G136*'Financial impact (cash)'!H$17)</f>
        <v>217.65828695400131</v>
      </c>
      <c r="I203" s="128">
        <f>('Unit costs'!$D136*'Financial impact (cash)'!I$14)+('Unit costs'!$E136*'Financial impact (cash)'!I$15)+('Unit costs'!$F136*'Financial impact (cash)'!I$16)+('Unit costs'!$C136*'Financial impact (cash)'!I$13)+('Unit costs'!$G136*'Financial impact (cash)'!I$17)</f>
        <v>219.75690624974033</v>
      </c>
      <c r="J203" s="290"/>
      <c r="K203" s="290"/>
      <c r="L203" s="292">
        <f>(D203*'Unit costs'!$I136)/1000</f>
        <v>206.47672424999996</v>
      </c>
      <c r="M203" s="292">
        <f>(E203*'Unit costs'!$I136)/1000</f>
        <v>209.41153699434165</v>
      </c>
      <c r="N203" s="292">
        <f>(F203*'Unit costs'!$I136)/1000</f>
        <v>212.02633385690049</v>
      </c>
      <c r="O203" s="292">
        <f>(G203*'Unit costs'!$I136)/1000</f>
        <v>214.07065094523148</v>
      </c>
      <c r="P203" s="292">
        <f>(H203*'Unit costs'!$I136)/1000</f>
        <v>216.13467894532332</v>
      </c>
      <c r="Q203" s="292">
        <f>(I203*'Unit costs'!$I136)/1000</f>
        <v>218.21860790599214</v>
      </c>
      <c r="R203" s="639"/>
      <c r="S203" s="133"/>
      <c r="T203" s="133"/>
      <c r="U203" s="133"/>
      <c r="V203" s="133"/>
      <c r="W203" s="133"/>
      <c r="X203" s="133"/>
      <c r="Y203" s="133"/>
      <c r="Z203" s="133"/>
      <c r="AJ203" s="285"/>
      <c r="AK203" s="285"/>
      <c r="AL203" s="285"/>
      <c r="AM203" s="285"/>
      <c r="AN203" s="285"/>
    </row>
    <row r="204" spans="1:40">
      <c r="A204" s="290"/>
      <c r="B204" s="279"/>
      <c r="C204" s="209"/>
      <c r="D204" s="186">
        <f t="shared" ref="D204:I204" si="64">SUM(D190:D203)</f>
        <v>1091.4481500000002</v>
      </c>
      <c r="E204" s="186">
        <f t="shared" si="64"/>
        <v>1591.7501862646811</v>
      </c>
      <c r="F204" s="186">
        <f t="shared" si="64"/>
        <v>1916.1605684505353</v>
      </c>
      <c r="G204" s="186">
        <f t="shared" si="64"/>
        <v>1934.6358197215081</v>
      </c>
      <c r="H204" s="186">
        <f t="shared" si="64"/>
        <v>1953.2892058080831</v>
      </c>
      <c r="I204" s="186">
        <f t="shared" si="64"/>
        <v>1972.1224442518549</v>
      </c>
      <c r="J204" s="290"/>
      <c r="K204" s="290"/>
      <c r="L204" s="293">
        <f>SUM(L190:L203)</f>
        <v>1385.3246837999998</v>
      </c>
      <c r="M204" s="293">
        <f t="shared" ref="M204:P204" si="65">SUM(M190:M203)</f>
        <v>2174.4465098924552</v>
      </c>
      <c r="N204" s="293">
        <f t="shared" si="65"/>
        <v>2684.9399588439946</v>
      </c>
      <c r="O204" s="293">
        <f t="shared" si="65"/>
        <v>2710.827632979378</v>
      </c>
      <c r="P204" s="293">
        <f t="shared" si="65"/>
        <v>2736.9649110844625</v>
      </c>
      <c r="Q204" s="293">
        <f>SUM(Q190:Q203)</f>
        <v>2763.3541997926677</v>
      </c>
      <c r="R204" s="639"/>
      <c r="S204" s="133"/>
      <c r="T204" s="133"/>
      <c r="U204" s="133"/>
      <c r="V204" s="133"/>
      <c r="W204" s="133"/>
      <c r="X204" s="133"/>
      <c r="Y204" s="133"/>
      <c r="Z204" s="133"/>
      <c r="AJ204" s="285"/>
      <c r="AK204" s="285"/>
      <c r="AL204" s="285"/>
      <c r="AM204" s="285"/>
      <c r="AN204" s="285"/>
    </row>
    <row r="205" spans="1:40">
      <c r="A205" s="290"/>
      <c r="B205" s="305"/>
      <c r="C205" s="209"/>
      <c r="D205" s="284" t="s">
        <v>772</v>
      </c>
      <c r="E205" s="186">
        <f>E204-$D$204</f>
        <v>500.30203626468096</v>
      </c>
      <c r="F205" s="186">
        <f>F204-$D$204</f>
        <v>824.7124184505351</v>
      </c>
      <c r="G205" s="186">
        <f>G204-$D$204</f>
        <v>843.18766972150797</v>
      </c>
      <c r="H205" s="186">
        <f>H204-$D$204</f>
        <v>861.84105580808296</v>
      </c>
      <c r="I205" s="186">
        <f>I204-$D$204</f>
        <v>880.67429425185469</v>
      </c>
      <c r="J205" s="290"/>
      <c r="K205" s="290"/>
      <c r="L205" s="539"/>
      <c r="M205" s="293">
        <f>M204-$L$204</f>
        <v>789.12182609245542</v>
      </c>
      <c r="N205" s="293">
        <f>N204-$L$204</f>
        <v>1299.6152750439949</v>
      </c>
      <c r="O205" s="293">
        <f>O204-$L$204</f>
        <v>1325.5029491793782</v>
      </c>
      <c r="P205" s="293">
        <f>P204-$L$204</f>
        <v>1351.6402272844628</v>
      </c>
      <c r="Q205" s="293">
        <f>Q204-$L$204</f>
        <v>1378.0295159926679</v>
      </c>
    </row>
    <row r="206" spans="1:40">
      <c r="A206" s="290"/>
      <c r="B206" s="290"/>
      <c r="C206" s="290"/>
      <c r="D206" s="290"/>
      <c r="E206" s="290"/>
      <c r="F206" s="290"/>
      <c r="G206" s="290"/>
      <c r="H206" s="290"/>
      <c r="I206" s="290"/>
      <c r="J206" s="290"/>
      <c r="K206" s="290"/>
      <c r="L206" s="290"/>
      <c r="M206" s="290"/>
      <c r="N206" s="290"/>
      <c r="O206" s="290"/>
      <c r="P206" s="290"/>
      <c r="Q206" s="290"/>
    </row>
    <row r="207" spans="1:40">
      <c r="B207"/>
    </row>
    <row r="208" spans="1:40">
      <c r="B208"/>
    </row>
    <row r="209" spans="2:2">
      <c r="B209"/>
    </row>
    <row r="210" spans="2:2">
      <c r="B210"/>
    </row>
    <row r="211" spans="2:2">
      <c r="B211"/>
    </row>
  </sheetData>
  <sheetProtection algorithmName="SHA-512" hashValue="VuYZzOscHrCLhjLKXdwrtFBVKbMk+f6r3owCTyJTFZ/RNnbY3h7ZuaLQ9ury5x9LMkH/H2Urcve5xryEkzKAqQ==" saltValue="Y3sUbQbiHVPV98LrNBbGfw==" spinCount="100000" sheet="1" objects="1" scenarios="1"/>
  <protectedRanges>
    <protectedRange sqref="B190:B203" name="Range1_1"/>
  </protectedRanges>
  <pageMargins left="0.70866141732283472" right="0.70866141732283472" top="0.74803149606299213" bottom="0.74803149606299213" header="0.31496062992125984" footer="0.31496062992125984"/>
  <pageSetup paperSize="9" scale="33" fitToHeight="0" orientation="portrait" horizontalDpi="4294967293" r:id="rId1"/>
  <rowBreaks count="1" manualBreakCount="1">
    <brk id="154" min="1" max="17"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6E8C-23BD-46FF-B584-4E552FD2DC57}">
  <sheetPr>
    <tabColor theme="1"/>
  </sheetPr>
  <dimension ref="A1:X102"/>
  <sheetViews>
    <sheetView showGridLines="0" zoomScale="80" zoomScaleNormal="80" workbookViewId="0"/>
  </sheetViews>
  <sheetFormatPr defaultColWidth="8.54296875" defaultRowHeight="14.5"/>
  <cols>
    <col min="1" max="1" width="13.54296875" customWidth="1"/>
    <col min="2" max="2" width="32.54296875" customWidth="1"/>
    <col min="3" max="4" width="12.7265625" customWidth="1"/>
    <col min="5" max="6" width="11.81640625" customWidth="1"/>
    <col min="7" max="7" width="10.453125" style="482" customWidth="1"/>
    <col min="8" max="8" width="11.81640625" customWidth="1"/>
    <col min="9" max="9" width="12.54296875" customWidth="1"/>
    <col min="10" max="10" width="10.1796875" customWidth="1"/>
    <col min="11" max="13" width="9" customWidth="1"/>
    <col min="14" max="14" width="8.453125" customWidth="1"/>
    <col min="15" max="15" width="15.453125" hidden="1" customWidth="1"/>
    <col min="16" max="16" width="13.453125" hidden="1" customWidth="1"/>
    <col min="17" max="17" width="14.453125" hidden="1" customWidth="1"/>
    <col min="18" max="18" width="10.453125" hidden="1" customWidth="1"/>
    <col min="19" max="21" width="8.54296875" hidden="1" customWidth="1"/>
    <col min="22" max="22" width="47.26953125" bestFit="1" customWidth="1"/>
    <col min="23" max="23" width="10" customWidth="1"/>
  </cols>
  <sheetData>
    <row r="1" spans="1:24" ht="21" customHeight="1">
      <c r="A1" s="764" t="s">
        <v>1158</v>
      </c>
      <c r="B1" s="764"/>
      <c r="C1" s="764"/>
      <c r="D1" s="764"/>
      <c r="E1" s="764"/>
      <c r="F1" s="764"/>
      <c r="G1" s="764"/>
      <c r="H1" s="764"/>
      <c r="I1" s="764"/>
      <c r="J1" s="764"/>
      <c r="K1" s="764"/>
      <c r="L1" s="764"/>
      <c r="M1" s="764"/>
    </row>
    <row r="2" spans="1:24" ht="14.5" customHeight="1" thickBot="1">
      <c r="A2" s="129"/>
      <c r="B2" s="129"/>
      <c r="C2" s="129"/>
      <c r="D2" s="129"/>
      <c r="E2" s="129"/>
      <c r="F2" s="129"/>
      <c r="G2" s="129"/>
      <c r="H2" s="129"/>
      <c r="I2" s="129"/>
      <c r="J2" s="129"/>
      <c r="K2" s="129"/>
      <c r="L2" s="129"/>
      <c r="M2" s="129"/>
    </row>
    <row r="3" spans="1:24" ht="14.5" customHeight="1">
      <c r="A3" s="129"/>
      <c r="B3" s="765" t="s">
        <v>193</v>
      </c>
      <c r="C3" s="766"/>
      <c r="D3" s="129"/>
      <c r="E3" s="129"/>
      <c r="F3" s="129"/>
      <c r="G3" s="129"/>
      <c r="H3" s="129"/>
      <c r="I3" s="129"/>
      <c r="J3" s="129"/>
      <c r="K3" s="129"/>
      <c r="L3" s="129"/>
      <c r="M3" s="129"/>
    </row>
    <row r="4" spans="1:24" ht="14.5" customHeight="1">
      <c r="A4" s="129"/>
      <c r="B4" s="767" t="s">
        <v>1159</v>
      </c>
      <c r="C4" s="899" t="s">
        <v>1160</v>
      </c>
      <c r="D4" s="768" t="s">
        <v>1161</v>
      </c>
      <c r="E4" s="129"/>
      <c r="F4" s="129"/>
      <c r="G4" s="129"/>
      <c r="H4" s="129"/>
      <c r="I4" s="129"/>
      <c r="J4" s="129"/>
      <c r="K4" s="129"/>
      <c r="L4" s="129"/>
      <c r="M4" s="129"/>
    </row>
    <row r="5" spans="1:24" ht="14.5" customHeight="1">
      <c r="A5" s="129"/>
      <c r="B5" s="767" t="s">
        <v>1162</v>
      </c>
      <c r="C5" s="900">
        <v>9100</v>
      </c>
      <c r="D5" s="129"/>
      <c r="E5" s="129"/>
      <c r="F5" s="129"/>
      <c r="G5" s="129"/>
      <c r="H5" s="129"/>
      <c r="I5" s="129"/>
      <c r="J5" s="129"/>
      <c r="K5" s="129"/>
      <c r="L5" s="129"/>
      <c r="M5" s="129"/>
    </row>
    <row r="6" spans="1:24" ht="14.5" customHeight="1">
      <c r="A6" s="129"/>
      <c r="B6" s="767" t="s">
        <v>1163</v>
      </c>
      <c r="C6" s="901">
        <v>0.13800000000000001</v>
      </c>
      <c r="D6" s="129"/>
      <c r="E6" s="129"/>
      <c r="F6" s="129"/>
      <c r="G6" s="129"/>
      <c r="H6" s="129"/>
      <c r="I6" s="129"/>
      <c r="J6" s="129"/>
      <c r="K6" s="129"/>
      <c r="L6" s="129"/>
      <c r="M6" s="129"/>
    </row>
    <row r="7" spans="1:24" ht="14.5" customHeight="1">
      <c r="A7" s="129"/>
      <c r="B7" s="767" t="s">
        <v>1164</v>
      </c>
      <c r="C7" s="901">
        <v>0.23780000000000001</v>
      </c>
      <c r="D7" s="129"/>
      <c r="E7" s="129"/>
      <c r="F7" s="129"/>
      <c r="G7" s="129"/>
      <c r="H7" s="129"/>
      <c r="I7" s="129"/>
      <c r="J7" s="129"/>
      <c r="K7" s="129"/>
      <c r="L7" s="129"/>
      <c r="M7" s="129"/>
    </row>
    <row r="8" spans="1:24" ht="14.5" customHeight="1">
      <c r="A8" s="129"/>
      <c r="B8" s="767" t="s">
        <v>1165</v>
      </c>
      <c r="C8" s="901">
        <v>5.0000000000000001E-3</v>
      </c>
      <c r="D8" s="129"/>
      <c r="E8" s="129"/>
      <c r="F8" s="129"/>
      <c r="G8" s="129"/>
      <c r="H8" s="129"/>
      <c r="I8" s="129"/>
      <c r="J8" s="129"/>
      <c r="K8" s="129"/>
      <c r="L8" s="129"/>
      <c r="M8" s="129"/>
    </row>
    <row r="9" spans="1:24" ht="14.5" customHeight="1" thickBot="1">
      <c r="A9" s="129"/>
      <c r="B9" s="769" t="s">
        <v>1166</v>
      </c>
      <c r="C9" s="902">
        <v>0</v>
      </c>
      <c r="D9" s="129"/>
      <c r="E9" s="129"/>
      <c r="F9" s="129"/>
      <c r="G9" s="129"/>
      <c r="H9" s="129"/>
      <c r="I9" s="129"/>
      <c r="J9" s="129"/>
      <c r="K9" s="129"/>
      <c r="L9" s="129"/>
      <c r="M9" s="129"/>
      <c r="R9" s="770"/>
    </row>
    <row r="10" spans="1:24" ht="15" thickBot="1">
      <c r="P10" s="771"/>
      <c r="R10" s="771"/>
    </row>
    <row r="11" spans="1:24" ht="109.5" customHeight="1" thickBot="1">
      <c r="A11" s="772" t="s">
        <v>774</v>
      </c>
      <c r="B11" s="773" t="s">
        <v>1167</v>
      </c>
      <c r="C11" s="774" t="s">
        <v>1168</v>
      </c>
      <c r="D11" s="774" t="s">
        <v>1169</v>
      </c>
      <c r="E11" s="774" t="s">
        <v>1170</v>
      </c>
      <c r="F11" s="774" t="s">
        <v>1171</v>
      </c>
      <c r="G11" s="775" t="s">
        <v>1172</v>
      </c>
      <c r="H11" s="774" t="s">
        <v>1173</v>
      </c>
      <c r="I11" s="776" t="s">
        <v>1174</v>
      </c>
      <c r="J11" s="777" t="s">
        <v>1175</v>
      </c>
      <c r="K11" s="778" t="s">
        <v>777</v>
      </c>
      <c r="L11" s="779" t="s">
        <v>775</v>
      </c>
      <c r="M11" s="780" t="s">
        <v>776</v>
      </c>
      <c r="O11" t="s">
        <v>1160</v>
      </c>
      <c r="P11" t="s">
        <v>1176</v>
      </c>
      <c r="Q11" t="s">
        <v>1177</v>
      </c>
      <c r="R11" t="s">
        <v>1178</v>
      </c>
    </row>
    <row r="12" spans="1:24">
      <c r="A12" s="781">
        <v>2</v>
      </c>
      <c r="B12" s="782" t="s">
        <v>778</v>
      </c>
      <c r="C12" s="783">
        <f>HLOOKUP($C$4,$O$11:$R$41,2,FALSE)</f>
        <v>23615</v>
      </c>
      <c r="D12" s="783">
        <f>C12*$C$9</f>
        <v>0</v>
      </c>
      <c r="E12" s="783">
        <f>C12*(100%+$C$9)</f>
        <v>23615</v>
      </c>
      <c r="F12" s="783">
        <f>(E12-$C$5)*$C$6</f>
        <v>2003.0700000000002</v>
      </c>
      <c r="G12" s="784">
        <f>E12*$C$8</f>
        <v>118.075</v>
      </c>
      <c r="H12" s="783">
        <f>E12*$C$7</f>
        <v>5615.6469999999999</v>
      </c>
      <c r="I12" s="785">
        <f>SUM(E12:H12)</f>
        <v>31351.792000000001</v>
      </c>
      <c r="J12" s="786">
        <v>1560</v>
      </c>
      <c r="K12" s="787">
        <f>ROUND(I12/J12,2)</f>
        <v>20.100000000000001</v>
      </c>
      <c r="L12" s="788">
        <v>0.41</v>
      </c>
      <c r="M12" s="789">
        <v>0.83</v>
      </c>
      <c r="O12" s="770">
        <v>23615</v>
      </c>
      <c r="P12" s="285">
        <v>29029</v>
      </c>
      <c r="Q12">
        <v>28166</v>
      </c>
      <c r="R12">
        <v>24873</v>
      </c>
      <c r="V12" s="171"/>
      <c r="W12" s="330"/>
      <c r="X12" s="156"/>
    </row>
    <row r="13" spans="1:24">
      <c r="A13" s="496">
        <v>2</v>
      </c>
      <c r="B13" s="487" t="s">
        <v>779</v>
      </c>
      <c r="C13" s="483">
        <f>HLOOKUP($C$4,$O$11:$R$41,3,FALSE)</f>
        <v>23615</v>
      </c>
      <c r="D13" s="483">
        <f t="shared" ref="D13:D47" si="0">C13*$C$9</f>
        <v>0</v>
      </c>
      <c r="E13" s="483">
        <f t="shared" ref="E13:E47" si="1">C13*(100%+$C$9)</f>
        <v>23615</v>
      </c>
      <c r="F13" s="483">
        <f t="shared" ref="F13:F47" si="2">(E13-$C$5)*$C$6</f>
        <v>2003.0700000000002</v>
      </c>
      <c r="G13" s="488">
        <f t="shared" ref="G13:G47" si="3">E13*$C$8</f>
        <v>118.075</v>
      </c>
      <c r="H13" s="483">
        <f t="shared" ref="H13:H47" si="4">E13*$C$7</f>
        <v>5615.6469999999999</v>
      </c>
      <c r="I13" s="785">
        <f t="shared" ref="I13:I47" si="5">SUM(E13:H13)</f>
        <v>31351.792000000001</v>
      </c>
      <c r="J13" s="128">
        <v>1560</v>
      </c>
      <c r="K13" s="787">
        <f t="shared" ref="K13:K47" si="6">ROUND(I13/J13,2)</f>
        <v>20.100000000000001</v>
      </c>
      <c r="L13" s="485">
        <v>0.41</v>
      </c>
      <c r="M13" s="790">
        <v>0.83</v>
      </c>
      <c r="O13" s="770">
        <v>23615</v>
      </c>
      <c r="P13" s="285">
        <v>29029</v>
      </c>
      <c r="Q13">
        <v>28166</v>
      </c>
      <c r="R13">
        <v>24873</v>
      </c>
      <c r="V13" s="542" t="s">
        <v>812</v>
      </c>
      <c r="X13" s="158"/>
    </row>
    <row r="14" spans="1:24">
      <c r="A14" s="496">
        <v>3</v>
      </c>
      <c r="B14" s="487" t="s">
        <v>780</v>
      </c>
      <c r="C14" s="483">
        <f>HLOOKUP($C$4,$O$11:$R$41,4,FALSE)</f>
        <v>24071</v>
      </c>
      <c r="D14" s="483">
        <f t="shared" si="0"/>
        <v>0</v>
      </c>
      <c r="E14" s="483">
        <f t="shared" si="1"/>
        <v>24071</v>
      </c>
      <c r="F14" s="483">
        <f t="shared" si="2"/>
        <v>2065.998</v>
      </c>
      <c r="G14" s="488">
        <f t="shared" si="3"/>
        <v>120.355</v>
      </c>
      <c r="H14" s="483">
        <f t="shared" si="4"/>
        <v>5724.0838000000003</v>
      </c>
      <c r="I14" s="785">
        <f t="shared" si="5"/>
        <v>31981.436799999999</v>
      </c>
      <c r="J14" s="128">
        <v>1560</v>
      </c>
      <c r="K14" s="787">
        <f t="shared" si="6"/>
        <v>20.5</v>
      </c>
      <c r="L14" s="485">
        <v>0.35</v>
      </c>
      <c r="M14" s="790">
        <v>0.69</v>
      </c>
      <c r="O14" s="770">
        <v>24071</v>
      </c>
      <c r="P14" s="285">
        <v>29485</v>
      </c>
      <c r="Q14">
        <v>28622</v>
      </c>
      <c r="R14">
        <v>25329</v>
      </c>
      <c r="S14" t="s">
        <v>1160</v>
      </c>
      <c r="V14" s="543" t="s">
        <v>813</v>
      </c>
      <c r="W14">
        <v>260</v>
      </c>
      <c r="X14" s="158"/>
    </row>
    <row r="15" spans="1:24">
      <c r="A15" s="496">
        <v>3</v>
      </c>
      <c r="B15" s="487" t="s">
        <v>781</v>
      </c>
      <c r="C15" s="483">
        <f>HLOOKUP($C$4,$O$11:$R$41,5,FALSE)</f>
        <v>25674</v>
      </c>
      <c r="D15" s="483">
        <f t="shared" si="0"/>
        <v>0</v>
      </c>
      <c r="E15" s="483">
        <f t="shared" si="1"/>
        <v>25674</v>
      </c>
      <c r="F15" s="483">
        <f t="shared" si="2"/>
        <v>2287.212</v>
      </c>
      <c r="G15" s="488">
        <f t="shared" si="3"/>
        <v>128.37</v>
      </c>
      <c r="H15" s="483">
        <f t="shared" si="4"/>
        <v>6105.2772000000004</v>
      </c>
      <c r="I15" s="785">
        <f t="shared" si="5"/>
        <v>34194.859199999999</v>
      </c>
      <c r="J15" s="128">
        <v>1560</v>
      </c>
      <c r="K15" s="787">
        <f t="shared" si="6"/>
        <v>21.92</v>
      </c>
      <c r="L15" s="485">
        <v>0.35</v>
      </c>
      <c r="M15" s="790">
        <v>0.69</v>
      </c>
      <c r="O15" s="770">
        <v>25674</v>
      </c>
      <c r="P15" s="285">
        <v>31088</v>
      </c>
      <c r="Q15">
        <v>30225</v>
      </c>
      <c r="R15">
        <v>26958</v>
      </c>
      <c r="S15" t="s">
        <v>1179</v>
      </c>
      <c r="V15" s="543" t="s">
        <v>814</v>
      </c>
      <c r="W15">
        <v>-40</v>
      </c>
      <c r="X15" s="158"/>
    </row>
    <row r="16" spans="1:24">
      <c r="A16" s="496">
        <v>4</v>
      </c>
      <c r="B16" s="487" t="s">
        <v>782</v>
      </c>
      <c r="C16" s="483">
        <f>HLOOKUP($C$4,$O$11:$R$41,6,FALSE)</f>
        <v>26530</v>
      </c>
      <c r="D16" s="483">
        <f t="shared" si="0"/>
        <v>0</v>
      </c>
      <c r="E16" s="483">
        <f t="shared" si="1"/>
        <v>26530</v>
      </c>
      <c r="F16" s="483">
        <f t="shared" si="2"/>
        <v>2405.34</v>
      </c>
      <c r="G16" s="488">
        <f t="shared" si="3"/>
        <v>132.65</v>
      </c>
      <c r="H16" s="483">
        <f t="shared" si="4"/>
        <v>6308.8340000000007</v>
      </c>
      <c r="I16" s="785">
        <f t="shared" si="5"/>
        <v>35376.824000000001</v>
      </c>
      <c r="J16" s="128">
        <v>1560</v>
      </c>
      <c r="K16" s="787">
        <f t="shared" si="6"/>
        <v>22.68</v>
      </c>
      <c r="L16" s="485">
        <v>0.3</v>
      </c>
      <c r="M16" s="790">
        <v>0.6</v>
      </c>
      <c r="O16" s="770">
        <v>26530</v>
      </c>
      <c r="P16" s="285">
        <v>31944</v>
      </c>
      <c r="Q16">
        <v>31081</v>
      </c>
      <c r="R16">
        <v>27857</v>
      </c>
      <c r="S16" t="s">
        <v>1180</v>
      </c>
      <c r="V16" s="543" t="s">
        <v>815</v>
      </c>
      <c r="W16">
        <v>-2</v>
      </c>
      <c r="X16" s="158"/>
    </row>
    <row r="17" spans="1:24">
      <c r="A17" s="496">
        <v>4</v>
      </c>
      <c r="B17" s="487" t="s">
        <v>783</v>
      </c>
      <c r="C17" s="483">
        <f>HLOOKUP($C$4,$O$11:$R$41,7,FALSE)</f>
        <v>29114</v>
      </c>
      <c r="D17" s="483">
        <f t="shared" si="0"/>
        <v>0</v>
      </c>
      <c r="E17" s="483">
        <f t="shared" si="1"/>
        <v>29114</v>
      </c>
      <c r="F17" s="483">
        <f t="shared" si="2"/>
        <v>2761.9320000000002</v>
      </c>
      <c r="G17" s="488">
        <f t="shared" si="3"/>
        <v>145.57</v>
      </c>
      <c r="H17" s="483">
        <f t="shared" si="4"/>
        <v>6923.3092000000006</v>
      </c>
      <c r="I17" s="785">
        <f t="shared" si="5"/>
        <v>38944.811200000004</v>
      </c>
      <c r="J17" s="128">
        <v>1560</v>
      </c>
      <c r="K17" s="787">
        <f t="shared" si="6"/>
        <v>24.96</v>
      </c>
      <c r="L17" s="485">
        <v>0.3</v>
      </c>
      <c r="M17" s="790">
        <v>0.6</v>
      </c>
      <c r="O17" s="770">
        <v>29114</v>
      </c>
      <c r="P17" s="285">
        <v>34937</v>
      </c>
      <c r="Q17">
        <v>33665</v>
      </c>
      <c r="R17">
        <v>30570</v>
      </c>
      <c r="S17" t="s">
        <v>1181</v>
      </c>
      <c r="V17" s="543" t="s">
        <v>816</v>
      </c>
      <c r="W17">
        <v>-10</v>
      </c>
      <c r="X17" s="158"/>
    </row>
    <row r="18" spans="1:24">
      <c r="A18" s="496">
        <v>5</v>
      </c>
      <c r="B18" s="487" t="s">
        <v>784</v>
      </c>
      <c r="C18" s="483">
        <f>HLOOKUP($C$4,$O$11:$R$41,8,FALSE)</f>
        <v>29970</v>
      </c>
      <c r="D18" s="483">
        <f t="shared" si="0"/>
        <v>0</v>
      </c>
      <c r="E18" s="483">
        <f t="shared" si="1"/>
        <v>29970</v>
      </c>
      <c r="F18" s="483">
        <f t="shared" si="2"/>
        <v>2880.0600000000004</v>
      </c>
      <c r="G18" s="488">
        <f t="shared" si="3"/>
        <v>149.85</v>
      </c>
      <c r="H18" s="483">
        <f t="shared" si="4"/>
        <v>7126.866</v>
      </c>
      <c r="I18" s="785">
        <f t="shared" si="5"/>
        <v>40126.775999999998</v>
      </c>
      <c r="J18" s="128">
        <v>1560</v>
      </c>
      <c r="K18" s="787">
        <f t="shared" si="6"/>
        <v>25.72</v>
      </c>
      <c r="L18" s="485">
        <v>0.3</v>
      </c>
      <c r="M18" s="790">
        <v>0.6</v>
      </c>
      <c r="O18" s="770">
        <v>29970</v>
      </c>
      <c r="P18" s="285">
        <v>35964</v>
      </c>
      <c r="Q18">
        <v>34521</v>
      </c>
      <c r="R18">
        <v>31469</v>
      </c>
      <c r="V18" s="543"/>
      <c r="W18" s="330">
        <v>208</v>
      </c>
      <c r="X18" s="158"/>
    </row>
    <row r="19" spans="1:24">
      <c r="A19" s="496">
        <v>5</v>
      </c>
      <c r="B19" s="487" t="s">
        <v>91</v>
      </c>
      <c r="C19" s="483">
        <f>HLOOKUP($C$4,$O$11:$R$41,9,FALSE)</f>
        <v>32324</v>
      </c>
      <c r="D19" s="483">
        <f t="shared" si="0"/>
        <v>0</v>
      </c>
      <c r="E19" s="483">
        <f t="shared" si="1"/>
        <v>32324</v>
      </c>
      <c r="F19" s="483">
        <f t="shared" si="2"/>
        <v>3204.9120000000003</v>
      </c>
      <c r="G19" s="488">
        <f t="shared" si="3"/>
        <v>161.62</v>
      </c>
      <c r="H19" s="483">
        <f t="shared" si="4"/>
        <v>7686.6472000000003</v>
      </c>
      <c r="I19" s="785">
        <f t="shared" si="5"/>
        <v>43377.179199999999</v>
      </c>
      <c r="J19" s="128">
        <v>1560</v>
      </c>
      <c r="K19" s="787">
        <f t="shared" si="6"/>
        <v>27.81</v>
      </c>
      <c r="L19" s="485">
        <v>0.3</v>
      </c>
      <c r="M19" s="790">
        <v>0.6</v>
      </c>
      <c r="O19" s="770">
        <v>32324</v>
      </c>
      <c r="P19" s="285">
        <v>38789</v>
      </c>
      <c r="Q19">
        <v>37173</v>
      </c>
      <c r="R19">
        <v>33941</v>
      </c>
      <c r="V19" s="543" t="s">
        <v>817</v>
      </c>
      <c r="W19" s="360">
        <f>7.5*W18</f>
        <v>1560</v>
      </c>
      <c r="X19" s="158"/>
    </row>
    <row r="20" spans="1:24">
      <c r="A20" s="496">
        <v>5</v>
      </c>
      <c r="B20" s="487" t="s">
        <v>785</v>
      </c>
      <c r="C20" s="483">
        <f>HLOOKUP($C$4,$O$11:$R$41,10,FALSE)</f>
        <v>36483</v>
      </c>
      <c r="D20" s="483">
        <f t="shared" si="0"/>
        <v>0</v>
      </c>
      <c r="E20" s="483">
        <f t="shared" si="1"/>
        <v>36483</v>
      </c>
      <c r="F20" s="483">
        <f t="shared" si="2"/>
        <v>3778.8540000000003</v>
      </c>
      <c r="G20" s="488">
        <f t="shared" si="3"/>
        <v>182.41499999999999</v>
      </c>
      <c r="H20" s="483">
        <f t="shared" si="4"/>
        <v>8675.6574000000001</v>
      </c>
      <c r="I20" s="785">
        <f t="shared" si="5"/>
        <v>49119.926399999997</v>
      </c>
      <c r="J20" s="128">
        <v>1560</v>
      </c>
      <c r="K20" s="787">
        <f t="shared" si="6"/>
        <v>31.49</v>
      </c>
      <c r="L20" s="485">
        <v>0.3</v>
      </c>
      <c r="M20" s="790">
        <v>0.6</v>
      </c>
      <c r="O20" s="770">
        <v>36483</v>
      </c>
      <c r="P20" s="285">
        <v>43780</v>
      </c>
      <c r="Q20">
        <v>41956</v>
      </c>
      <c r="R20">
        <v>38308</v>
      </c>
      <c r="V20" s="159"/>
      <c r="X20" s="158"/>
    </row>
    <row r="21" spans="1:24">
      <c r="A21" s="496">
        <v>6</v>
      </c>
      <c r="B21" s="487" t="s">
        <v>786</v>
      </c>
      <c r="C21" s="483">
        <f>HLOOKUP($C$4,$O$11:$R$41,11,FALSE)</f>
        <v>37338</v>
      </c>
      <c r="D21" s="483">
        <f t="shared" si="0"/>
        <v>0</v>
      </c>
      <c r="E21" s="483">
        <f t="shared" si="1"/>
        <v>37338</v>
      </c>
      <c r="F21" s="483">
        <f t="shared" si="2"/>
        <v>3896.8440000000005</v>
      </c>
      <c r="G21" s="488">
        <f t="shared" si="3"/>
        <v>186.69</v>
      </c>
      <c r="H21" s="483">
        <f t="shared" si="4"/>
        <v>8878.9763999999996</v>
      </c>
      <c r="I21" s="785">
        <f t="shared" si="5"/>
        <v>50300.510399999999</v>
      </c>
      <c r="J21" s="128">
        <v>1560</v>
      </c>
      <c r="K21" s="787">
        <f t="shared" si="6"/>
        <v>32.24</v>
      </c>
      <c r="L21" s="485">
        <v>0.3</v>
      </c>
      <c r="M21" s="790">
        <v>0.6</v>
      </c>
      <c r="O21" s="770">
        <v>37338</v>
      </c>
      <c r="P21" s="285">
        <v>44806</v>
      </c>
      <c r="Q21">
        <v>42939</v>
      </c>
      <c r="R21">
        <v>39205</v>
      </c>
      <c r="V21" s="543"/>
      <c r="X21" s="158"/>
    </row>
    <row r="22" spans="1:24">
      <c r="A22" s="496">
        <v>6</v>
      </c>
      <c r="B22" s="487" t="s">
        <v>102</v>
      </c>
      <c r="C22" s="483">
        <f>HLOOKUP($C$4,$O$11:$R$41,12,FALSE)</f>
        <v>39405</v>
      </c>
      <c r="D22" s="483">
        <f t="shared" si="0"/>
        <v>0</v>
      </c>
      <c r="E22" s="483">
        <f t="shared" si="1"/>
        <v>39405</v>
      </c>
      <c r="F22" s="483">
        <f t="shared" si="2"/>
        <v>4182.09</v>
      </c>
      <c r="G22" s="488">
        <f t="shared" si="3"/>
        <v>197.02500000000001</v>
      </c>
      <c r="H22" s="483">
        <f t="shared" si="4"/>
        <v>9370.509</v>
      </c>
      <c r="I22" s="785">
        <f t="shared" si="5"/>
        <v>53154.623999999996</v>
      </c>
      <c r="J22" s="128">
        <v>1560</v>
      </c>
      <c r="K22" s="787">
        <f t="shared" si="6"/>
        <v>34.07</v>
      </c>
      <c r="L22" s="485">
        <v>0.3</v>
      </c>
      <c r="M22" s="790">
        <v>0.6</v>
      </c>
      <c r="O22" s="770">
        <v>39405</v>
      </c>
      <c r="P22" s="285">
        <v>47286</v>
      </c>
      <c r="Q22">
        <v>45140</v>
      </c>
      <c r="R22">
        <v>41376</v>
      </c>
      <c r="V22" s="542" t="s">
        <v>804</v>
      </c>
      <c r="X22" s="158"/>
    </row>
    <row r="23" spans="1:24">
      <c r="A23" s="496">
        <v>6</v>
      </c>
      <c r="B23" s="487" t="s">
        <v>787</v>
      </c>
      <c r="C23" s="483">
        <f>HLOOKUP($C$4,$O$11:$R$41,13,FALSE)</f>
        <v>44962</v>
      </c>
      <c r="D23" s="483">
        <f t="shared" si="0"/>
        <v>0</v>
      </c>
      <c r="E23" s="483">
        <f t="shared" si="1"/>
        <v>44962</v>
      </c>
      <c r="F23" s="483">
        <f t="shared" si="2"/>
        <v>4948.9560000000001</v>
      </c>
      <c r="G23" s="488">
        <f t="shared" si="3"/>
        <v>224.81</v>
      </c>
      <c r="H23" s="483">
        <f t="shared" si="4"/>
        <v>10691.963600000001</v>
      </c>
      <c r="I23" s="785">
        <f t="shared" si="5"/>
        <v>60827.729599999999</v>
      </c>
      <c r="J23" s="128">
        <v>1560</v>
      </c>
      <c r="K23" s="787">
        <f t="shared" si="6"/>
        <v>38.99</v>
      </c>
      <c r="L23" s="485">
        <v>0.3</v>
      </c>
      <c r="M23" s="790">
        <v>0.6</v>
      </c>
      <c r="O23" s="770">
        <v>44962</v>
      </c>
      <c r="P23" s="285">
        <v>53134</v>
      </c>
      <c r="Q23">
        <v>50697</v>
      </c>
      <c r="R23">
        <v>47084</v>
      </c>
      <c r="V23" s="543" t="s">
        <v>821</v>
      </c>
      <c r="W23">
        <v>43</v>
      </c>
      <c r="X23" s="158"/>
    </row>
    <row r="24" spans="1:24">
      <c r="A24" s="496">
        <v>7</v>
      </c>
      <c r="B24" s="487" t="s">
        <v>788</v>
      </c>
      <c r="C24" s="483">
        <f>HLOOKUP($C$4,$O$11:$R$41,14,FALSE)</f>
        <v>46148</v>
      </c>
      <c r="D24" s="483">
        <f t="shared" si="0"/>
        <v>0</v>
      </c>
      <c r="E24" s="483">
        <f t="shared" si="1"/>
        <v>46148</v>
      </c>
      <c r="F24" s="483">
        <f t="shared" si="2"/>
        <v>5112.6240000000007</v>
      </c>
      <c r="G24" s="488">
        <f t="shared" si="3"/>
        <v>230.74</v>
      </c>
      <c r="H24" s="483">
        <f t="shared" si="4"/>
        <v>10973.994400000001</v>
      </c>
      <c r="I24" s="785">
        <f t="shared" si="5"/>
        <v>62465.358400000005</v>
      </c>
      <c r="J24" s="128">
        <v>1560</v>
      </c>
      <c r="K24" s="787">
        <f t="shared" si="6"/>
        <v>40.04</v>
      </c>
      <c r="L24" s="485">
        <v>0.3</v>
      </c>
      <c r="M24" s="790">
        <v>0.6</v>
      </c>
      <c r="O24" s="770">
        <v>46148</v>
      </c>
      <c r="P24" s="285">
        <v>54320</v>
      </c>
      <c r="Q24">
        <v>51883</v>
      </c>
      <c r="R24">
        <v>48270</v>
      </c>
      <c r="V24" s="543"/>
      <c r="X24" s="158"/>
    </row>
    <row r="25" spans="1:24">
      <c r="A25" s="496">
        <v>7</v>
      </c>
      <c r="B25" s="487" t="s">
        <v>88</v>
      </c>
      <c r="C25" s="483">
        <f>HLOOKUP($C$4,$O$11:$R$41,15,FALSE)</f>
        <v>48526</v>
      </c>
      <c r="D25" s="483">
        <f t="shared" si="0"/>
        <v>0</v>
      </c>
      <c r="E25" s="483">
        <f t="shared" si="1"/>
        <v>48526</v>
      </c>
      <c r="F25" s="483">
        <f t="shared" si="2"/>
        <v>5440.7880000000005</v>
      </c>
      <c r="G25" s="488">
        <f t="shared" si="3"/>
        <v>242.63</v>
      </c>
      <c r="H25" s="483">
        <f t="shared" si="4"/>
        <v>11539.4828</v>
      </c>
      <c r="I25" s="785">
        <f t="shared" si="5"/>
        <v>65748.900800000003</v>
      </c>
      <c r="J25" s="128">
        <v>1560</v>
      </c>
      <c r="K25" s="787">
        <f t="shared" si="6"/>
        <v>42.15</v>
      </c>
      <c r="L25" s="485">
        <v>0.3</v>
      </c>
      <c r="M25" s="790">
        <v>0.6</v>
      </c>
      <c r="O25" s="770">
        <v>48526</v>
      </c>
      <c r="P25" s="285">
        <v>56698</v>
      </c>
      <c r="Q25">
        <v>54261</v>
      </c>
      <c r="R25">
        <v>50648</v>
      </c>
      <c r="V25" s="543" t="s">
        <v>818</v>
      </c>
      <c r="W25">
        <v>10</v>
      </c>
      <c r="X25" s="158"/>
    </row>
    <row r="26" spans="1:24">
      <c r="A26" s="496">
        <v>7</v>
      </c>
      <c r="B26" s="487" t="s">
        <v>789</v>
      </c>
      <c r="C26" s="483">
        <f>HLOOKUP($C$4,$O$11:$R$41,16,FALSE)</f>
        <v>52809</v>
      </c>
      <c r="D26" s="483">
        <f t="shared" si="0"/>
        <v>0</v>
      </c>
      <c r="E26" s="483">
        <f t="shared" si="1"/>
        <v>52809</v>
      </c>
      <c r="F26" s="483">
        <f t="shared" si="2"/>
        <v>6031.8420000000006</v>
      </c>
      <c r="G26" s="488">
        <f t="shared" si="3"/>
        <v>264.04500000000002</v>
      </c>
      <c r="H26" s="483">
        <f t="shared" si="4"/>
        <v>12557.9802</v>
      </c>
      <c r="I26" s="785">
        <f t="shared" si="5"/>
        <v>71662.867200000008</v>
      </c>
      <c r="J26" s="128">
        <v>1560</v>
      </c>
      <c r="K26" s="787">
        <f t="shared" si="6"/>
        <v>45.94</v>
      </c>
      <c r="L26" s="485">
        <v>0.3</v>
      </c>
      <c r="M26" s="790">
        <v>0.6</v>
      </c>
      <c r="O26" s="770">
        <v>52809</v>
      </c>
      <c r="P26" s="285">
        <v>60981</v>
      </c>
      <c r="Q26">
        <v>58544</v>
      </c>
      <c r="R26">
        <v>54931</v>
      </c>
      <c r="V26" s="543" t="s">
        <v>819</v>
      </c>
      <c r="W26">
        <v>-2</v>
      </c>
      <c r="X26" s="158"/>
    </row>
    <row r="27" spans="1:24">
      <c r="A27" s="496" t="s">
        <v>808</v>
      </c>
      <c r="B27" s="487" t="s">
        <v>790</v>
      </c>
      <c r="C27" s="483">
        <f>HLOOKUP($C$4,$O$11:$R$41,17,FALSE)</f>
        <v>53754.676500000001</v>
      </c>
      <c r="D27" s="483">
        <f t="shared" si="0"/>
        <v>0</v>
      </c>
      <c r="E27" s="483">
        <f t="shared" si="1"/>
        <v>53754.676500000001</v>
      </c>
      <c r="F27" s="483">
        <f t="shared" si="2"/>
        <v>6162.3453570000011</v>
      </c>
      <c r="G27" s="488">
        <f t="shared" si="3"/>
        <v>268.77338250000003</v>
      </c>
      <c r="H27" s="483">
        <f t="shared" si="4"/>
        <v>12782.862071700001</v>
      </c>
      <c r="I27" s="785">
        <f t="shared" si="5"/>
        <v>72968.657311200004</v>
      </c>
      <c r="J27" s="128">
        <v>1560</v>
      </c>
      <c r="K27" s="787">
        <f t="shared" si="6"/>
        <v>46.77</v>
      </c>
      <c r="L27" s="485">
        <v>0.3</v>
      </c>
      <c r="M27" s="790">
        <v>0.6</v>
      </c>
      <c r="O27" s="770">
        <v>53754.676500000001</v>
      </c>
      <c r="P27" s="285">
        <v>61927</v>
      </c>
      <c r="Q27">
        <v>59490</v>
      </c>
      <c r="R27">
        <v>55877</v>
      </c>
      <c r="V27" s="543"/>
      <c r="W27" s="330">
        <v>8</v>
      </c>
      <c r="X27" s="158"/>
    </row>
    <row r="28" spans="1:24">
      <c r="A28" s="496" t="s">
        <v>808</v>
      </c>
      <c r="B28" s="487" t="s">
        <v>97</v>
      </c>
      <c r="C28" s="483">
        <f>HLOOKUP($C$4,$O$11:$R$41,18,FALSE)</f>
        <v>56454</v>
      </c>
      <c r="D28" s="483">
        <f t="shared" si="0"/>
        <v>0</v>
      </c>
      <c r="E28" s="483">
        <f t="shared" si="1"/>
        <v>56454</v>
      </c>
      <c r="F28" s="483">
        <f t="shared" si="2"/>
        <v>6534.8520000000008</v>
      </c>
      <c r="G28" s="488">
        <f t="shared" si="3"/>
        <v>282.27</v>
      </c>
      <c r="H28" s="483">
        <f t="shared" si="4"/>
        <v>13424.761200000001</v>
      </c>
      <c r="I28" s="785">
        <f t="shared" si="5"/>
        <v>76695.883199999997</v>
      </c>
      <c r="J28" s="128">
        <v>1560</v>
      </c>
      <c r="K28" s="787">
        <f t="shared" si="6"/>
        <v>49.16</v>
      </c>
      <c r="L28" s="485">
        <v>0.3</v>
      </c>
      <c r="M28" s="790">
        <v>0.6</v>
      </c>
      <c r="O28" s="770">
        <v>56454</v>
      </c>
      <c r="P28" s="285">
        <v>64626</v>
      </c>
      <c r="Q28">
        <v>62189</v>
      </c>
      <c r="R28">
        <v>58576</v>
      </c>
      <c r="V28" s="543" t="s">
        <v>820</v>
      </c>
      <c r="W28" s="360">
        <f>W27*4*W23</f>
        <v>1376</v>
      </c>
      <c r="X28" s="158"/>
    </row>
    <row r="29" spans="1:24">
      <c r="A29" s="496" t="s">
        <v>808</v>
      </c>
      <c r="B29" s="487" t="s">
        <v>791</v>
      </c>
      <c r="C29" s="483">
        <f>HLOOKUP($C$4,$O$11:$R$41,19,FALSE)</f>
        <v>60504</v>
      </c>
      <c r="D29" s="483">
        <f t="shared" si="0"/>
        <v>0</v>
      </c>
      <c r="E29" s="483">
        <f t="shared" si="1"/>
        <v>60504</v>
      </c>
      <c r="F29" s="483">
        <f t="shared" si="2"/>
        <v>7093.7520000000004</v>
      </c>
      <c r="G29" s="488">
        <f t="shared" si="3"/>
        <v>302.52</v>
      </c>
      <c r="H29" s="483">
        <f t="shared" si="4"/>
        <v>14387.851200000001</v>
      </c>
      <c r="I29" s="785">
        <f t="shared" si="5"/>
        <v>82288.123200000016</v>
      </c>
      <c r="J29" s="128">
        <v>1560</v>
      </c>
      <c r="K29" s="787">
        <f t="shared" si="6"/>
        <v>52.75</v>
      </c>
      <c r="L29" s="485">
        <v>0.3</v>
      </c>
      <c r="M29" s="790">
        <v>0.6</v>
      </c>
      <c r="O29" s="770">
        <v>60504</v>
      </c>
      <c r="P29" s="285">
        <v>68676</v>
      </c>
      <c r="Q29">
        <v>66239</v>
      </c>
      <c r="R29">
        <v>62626</v>
      </c>
      <c r="V29" s="159"/>
      <c r="X29" s="158"/>
    </row>
    <row r="30" spans="1:24">
      <c r="A30" s="496" t="s">
        <v>809</v>
      </c>
      <c r="B30" s="487" t="s">
        <v>792</v>
      </c>
      <c r="C30" s="483">
        <f>HLOOKUP($C$4,$O$11:$R$41,20,FALSE)</f>
        <v>62215</v>
      </c>
      <c r="D30" s="483">
        <f t="shared" si="0"/>
        <v>0</v>
      </c>
      <c r="E30" s="483">
        <f t="shared" si="1"/>
        <v>62215</v>
      </c>
      <c r="F30" s="483">
        <f t="shared" si="2"/>
        <v>7329.8700000000008</v>
      </c>
      <c r="G30" s="488">
        <f t="shared" si="3"/>
        <v>311.07499999999999</v>
      </c>
      <c r="H30" s="483">
        <f t="shared" si="4"/>
        <v>14794.727000000001</v>
      </c>
      <c r="I30" s="785">
        <f t="shared" si="5"/>
        <v>84650.671999999991</v>
      </c>
      <c r="J30" s="128">
        <v>1560</v>
      </c>
      <c r="K30" s="787">
        <f t="shared" si="6"/>
        <v>54.26</v>
      </c>
      <c r="L30" s="485">
        <v>0.3</v>
      </c>
      <c r="M30" s="790">
        <v>0.6</v>
      </c>
      <c r="O30" s="770">
        <v>62215</v>
      </c>
      <c r="P30" s="285">
        <v>70387</v>
      </c>
      <c r="Q30">
        <v>67950</v>
      </c>
      <c r="R30">
        <v>64337</v>
      </c>
      <c r="V30" s="543"/>
      <c r="X30" s="158"/>
    </row>
    <row r="31" spans="1:24">
      <c r="A31" s="496" t="s">
        <v>809</v>
      </c>
      <c r="B31" s="487" t="s">
        <v>793</v>
      </c>
      <c r="C31" s="483">
        <f>HLOOKUP($C$4,$O$11:$R$41,21,FALSE)</f>
        <v>66246</v>
      </c>
      <c r="D31" s="483">
        <f t="shared" si="0"/>
        <v>0</v>
      </c>
      <c r="E31" s="483">
        <f t="shared" si="1"/>
        <v>66246</v>
      </c>
      <c r="F31" s="483">
        <f t="shared" si="2"/>
        <v>7886.148000000001</v>
      </c>
      <c r="G31" s="488">
        <f t="shared" si="3"/>
        <v>331.23</v>
      </c>
      <c r="H31" s="483">
        <f t="shared" si="4"/>
        <v>15753.2988</v>
      </c>
      <c r="I31" s="785">
        <f t="shared" si="5"/>
        <v>90216.676800000001</v>
      </c>
      <c r="J31" s="128">
        <v>1560</v>
      </c>
      <c r="K31" s="787">
        <f t="shared" si="6"/>
        <v>57.83</v>
      </c>
      <c r="L31" s="485">
        <v>0.3</v>
      </c>
      <c r="M31" s="790">
        <v>0.6</v>
      </c>
      <c r="O31" s="770">
        <v>66246</v>
      </c>
      <c r="P31" s="285">
        <v>74418</v>
      </c>
      <c r="Q31">
        <v>71981</v>
      </c>
      <c r="R31">
        <v>68368</v>
      </c>
      <c r="V31" s="542" t="s">
        <v>807</v>
      </c>
      <c r="X31" s="158"/>
    </row>
    <row r="32" spans="1:24">
      <c r="A32" s="496" t="s">
        <v>809</v>
      </c>
      <c r="B32" s="487" t="s">
        <v>794</v>
      </c>
      <c r="C32" s="483">
        <f>HLOOKUP($C$4,$O$11:$R$41,22,FALSE)</f>
        <v>72293</v>
      </c>
      <c r="D32" s="483">
        <f t="shared" si="0"/>
        <v>0</v>
      </c>
      <c r="E32" s="483">
        <f t="shared" si="1"/>
        <v>72293</v>
      </c>
      <c r="F32" s="483">
        <f t="shared" si="2"/>
        <v>8720.634</v>
      </c>
      <c r="G32" s="488">
        <f t="shared" si="3"/>
        <v>361.46500000000003</v>
      </c>
      <c r="H32" s="483">
        <f t="shared" si="4"/>
        <v>17191.275400000002</v>
      </c>
      <c r="I32" s="785">
        <f t="shared" si="5"/>
        <v>98566.374400000001</v>
      </c>
      <c r="J32" s="128">
        <v>1560</v>
      </c>
      <c r="K32" s="787">
        <f t="shared" si="6"/>
        <v>63.18</v>
      </c>
      <c r="L32" s="485">
        <v>0.3</v>
      </c>
      <c r="M32" s="790">
        <v>0.6</v>
      </c>
      <c r="O32" s="770">
        <v>72293</v>
      </c>
      <c r="P32" s="285">
        <v>80465</v>
      </c>
      <c r="Q32">
        <v>78028</v>
      </c>
      <c r="R32">
        <v>74415</v>
      </c>
      <c r="V32" s="543" t="s">
        <v>822</v>
      </c>
      <c r="W32">
        <v>44.7</v>
      </c>
      <c r="X32" s="158"/>
    </row>
    <row r="33" spans="1:24">
      <c r="A33" s="496" t="s">
        <v>810</v>
      </c>
      <c r="B33" s="487" t="s">
        <v>795</v>
      </c>
      <c r="C33" s="483">
        <f>HLOOKUP($C$4,$O$11:$R$41,23,FALSE)</f>
        <v>74290</v>
      </c>
      <c r="D33" s="483">
        <f t="shared" si="0"/>
        <v>0</v>
      </c>
      <c r="E33" s="483">
        <f t="shared" si="1"/>
        <v>74290</v>
      </c>
      <c r="F33" s="483">
        <f t="shared" si="2"/>
        <v>8996.2200000000012</v>
      </c>
      <c r="G33" s="488">
        <f t="shared" si="3"/>
        <v>371.45</v>
      </c>
      <c r="H33" s="483">
        <f t="shared" si="4"/>
        <v>17666.162</v>
      </c>
      <c r="I33" s="785">
        <f t="shared" si="5"/>
        <v>101323.83199999999</v>
      </c>
      <c r="J33" s="128">
        <v>1560</v>
      </c>
      <c r="K33" s="787">
        <f t="shared" si="6"/>
        <v>64.95</v>
      </c>
      <c r="L33" s="485">
        <v>0.3</v>
      </c>
      <c r="M33" s="790">
        <v>0.6</v>
      </c>
      <c r="O33" s="770">
        <v>74290</v>
      </c>
      <c r="P33" s="285">
        <v>82462</v>
      </c>
      <c r="Q33">
        <v>80025</v>
      </c>
      <c r="R33">
        <v>76412</v>
      </c>
      <c r="V33" s="543" t="s">
        <v>823</v>
      </c>
      <c r="W33">
        <v>48</v>
      </c>
      <c r="X33" s="158"/>
    </row>
    <row r="34" spans="1:24">
      <c r="A34" s="496" t="s">
        <v>810</v>
      </c>
      <c r="B34" s="487" t="s">
        <v>796</v>
      </c>
      <c r="C34" s="483">
        <f>HLOOKUP($C$4,$O$11:$R$41,24,FALSE)</f>
        <v>78814</v>
      </c>
      <c r="D34" s="483">
        <f t="shared" si="0"/>
        <v>0</v>
      </c>
      <c r="E34" s="483">
        <f t="shared" si="1"/>
        <v>78814</v>
      </c>
      <c r="F34" s="483">
        <f t="shared" si="2"/>
        <v>9620.5320000000011</v>
      </c>
      <c r="G34" s="488">
        <f t="shared" si="3"/>
        <v>394.07</v>
      </c>
      <c r="H34" s="483">
        <f t="shared" si="4"/>
        <v>18741.9692</v>
      </c>
      <c r="I34" s="785">
        <f t="shared" si="5"/>
        <v>107570.57120000001</v>
      </c>
      <c r="J34" s="128">
        <v>1560</v>
      </c>
      <c r="K34" s="787">
        <f t="shared" si="6"/>
        <v>68.959999999999994</v>
      </c>
      <c r="L34" s="485">
        <v>0.3</v>
      </c>
      <c r="M34" s="790">
        <v>0.6</v>
      </c>
      <c r="O34" s="770">
        <v>78814</v>
      </c>
      <c r="P34" s="285">
        <v>86986</v>
      </c>
      <c r="Q34">
        <v>84549</v>
      </c>
      <c r="R34">
        <v>80936</v>
      </c>
      <c r="V34" s="543" t="s">
        <v>824</v>
      </c>
      <c r="W34">
        <v>2145.6</v>
      </c>
      <c r="X34" s="158"/>
    </row>
    <row r="35" spans="1:24">
      <c r="A35" s="496" t="s">
        <v>810</v>
      </c>
      <c r="B35" s="487" t="s">
        <v>797</v>
      </c>
      <c r="C35" s="483">
        <f>HLOOKUP($C$4,$O$11:$R$41,25,FALSE)</f>
        <v>85601</v>
      </c>
      <c r="D35" s="483">
        <f t="shared" si="0"/>
        <v>0</v>
      </c>
      <c r="E35" s="483">
        <f t="shared" si="1"/>
        <v>85601</v>
      </c>
      <c r="F35" s="483">
        <f t="shared" si="2"/>
        <v>10557.138000000001</v>
      </c>
      <c r="G35" s="488">
        <f t="shared" si="3"/>
        <v>428.005</v>
      </c>
      <c r="H35" s="483">
        <f t="shared" si="4"/>
        <v>20355.917799999999</v>
      </c>
      <c r="I35" s="785">
        <f t="shared" si="5"/>
        <v>116942.06080000001</v>
      </c>
      <c r="J35" s="128">
        <v>1560</v>
      </c>
      <c r="K35" s="787">
        <f t="shared" si="6"/>
        <v>74.959999999999994</v>
      </c>
      <c r="L35" s="485">
        <v>0.3</v>
      </c>
      <c r="M35" s="790">
        <v>0.6</v>
      </c>
      <c r="O35" s="770">
        <v>85601</v>
      </c>
      <c r="P35" s="285">
        <v>93773</v>
      </c>
      <c r="Q35">
        <v>91336</v>
      </c>
      <c r="R35">
        <v>87723</v>
      </c>
      <c r="V35" s="543" t="s">
        <v>825</v>
      </c>
      <c r="W35" s="544">
        <v>0.6</v>
      </c>
      <c r="X35" s="158"/>
    </row>
    <row r="36" spans="1:24">
      <c r="A36" s="496" t="s">
        <v>811</v>
      </c>
      <c r="B36" s="487" t="s">
        <v>798</v>
      </c>
      <c r="C36" s="483">
        <f>HLOOKUP($C$4,$O$11:$R$41,26,FALSE)</f>
        <v>88168</v>
      </c>
      <c r="D36" s="483">
        <f t="shared" si="0"/>
        <v>0</v>
      </c>
      <c r="E36" s="483">
        <f t="shared" si="1"/>
        <v>88168</v>
      </c>
      <c r="F36" s="483">
        <f t="shared" si="2"/>
        <v>10911.384</v>
      </c>
      <c r="G36" s="488">
        <f t="shared" si="3"/>
        <v>440.84000000000003</v>
      </c>
      <c r="H36" s="483">
        <f t="shared" si="4"/>
        <v>20966.350399999999</v>
      </c>
      <c r="I36" s="785">
        <f t="shared" si="5"/>
        <v>120486.5744</v>
      </c>
      <c r="J36" s="128">
        <v>1560</v>
      </c>
      <c r="K36" s="787">
        <f t="shared" si="6"/>
        <v>77.23</v>
      </c>
      <c r="L36" s="485">
        <v>0.3</v>
      </c>
      <c r="M36" s="790">
        <v>0.6</v>
      </c>
      <c r="O36" s="770">
        <v>88168</v>
      </c>
      <c r="P36" s="285">
        <v>96340</v>
      </c>
      <c r="Q36">
        <v>93903</v>
      </c>
      <c r="R36">
        <v>90290</v>
      </c>
      <c r="V36" s="543" t="s">
        <v>826</v>
      </c>
      <c r="W36" s="541">
        <f>ROUND(W35*W34,0)</f>
        <v>1287</v>
      </c>
      <c r="X36" s="158"/>
    </row>
    <row r="37" spans="1:24">
      <c r="A37" s="496" t="s">
        <v>811</v>
      </c>
      <c r="B37" s="487" t="s">
        <v>799</v>
      </c>
      <c r="C37" s="483">
        <f>HLOOKUP($C$4,$O$11:$R$41,27,FALSE)</f>
        <v>93572</v>
      </c>
      <c r="D37" s="483">
        <f t="shared" si="0"/>
        <v>0</v>
      </c>
      <c r="E37" s="483">
        <f t="shared" si="1"/>
        <v>93572</v>
      </c>
      <c r="F37" s="483">
        <f t="shared" si="2"/>
        <v>11657.136</v>
      </c>
      <c r="G37" s="488">
        <f t="shared" si="3"/>
        <v>467.86</v>
      </c>
      <c r="H37" s="483">
        <f t="shared" si="4"/>
        <v>22251.421600000001</v>
      </c>
      <c r="I37" s="785">
        <f t="shared" si="5"/>
        <v>127948.4176</v>
      </c>
      <c r="J37" s="128">
        <v>1560</v>
      </c>
      <c r="K37" s="787">
        <f t="shared" si="6"/>
        <v>82.02</v>
      </c>
      <c r="L37" s="485">
        <v>0.3</v>
      </c>
      <c r="M37" s="790">
        <v>0.6</v>
      </c>
      <c r="O37" s="770">
        <v>93572</v>
      </c>
      <c r="P37" s="285">
        <v>101744</v>
      </c>
      <c r="Q37">
        <v>99307</v>
      </c>
      <c r="R37">
        <v>95694</v>
      </c>
      <c r="V37" s="160"/>
      <c r="W37" s="161"/>
      <c r="X37" s="162"/>
    </row>
    <row r="38" spans="1:24">
      <c r="A38" s="496" t="s">
        <v>811</v>
      </c>
      <c r="B38" s="487" t="s">
        <v>800</v>
      </c>
      <c r="C38" s="483">
        <f>HLOOKUP($C$4,$O$11:$R$41,28,FALSE)</f>
        <v>101677</v>
      </c>
      <c r="D38" s="483">
        <f t="shared" si="0"/>
        <v>0</v>
      </c>
      <c r="E38" s="483">
        <f t="shared" si="1"/>
        <v>101677</v>
      </c>
      <c r="F38" s="483">
        <f t="shared" si="2"/>
        <v>12775.626</v>
      </c>
      <c r="G38" s="488">
        <f t="shared" si="3"/>
        <v>508.38499999999999</v>
      </c>
      <c r="H38" s="483">
        <f t="shared" si="4"/>
        <v>24178.7906</v>
      </c>
      <c r="I38" s="785">
        <f t="shared" si="5"/>
        <v>139139.80160000001</v>
      </c>
      <c r="J38" s="128">
        <v>1560</v>
      </c>
      <c r="K38" s="787">
        <f t="shared" si="6"/>
        <v>89.19</v>
      </c>
      <c r="L38" s="485">
        <v>0.3</v>
      </c>
      <c r="M38" s="790">
        <v>0.6</v>
      </c>
      <c r="O38" s="770">
        <v>101677</v>
      </c>
      <c r="P38" s="285">
        <v>109849</v>
      </c>
      <c r="Q38">
        <v>107412</v>
      </c>
      <c r="R38">
        <v>103799</v>
      </c>
    </row>
    <row r="39" spans="1:24">
      <c r="A39" s="496">
        <v>9</v>
      </c>
      <c r="B39" s="487" t="s">
        <v>801</v>
      </c>
      <c r="C39" s="483">
        <f>HLOOKUP($C$4,$O$11:$R$41,29,FALSE)</f>
        <v>105385</v>
      </c>
      <c r="D39" s="483">
        <f t="shared" si="0"/>
        <v>0</v>
      </c>
      <c r="E39" s="483">
        <f t="shared" si="1"/>
        <v>105385</v>
      </c>
      <c r="F39" s="483">
        <f t="shared" si="2"/>
        <v>13287.330000000002</v>
      </c>
      <c r="G39" s="488">
        <f t="shared" si="3"/>
        <v>526.92499999999995</v>
      </c>
      <c r="H39" s="483">
        <f t="shared" si="4"/>
        <v>25060.553</v>
      </c>
      <c r="I39" s="785">
        <f t="shared" si="5"/>
        <v>144259.80800000002</v>
      </c>
      <c r="J39" s="128">
        <v>1560</v>
      </c>
      <c r="K39" s="787">
        <f t="shared" si="6"/>
        <v>92.47</v>
      </c>
      <c r="L39" s="485">
        <v>0.3</v>
      </c>
      <c r="M39" s="790">
        <v>0.6</v>
      </c>
      <c r="O39" s="770">
        <v>105385</v>
      </c>
      <c r="P39" s="285">
        <v>113557</v>
      </c>
      <c r="Q39">
        <v>111120</v>
      </c>
      <c r="R39">
        <v>107507</v>
      </c>
    </row>
    <row r="40" spans="1:24">
      <c r="A40" s="496">
        <v>9</v>
      </c>
      <c r="B40" s="487" t="s">
        <v>802</v>
      </c>
      <c r="C40" s="483">
        <f>HLOOKUP($C$4,$O$11:$R$41,30,FALSE)</f>
        <v>111740</v>
      </c>
      <c r="D40" s="483">
        <f t="shared" si="0"/>
        <v>0</v>
      </c>
      <c r="E40" s="483">
        <f t="shared" si="1"/>
        <v>111740</v>
      </c>
      <c r="F40" s="483">
        <f t="shared" si="2"/>
        <v>14164.320000000002</v>
      </c>
      <c r="G40" s="488">
        <f t="shared" si="3"/>
        <v>558.70000000000005</v>
      </c>
      <c r="H40" s="483">
        <f t="shared" si="4"/>
        <v>26571.772000000001</v>
      </c>
      <c r="I40" s="785">
        <f t="shared" si="5"/>
        <v>153034.79200000002</v>
      </c>
      <c r="J40" s="128">
        <v>1560</v>
      </c>
      <c r="K40" s="787">
        <f t="shared" si="6"/>
        <v>98.1</v>
      </c>
      <c r="L40" s="485">
        <v>0.3</v>
      </c>
      <c r="M40" s="790">
        <v>0.6</v>
      </c>
      <c r="O40" s="770">
        <v>111740</v>
      </c>
      <c r="P40" s="285">
        <v>119912</v>
      </c>
      <c r="Q40">
        <v>117475</v>
      </c>
      <c r="R40">
        <v>113862</v>
      </c>
    </row>
    <row r="41" spans="1:24">
      <c r="A41" s="496">
        <v>9</v>
      </c>
      <c r="B41" s="487" t="s">
        <v>803</v>
      </c>
      <c r="C41" s="483">
        <f>HLOOKUP($C$4,$O$11:$R$41,31,FALSE)</f>
        <v>121271</v>
      </c>
      <c r="D41" s="483">
        <f t="shared" si="0"/>
        <v>0</v>
      </c>
      <c r="E41" s="483">
        <f t="shared" si="1"/>
        <v>121271</v>
      </c>
      <c r="F41" s="483">
        <f t="shared" si="2"/>
        <v>15479.598000000002</v>
      </c>
      <c r="G41" s="488">
        <f t="shared" si="3"/>
        <v>606.35500000000002</v>
      </c>
      <c r="H41" s="483">
        <f t="shared" si="4"/>
        <v>28838.2438</v>
      </c>
      <c r="I41" s="785">
        <f t="shared" si="5"/>
        <v>166195.19680000001</v>
      </c>
      <c r="J41" s="128">
        <v>1560</v>
      </c>
      <c r="K41" s="787">
        <f t="shared" si="6"/>
        <v>106.54</v>
      </c>
      <c r="L41" s="485">
        <v>0.3</v>
      </c>
      <c r="M41" s="790">
        <v>0.6</v>
      </c>
      <c r="O41" s="770">
        <v>121271</v>
      </c>
      <c r="P41" s="285">
        <v>129443</v>
      </c>
      <c r="Q41">
        <v>127006</v>
      </c>
      <c r="R41">
        <v>123393</v>
      </c>
    </row>
    <row r="42" spans="1:24">
      <c r="A42" s="496" t="s">
        <v>807</v>
      </c>
      <c r="B42" s="149" t="s">
        <v>1182</v>
      </c>
      <c r="C42" s="483">
        <v>73113</v>
      </c>
      <c r="D42" s="483">
        <f t="shared" si="0"/>
        <v>0</v>
      </c>
      <c r="E42" s="483">
        <f t="shared" si="1"/>
        <v>73113</v>
      </c>
      <c r="F42" s="483">
        <f t="shared" si="2"/>
        <v>8833.7939999999999</v>
      </c>
      <c r="G42" s="488">
        <f t="shared" si="3"/>
        <v>365.565</v>
      </c>
      <c r="H42" s="483">
        <f>C42*0.2068</f>
        <v>15119.768400000001</v>
      </c>
      <c r="I42" s="785">
        <f t="shared" si="5"/>
        <v>97432.127399999998</v>
      </c>
      <c r="J42" s="128">
        <f>W36</f>
        <v>1287</v>
      </c>
      <c r="K42" s="787">
        <f t="shared" si="6"/>
        <v>75.7</v>
      </c>
      <c r="L42" s="486">
        <v>0</v>
      </c>
      <c r="M42" s="791">
        <v>0</v>
      </c>
    </row>
    <row r="43" spans="1:24">
      <c r="A43" s="496" t="s">
        <v>807</v>
      </c>
      <c r="B43" s="149" t="s">
        <v>1183</v>
      </c>
      <c r="C43" s="483">
        <f>(C42+C44)/2</f>
        <v>91721.5</v>
      </c>
      <c r="D43" s="483">
        <f t="shared" si="0"/>
        <v>0</v>
      </c>
      <c r="E43" s="483">
        <f t="shared" si="1"/>
        <v>91721.5</v>
      </c>
      <c r="F43" s="483">
        <f t="shared" si="2"/>
        <v>11401.767000000002</v>
      </c>
      <c r="G43" s="488">
        <f t="shared" si="3"/>
        <v>458.60750000000002</v>
      </c>
      <c r="H43" s="483">
        <f>C43*0.2068</f>
        <v>18968.0062</v>
      </c>
      <c r="I43" s="785">
        <f t="shared" si="5"/>
        <v>122549.88070000001</v>
      </c>
      <c r="J43" s="128">
        <f>W36</f>
        <v>1287</v>
      </c>
      <c r="K43" s="787">
        <f t="shared" si="6"/>
        <v>95.22</v>
      </c>
      <c r="L43" s="486">
        <v>0</v>
      </c>
      <c r="M43" s="791">
        <v>0</v>
      </c>
    </row>
    <row r="44" spans="1:24">
      <c r="A44" s="792" t="s">
        <v>807</v>
      </c>
      <c r="B44" s="601" t="s">
        <v>1183</v>
      </c>
      <c r="C44" s="546">
        <v>110330</v>
      </c>
      <c r="D44" s="546">
        <f t="shared" si="0"/>
        <v>0</v>
      </c>
      <c r="E44" s="483">
        <f t="shared" si="1"/>
        <v>110330</v>
      </c>
      <c r="F44" s="483">
        <f t="shared" si="2"/>
        <v>13969.740000000002</v>
      </c>
      <c r="G44" s="488">
        <f t="shared" si="3"/>
        <v>551.65</v>
      </c>
      <c r="H44" s="546">
        <f>C44*0.2068</f>
        <v>22816.244000000002</v>
      </c>
      <c r="I44" s="785">
        <f t="shared" si="5"/>
        <v>147667.63399999999</v>
      </c>
      <c r="J44" s="128">
        <f>W36</f>
        <v>1287</v>
      </c>
      <c r="K44" s="787">
        <f t="shared" si="6"/>
        <v>114.74</v>
      </c>
      <c r="L44" s="486">
        <v>0</v>
      </c>
      <c r="M44" s="791">
        <v>0</v>
      </c>
    </row>
    <row r="45" spans="1:24">
      <c r="A45" s="496" t="s">
        <v>804</v>
      </c>
      <c r="B45" s="149" t="s">
        <v>805</v>
      </c>
      <c r="C45" s="483">
        <v>105504</v>
      </c>
      <c r="D45" s="483">
        <f t="shared" si="0"/>
        <v>0</v>
      </c>
      <c r="E45" s="483">
        <f t="shared" si="1"/>
        <v>105504</v>
      </c>
      <c r="F45" s="483">
        <f t="shared" si="2"/>
        <v>13303.752</v>
      </c>
      <c r="G45" s="488">
        <f t="shared" si="3"/>
        <v>527.52</v>
      </c>
      <c r="H45" s="483">
        <f t="shared" si="4"/>
        <v>25088.851200000001</v>
      </c>
      <c r="I45" s="785">
        <f t="shared" si="5"/>
        <v>144424.1232</v>
      </c>
      <c r="J45" s="128">
        <v>1376</v>
      </c>
      <c r="K45" s="787">
        <f t="shared" si="6"/>
        <v>104.96</v>
      </c>
      <c r="L45" s="486">
        <v>0</v>
      </c>
      <c r="M45" s="791">
        <v>0</v>
      </c>
    </row>
    <row r="46" spans="1:24">
      <c r="A46" s="496" t="s">
        <v>804</v>
      </c>
      <c r="B46" s="149" t="s">
        <v>98</v>
      </c>
      <c r="C46" s="483">
        <f>(4*114894+6*126018)/10</f>
        <v>121568.4</v>
      </c>
      <c r="D46" s="483">
        <f t="shared" si="0"/>
        <v>0</v>
      </c>
      <c r="E46" s="483">
        <f t="shared" si="1"/>
        <v>121568.4</v>
      </c>
      <c r="F46" s="483">
        <f t="shared" si="2"/>
        <v>15520.6392</v>
      </c>
      <c r="G46" s="488">
        <f t="shared" si="3"/>
        <v>607.84199999999998</v>
      </c>
      <c r="H46" s="483">
        <f t="shared" si="4"/>
        <v>28908.965520000002</v>
      </c>
      <c r="I46" s="785">
        <f t="shared" si="5"/>
        <v>166605.84672</v>
      </c>
      <c r="J46" s="128">
        <v>1376</v>
      </c>
      <c r="K46" s="787">
        <f t="shared" si="6"/>
        <v>121.08</v>
      </c>
      <c r="L46" s="486">
        <v>0</v>
      </c>
      <c r="M46" s="791">
        <v>0</v>
      </c>
    </row>
    <row r="47" spans="1:24" ht="15" thickBot="1">
      <c r="A47" s="497" t="s">
        <v>804</v>
      </c>
      <c r="B47" s="489" t="s">
        <v>806</v>
      </c>
      <c r="C47" s="490">
        <v>139882</v>
      </c>
      <c r="D47" s="490">
        <f t="shared" si="0"/>
        <v>0</v>
      </c>
      <c r="E47" s="490">
        <f t="shared" si="1"/>
        <v>139882</v>
      </c>
      <c r="F47" s="490">
        <f t="shared" si="2"/>
        <v>18047.916000000001</v>
      </c>
      <c r="G47" s="793">
        <f t="shared" si="3"/>
        <v>699.41</v>
      </c>
      <c r="H47" s="490">
        <f t="shared" si="4"/>
        <v>33263.939600000005</v>
      </c>
      <c r="I47" s="491">
        <f t="shared" si="5"/>
        <v>191893.26560000001</v>
      </c>
      <c r="J47" s="794">
        <v>1376</v>
      </c>
      <c r="K47" s="795">
        <f t="shared" si="6"/>
        <v>139.46</v>
      </c>
      <c r="L47" s="796">
        <v>0</v>
      </c>
      <c r="M47" s="797">
        <v>0</v>
      </c>
    </row>
    <row r="96" ht="23.5" customHeight="1"/>
    <row r="97" ht="55.5" customHeight="1"/>
    <row r="98" ht="23.5" customHeight="1"/>
    <row r="99" ht="23.5" customHeight="1"/>
    <row r="100" ht="23.5" customHeight="1"/>
    <row r="101" ht="23.5" customHeight="1"/>
    <row r="102" ht="23.5" customHeight="1"/>
  </sheetData>
  <sheetProtection algorithmName="SHA-512" hashValue="tjHS8IK/4l8iD9IH+oA9YArdpefNmBSCBl6wOphbjjWuqoINgN6cVsHOd9dkSwHr/O4YnrkufAV3W8OpEYLJRA==" saltValue="q03+JOBFv5jX9ygJjSQTww==" spinCount="100000" sheet="1" objects="1" scenarios="1"/>
  <dataValidations count="1">
    <dataValidation type="list" allowBlank="1" showInputMessage="1" showErrorMessage="1" sqref="C4" xr:uid="{C2EE3915-B1AE-4597-B225-74CE2E092D4D}">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SharedWithUsers>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24C17-9003-4474-A67F-56162B9CF558}">
  <ds:schemaRefs>
    <ds:schemaRef ds:uri="http://purl.org/dc/elements/1.1/"/>
    <ds:schemaRef ds:uri="http://schemas.microsoft.com/office/2006/documentManagement/types"/>
    <ds:schemaRef ds:uri="http://purl.org/dc/terms/"/>
    <ds:schemaRef ds:uri="c1f338ac-e338-414f-952c-f74dcc6d59e1"/>
    <ds:schemaRef ds:uri="http://purl.org/dc/dcmitype/"/>
    <ds:schemaRef ds:uri="http://www.w3.org/XML/1998/namespace"/>
    <ds:schemaRef ds:uri="http://schemas.microsoft.com/office/infopath/2007/PartnerControls"/>
    <ds:schemaRef ds:uri="http://schemas.openxmlformats.org/package/2006/metadata/core-properties"/>
    <ds:schemaRef ds:uri="0eb656aa-4e79-4e95-9076-bc119a23e0cc"/>
    <ds:schemaRef ds:uri="acaf4567-dc07-471f-892c-2bcb86ef35ae"/>
    <ds:schemaRef ds:uri="http://schemas.microsoft.com/office/2006/metadata/properties"/>
  </ds:schemaRefs>
</ds:datastoreItem>
</file>

<file path=customXml/itemProps2.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3.xml><?xml version="1.0" encoding="utf-8"?>
<ds:datastoreItem xmlns:ds="http://schemas.openxmlformats.org/officeDocument/2006/customXml" ds:itemID="{81E150E4-69A4-44CE-A0CA-1E8E4D872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TA1015 Teclistamab for treating relapsed and refractory multiple myeloma after 3 or more treatments: resource impact template 20241113</dc:title>
  <dc:subject/>
  <dc:creator/>
  <cp:keywords/>
  <dc:description/>
  <cp:lastModifiedBy/>
  <cp:revision/>
  <dcterms:created xsi:type="dcterms:W3CDTF">2022-07-27T12:38:28Z</dcterms:created>
  <dcterms:modified xsi:type="dcterms:W3CDTF">2024-11-11T10:29:48Z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