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5615E5B1-1761-49AC-B5B3-D474F7D3DADE}" xr6:coauthVersionLast="47" xr6:coauthVersionMax="47" xr10:uidLastSave="{00000000-0000-0000-0000-000000000000}"/>
  <bookViews>
    <workbookView xWindow="28680" yWindow="-120" windowWidth="29040" windowHeight="158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prices)'!$B$1:$S$56</definedName>
    <definedName name="_xlnm.Print_Area" localSheetId="8">'Capacity (national prices)'!$B$1:$S$56</definedName>
    <definedName name="_xlnm.Print_Area" localSheetId="1">Contents!$A$1:$P$29</definedName>
    <definedName name="_xlnm.Print_Area" localSheetId="0">Cover!$A$1:$P$29</definedName>
    <definedName name="_xlnm.Print_Area" localSheetId="6">'Financial impact (cash)'!$B$1:$J$33</definedName>
    <definedName name="_xlnm.Print_Area" localSheetId="3">'Inputs and eligible population'!$A$2:$T$112</definedName>
    <definedName name="_xlnm.Print_Area" localSheetId="2">'Population selection'!$B$11:$J$17</definedName>
    <definedName name="_xlnm.Print_Area" localSheetId="5">Summary!$B$1:$K$53</definedName>
    <definedName name="_xlnm.Print_Area" localSheetId="4">'Unit costs'!$B$1:$T$80</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1" l="1"/>
  <c r="R18" i="21"/>
  <c r="R14" i="21"/>
  <c r="R10" i="21"/>
  <c r="Q18" i="21"/>
  <c r="I83" i="50"/>
  <c r="D33" i="21"/>
  <c r="O36" i="21"/>
  <c r="N18" i="21"/>
  <c r="Q22" i="21"/>
  <c r="H6" i="47" l="1"/>
  <c r="G6" i="47"/>
  <c r="F6" i="47"/>
  <c r="E6" i="47"/>
  <c r="D6" i="47"/>
  <c r="C6" i="47"/>
  <c r="K22" i="56"/>
  <c r="L63" i="50" l="1"/>
  <c r="D19" i="42" s="1"/>
  <c r="Q10" i="21"/>
  <c r="Q14" i="21"/>
  <c r="D8" i="42" l="1"/>
  <c r="D10" i="42" s="1"/>
  <c r="D12" i="42" l="1"/>
  <c r="L84" i="50"/>
  <c r="L82" i="50"/>
  <c r="L79" i="50"/>
  <c r="G47" i="57"/>
  <c r="E47" i="57"/>
  <c r="F47" i="57" s="1"/>
  <c r="D47" i="57"/>
  <c r="D46" i="57"/>
  <c r="C46" i="57"/>
  <c r="E46" i="57" s="1"/>
  <c r="H45" i="57"/>
  <c r="G45" i="57"/>
  <c r="F45" i="57"/>
  <c r="E45" i="57"/>
  <c r="I45" i="57" s="1"/>
  <c r="K45" i="57" s="1"/>
  <c r="D45" i="57"/>
  <c r="H44" i="57"/>
  <c r="G44" i="57"/>
  <c r="F44" i="57"/>
  <c r="E44" i="57"/>
  <c r="I44" i="57" s="1"/>
  <c r="D44" i="57"/>
  <c r="H43" i="57"/>
  <c r="D43" i="57"/>
  <c r="C43" i="57"/>
  <c r="E43" i="57" s="1"/>
  <c r="H42" i="57"/>
  <c r="G42" i="57"/>
  <c r="E42" i="57"/>
  <c r="F42" i="57" s="1"/>
  <c r="D42" i="57"/>
  <c r="C41" i="57"/>
  <c r="E41" i="57" s="1"/>
  <c r="C40" i="57"/>
  <c r="E40" i="57" s="1"/>
  <c r="C39" i="57"/>
  <c r="E39" i="57" s="1"/>
  <c r="C38" i="57"/>
  <c r="E38" i="57" s="1"/>
  <c r="C37" i="57"/>
  <c r="E37" i="57" s="1"/>
  <c r="W36" i="57"/>
  <c r="J42" i="57" s="1"/>
  <c r="C36" i="57"/>
  <c r="E36" i="57" s="1"/>
  <c r="C35" i="57"/>
  <c r="E35" i="57" s="1"/>
  <c r="C34" i="57"/>
  <c r="E34" i="57" s="1"/>
  <c r="C33" i="57"/>
  <c r="E33" i="57" s="1"/>
  <c r="C32" i="57"/>
  <c r="E32" i="57" s="1"/>
  <c r="C31" i="57"/>
  <c r="E31" i="57" s="1"/>
  <c r="C30" i="57"/>
  <c r="E30" i="57" s="1"/>
  <c r="C29" i="57"/>
  <c r="E29" i="57" s="1"/>
  <c r="W28" i="57"/>
  <c r="H28" i="57"/>
  <c r="E28" i="57"/>
  <c r="G28" i="57" s="1"/>
  <c r="D28" i="57"/>
  <c r="C28" i="57"/>
  <c r="H27" i="57"/>
  <c r="E27" i="57"/>
  <c r="G27" i="57" s="1"/>
  <c r="D27" i="57"/>
  <c r="C27" i="57"/>
  <c r="H26" i="57"/>
  <c r="E26" i="57"/>
  <c r="G26" i="57" s="1"/>
  <c r="D26" i="57"/>
  <c r="C26" i="57"/>
  <c r="H25" i="57"/>
  <c r="E25" i="57"/>
  <c r="G25" i="57" s="1"/>
  <c r="D25" i="57"/>
  <c r="C25" i="57"/>
  <c r="H24" i="57"/>
  <c r="E24" i="57"/>
  <c r="G24" i="57" s="1"/>
  <c r="D24" i="57"/>
  <c r="C24" i="57"/>
  <c r="H23" i="57"/>
  <c r="E23" i="57"/>
  <c r="G23" i="57" s="1"/>
  <c r="D23" i="57"/>
  <c r="C23" i="57"/>
  <c r="H22" i="57"/>
  <c r="E22" i="57"/>
  <c r="G22" i="57" s="1"/>
  <c r="D22" i="57"/>
  <c r="C22" i="57"/>
  <c r="H21" i="57"/>
  <c r="E21" i="57"/>
  <c r="G21" i="57" s="1"/>
  <c r="D21" i="57"/>
  <c r="C21" i="57"/>
  <c r="H20" i="57"/>
  <c r="E20" i="57"/>
  <c r="G20" i="57" s="1"/>
  <c r="D20" i="57"/>
  <c r="C20" i="57"/>
  <c r="W19" i="57"/>
  <c r="E19" i="57"/>
  <c r="H19" i="57" s="1"/>
  <c r="D19" i="57"/>
  <c r="C19" i="57"/>
  <c r="E18" i="57"/>
  <c r="H18" i="57" s="1"/>
  <c r="D18" i="57"/>
  <c r="C18" i="57"/>
  <c r="E17" i="57"/>
  <c r="H17" i="57" s="1"/>
  <c r="D17" i="57"/>
  <c r="C17" i="57"/>
  <c r="E16" i="57"/>
  <c r="H16" i="57" s="1"/>
  <c r="D16" i="57"/>
  <c r="C16" i="57"/>
  <c r="E15" i="57"/>
  <c r="H15" i="57" s="1"/>
  <c r="D15" i="57"/>
  <c r="C15" i="57"/>
  <c r="E14" i="57"/>
  <c r="H14" i="57" s="1"/>
  <c r="D14" i="57"/>
  <c r="C14" i="57"/>
  <c r="E13" i="57"/>
  <c r="H13" i="57" s="1"/>
  <c r="D13" i="57"/>
  <c r="C13" i="57"/>
  <c r="E12" i="57"/>
  <c r="H12" i="57" s="1"/>
  <c r="D12" i="57"/>
  <c r="C12" i="57"/>
  <c r="G48" i="50"/>
  <c r="G47" i="50"/>
  <c r="G46" i="50"/>
  <c r="G45" i="50"/>
  <c r="F33" i="57" l="1"/>
  <c r="I33" i="57" s="1"/>
  <c r="K33" i="57" s="1"/>
  <c r="G33" i="57"/>
  <c r="H33" i="57"/>
  <c r="F30" i="57"/>
  <c r="I30" i="57" s="1"/>
  <c r="K30" i="57" s="1"/>
  <c r="G30" i="57"/>
  <c r="H30" i="57"/>
  <c r="F41" i="57"/>
  <c r="H41" i="57"/>
  <c r="G41" i="57"/>
  <c r="I41" i="57" s="1"/>
  <c r="K41" i="57" s="1"/>
  <c r="F29" i="57"/>
  <c r="I29" i="57" s="1"/>
  <c r="K29" i="57" s="1"/>
  <c r="G29" i="57"/>
  <c r="H29" i="57"/>
  <c r="F40" i="57"/>
  <c r="H40" i="57"/>
  <c r="G40" i="57"/>
  <c r="I40" i="57" s="1"/>
  <c r="K40" i="57" s="1"/>
  <c r="F34" i="57"/>
  <c r="I34" i="57" s="1"/>
  <c r="K34" i="57" s="1"/>
  <c r="H34" i="57"/>
  <c r="G34" i="57"/>
  <c r="H37" i="57"/>
  <c r="G37" i="57"/>
  <c r="F37" i="57"/>
  <c r="I37" i="57" s="1"/>
  <c r="K37" i="57" s="1"/>
  <c r="F31" i="57"/>
  <c r="I31" i="57" s="1"/>
  <c r="K31" i="57" s="1"/>
  <c r="G31" i="57"/>
  <c r="H31" i="57"/>
  <c r="F35" i="57"/>
  <c r="I35" i="57" s="1"/>
  <c r="K35" i="57" s="1"/>
  <c r="G35" i="57"/>
  <c r="H35" i="57"/>
  <c r="F38" i="57"/>
  <c r="H38" i="57"/>
  <c r="G38" i="57"/>
  <c r="I38" i="57" s="1"/>
  <c r="K38" i="57" s="1"/>
  <c r="F43" i="57"/>
  <c r="G43" i="57"/>
  <c r="I43" i="57" s="1"/>
  <c r="K43" i="57" s="1"/>
  <c r="K44" i="57"/>
  <c r="F32" i="57"/>
  <c r="I32" i="57" s="1"/>
  <c r="K32" i="57" s="1"/>
  <c r="H32" i="57"/>
  <c r="G32" i="57"/>
  <c r="F36" i="57"/>
  <c r="I36" i="57" s="1"/>
  <c r="K36" i="57" s="1"/>
  <c r="G36" i="57"/>
  <c r="H36" i="57"/>
  <c r="H39" i="57"/>
  <c r="F39" i="57"/>
  <c r="I39" i="57" s="1"/>
  <c r="K39" i="57" s="1"/>
  <c r="G39" i="57"/>
  <c r="H46" i="57"/>
  <c r="G46" i="57"/>
  <c r="F46" i="57"/>
  <c r="I46" i="57" s="1"/>
  <c r="K46" i="57" s="1"/>
  <c r="I16" i="57"/>
  <c r="K16" i="57" s="1"/>
  <c r="F16" i="57"/>
  <c r="F18" i="57"/>
  <c r="I18" i="57" s="1"/>
  <c r="K18" i="57" s="1"/>
  <c r="D29" i="57"/>
  <c r="D30" i="57"/>
  <c r="D31" i="57"/>
  <c r="D32" i="57"/>
  <c r="D33" i="57"/>
  <c r="D34" i="57"/>
  <c r="D35" i="57"/>
  <c r="D36" i="57"/>
  <c r="H47" i="57"/>
  <c r="F13" i="57"/>
  <c r="I13" i="57" s="1"/>
  <c r="K13" i="57" s="1"/>
  <c r="F14" i="57"/>
  <c r="I14" i="57" s="1"/>
  <c r="K14" i="57" s="1"/>
  <c r="F15" i="57"/>
  <c r="I15" i="57" s="1"/>
  <c r="K15" i="57" s="1"/>
  <c r="F17" i="57"/>
  <c r="F19" i="57"/>
  <c r="I20" i="57"/>
  <c r="K20" i="57" s="1"/>
  <c r="I21" i="57"/>
  <c r="K21" i="57" s="1"/>
  <c r="I25" i="57"/>
  <c r="K25" i="57" s="1"/>
  <c r="G12" i="57"/>
  <c r="G13" i="57"/>
  <c r="G14" i="57"/>
  <c r="G15" i="57"/>
  <c r="G16" i="57"/>
  <c r="G17" i="57"/>
  <c r="I17" i="57" s="1"/>
  <c r="K17" i="57" s="1"/>
  <c r="G18" i="57"/>
  <c r="G19" i="57"/>
  <c r="I19" i="57" s="1"/>
  <c r="K19" i="57" s="1"/>
  <c r="F20" i="57"/>
  <c r="F21" i="57"/>
  <c r="F22" i="57"/>
  <c r="I22" i="57" s="1"/>
  <c r="K22" i="57" s="1"/>
  <c r="F23" i="57"/>
  <c r="I23" i="57" s="1"/>
  <c r="K23" i="57" s="1"/>
  <c r="F24" i="57"/>
  <c r="I24" i="57" s="1"/>
  <c r="K24" i="57" s="1"/>
  <c r="F25" i="57"/>
  <c r="F26" i="57"/>
  <c r="I26" i="57" s="1"/>
  <c r="K26" i="57" s="1"/>
  <c r="F27" i="57"/>
  <c r="I27" i="57" s="1"/>
  <c r="K27" i="57" s="1"/>
  <c r="F28" i="57"/>
  <c r="I28" i="57" s="1"/>
  <c r="K28" i="57" s="1"/>
  <c r="D37" i="57"/>
  <c r="D38" i="57"/>
  <c r="D39" i="57"/>
  <c r="D40" i="57"/>
  <c r="D41" i="57"/>
  <c r="I42" i="57"/>
  <c r="K42" i="57" s="1"/>
  <c r="I47" i="57"/>
  <c r="K47" i="57" s="1"/>
  <c r="J43" i="57"/>
  <c r="J44" i="57"/>
  <c r="F12" i="57"/>
  <c r="I12" i="57" s="1"/>
  <c r="K12" i="57" s="1"/>
  <c r="B52" i="47"/>
  <c r="B49" i="47"/>
  <c r="B44" i="47"/>
  <c r="B14" i="56"/>
  <c r="B13" i="56"/>
  <c r="B12" i="56"/>
  <c r="B11" i="56"/>
  <c r="B10" i="56"/>
  <c r="K53" i="56"/>
  <c r="K46" i="56"/>
  <c r="C46" i="56"/>
  <c r="K38" i="56"/>
  <c r="C22" i="56"/>
  <c r="B32" i="56"/>
  <c r="B31" i="56"/>
  <c r="B12" i="46"/>
  <c r="B11" i="46"/>
  <c r="B10" i="46"/>
  <c r="B42" i="47" s="1"/>
  <c r="K38" i="46"/>
  <c r="P72" i="21"/>
  <c r="K53" i="46" s="1"/>
  <c r="C53" i="46"/>
  <c r="I84" i="50"/>
  <c r="C46" i="46" s="1"/>
  <c r="C32" i="46"/>
  <c r="C32" i="56" s="1"/>
  <c r="C31" i="46"/>
  <c r="C31" i="56" s="1"/>
  <c r="B32" i="46"/>
  <c r="B31" i="46"/>
  <c r="C22" i="46"/>
  <c r="H18" i="21"/>
  <c r="L18" i="21"/>
  <c r="M18" i="21" l="1"/>
  <c r="O72" i="21" l="1"/>
  <c r="C53" i="56" s="1"/>
  <c r="O65" i="21"/>
  <c r="I81" i="50" l="1"/>
  <c r="C38" i="46" s="1"/>
  <c r="C38" i="56"/>
  <c r="G80" i="50"/>
  <c r="M10" i="21" l="1"/>
  <c r="L10" i="21"/>
  <c r="H10" i="21"/>
  <c r="H14" i="21"/>
  <c r="S14" i="21"/>
  <c r="S15" i="21" s="1"/>
  <c r="C27" i="42" s="1"/>
  <c r="N14" i="21"/>
  <c r="O10" i="21" l="1"/>
  <c r="P10" i="21" s="1"/>
  <c r="S10" i="21" s="1"/>
  <c r="S11" i="21" l="1"/>
  <c r="C26" i="42" s="1"/>
  <c r="D26" i="42" s="1"/>
  <c r="N36" i="21"/>
  <c r="K23" i="56" s="1"/>
  <c r="N22" i="21" l="1"/>
  <c r="L22" i="21"/>
  <c r="H22" i="21"/>
  <c r="K31" i="46" l="1"/>
  <c r="K32" i="46"/>
  <c r="O18" i="21"/>
  <c r="P18" i="21"/>
  <c r="S18" i="21" s="1"/>
  <c r="S19" i="21" s="1"/>
  <c r="C28" i="42" s="1"/>
  <c r="O22" i="21"/>
  <c r="P22" i="21" s="1"/>
  <c r="S22" i="21" s="1"/>
  <c r="S23" i="21" s="1"/>
  <c r="C29" i="42" s="1"/>
  <c r="H80" i="50" l="1"/>
  <c r="C23" i="56"/>
  <c r="C23" i="46"/>
  <c r="D35" i="21"/>
  <c r="D34" i="21"/>
  <c r="F19" i="50"/>
  <c r="G13" i="50"/>
  <c r="G37" i="50"/>
  <c r="E11" i="42" l="1"/>
  <c r="G34"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I12" i="50" l="1"/>
  <c r="B1" i="56"/>
  <c r="B1" i="46"/>
  <c r="B1" i="42"/>
  <c r="B1" i="47"/>
  <c r="B1" i="21"/>
  <c r="C40"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B14" i="46" l="1"/>
  <c r="B13" i="46"/>
  <c r="K46" i="46" l="1"/>
  <c r="C39" i="50"/>
  <c r="G35" i="50"/>
  <c r="C34" i="50" l="1"/>
  <c r="F17" i="50"/>
  <c r="C17" i="50"/>
  <c r="F15" i="50"/>
  <c r="F20" i="50" l="1"/>
  <c r="H37" i="50" l="1"/>
  <c r="I37" i="50" l="1"/>
  <c r="F11" i="42"/>
  <c r="G38" i="50"/>
  <c r="G40" i="50" l="1"/>
  <c r="M63" i="50" s="1"/>
  <c r="E19" i="42" s="1"/>
  <c r="J37" i="50"/>
  <c r="G11" i="42"/>
  <c r="H38" i="50"/>
  <c r="E8" i="42" l="1"/>
  <c r="E10" i="42" s="1"/>
  <c r="E12" i="42" s="1"/>
  <c r="I38" i="50"/>
  <c r="H40" i="50"/>
  <c r="N63" i="50" s="1"/>
  <c r="F19" i="42" s="1"/>
  <c r="K37" i="50"/>
  <c r="H11" i="42"/>
  <c r="B14" i="32"/>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F67"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8" i="42" l="1"/>
  <c r="F10" i="42" s="1"/>
  <c r="F12" i="42" s="1"/>
  <c r="I11" i="42"/>
  <c r="J38" i="50"/>
  <c r="I40" i="50"/>
  <c r="O63" i="50" s="1"/>
  <c r="G19" i="42" s="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G67" i="50" l="1"/>
  <c r="G8" i="42"/>
  <c r="G10" i="42" s="1"/>
  <c r="G12" i="42" s="1"/>
  <c r="K38" i="50"/>
  <c r="J40" i="50"/>
  <c r="P63" i="50" s="1"/>
  <c r="H19" i="42" s="1"/>
  <c r="F532" i="32"/>
  <c r="F143" i="32"/>
  <c r="F26" i="32"/>
  <c r="F157" i="32"/>
  <c r="F27" i="32"/>
  <c r="F497" i="32"/>
  <c r="F520" i="32"/>
  <c r="F149" i="32"/>
  <c r="D25" i="32"/>
  <c r="E25" i="32"/>
  <c r="F135" i="32"/>
  <c r="F200" i="32"/>
  <c r="F25" i="32"/>
  <c r="H67" i="50" l="1"/>
  <c r="I67" i="50"/>
  <c r="K40" i="50"/>
  <c r="Q63" i="50" s="1"/>
  <c r="I19" i="42" s="1"/>
  <c r="H8" i="42"/>
  <c r="H10" i="42" s="1"/>
  <c r="H12" i="42" s="1"/>
  <c r="G23" i="32"/>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J67" i="50" l="1"/>
  <c r="I8" i="42"/>
  <c r="I10" i="42" s="1"/>
  <c r="I12" i="42" s="1"/>
  <c r="F23" i="32"/>
  <c r="C16" i="32"/>
  <c r="E16" i="32" l="1"/>
  <c r="D16" i="32"/>
  <c r="F14" i="32" l="1"/>
  <c r="G12" i="50" s="1"/>
  <c r="G14" i="50" s="1"/>
  <c r="F25" i="50" l="1"/>
  <c r="F27" i="50" s="1"/>
  <c r="F28" i="50" s="1"/>
  <c r="F29" i="50" s="1"/>
  <c r="F39" i="50"/>
  <c r="F15" i="32"/>
  <c r="F16" i="32" s="1"/>
  <c r="G39" i="50" l="1"/>
  <c r="K39" i="50" l="1"/>
  <c r="G26" i="50" s="1"/>
  <c r="G27" i="50" s="1"/>
  <c r="G28" i="50" s="1"/>
  <c r="G29" i="50" s="1"/>
  <c r="J39" i="50"/>
  <c r="I39" i="50"/>
  <c r="H39" i="50"/>
  <c r="L64" i="50" l="1"/>
  <c r="D20" i="42" s="1"/>
  <c r="C5" i="47"/>
  <c r="C7" i="47" s="1"/>
  <c r="D7" i="46"/>
  <c r="L66" i="50"/>
  <c r="D22" i="42" s="1"/>
  <c r="L65" i="50"/>
  <c r="D21" i="42" s="1"/>
  <c r="D7" i="56"/>
  <c r="N64" i="50"/>
  <c r="F20" i="42" s="1"/>
  <c r="Q64" i="50"/>
  <c r="I20" i="42" s="1"/>
  <c r="D46" i="46" l="1"/>
  <c r="D53" i="46"/>
  <c r="D38" i="46"/>
  <c r="D29" i="42"/>
  <c r="D46" i="56"/>
  <c r="D53" i="56"/>
  <c r="D38" i="56"/>
  <c r="D28" i="42"/>
  <c r="D23" i="46"/>
  <c r="D32" i="46" s="1"/>
  <c r="D32" i="56" s="1"/>
  <c r="L32" i="56" s="1"/>
  <c r="D23" i="56"/>
  <c r="L23" i="56" s="1"/>
  <c r="D23" i="42"/>
  <c r="D22" i="46"/>
  <c r="D22" i="56"/>
  <c r="D27" i="42"/>
  <c r="I27" i="42"/>
  <c r="I22" i="56"/>
  <c r="I22" i="46"/>
  <c r="F27" i="42"/>
  <c r="F22" i="46"/>
  <c r="F22" i="56"/>
  <c r="P64" i="50"/>
  <c r="H20" i="42" s="1"/>
  <c r="C11" i="47"/>
  <c r="H10" i="47"/>
  <c r="C12" i="47"/>
  <c r="E10" i="47"/>
  <c r="C10" i="47"/>
  <c r="D5" i="47"/>
  <c r="D7" i="47" s="1"/>
  <c r="M64" i="50"/>
  <c r="E20" i="42" s="1"/>
  <c r="O64" i="50"/>
  <c r="G20" i="42" s="1"/>
  <c r="M65" i="50"/>
  <c r="E21" i="42" s="1"/>
  <c r="M66" i="50"/>
  <c r="E22" i="42" s="1"/>
  <c r="F5" i="47"/>
  <c r="F7" i="47" s="1"/>
  <c r="O66" i="50"/>
  <c r="G22" i="42" s="1"/>
  <c r="O65" i="50"/>
  <c r="G21" i="42" s="1"/>
  <c r="G5" i="47"/>
  <c r="G7" i="47" s="1"/>
  <c r="P65" i="50"/>
  <c r="H21" i="42" s="1"/>
  <c r="P66" i="50"/>
  <c r="H22" i="42" s="1"/>
  <c r="E5" i="47"/>
  <c r="E7" i="47" s="1"/>
  <c r="N66" i="50"/>
  <c r="F22" i="42" s="1"/>
  <c r="N65" i="50"/>
  <c r="F21" i="42" s="1"/>
  <c r="H5" i="47"/>
  <c r="H7" i="47" s="1"/>
  <c r="Q65" i="50"/>
  <c r="I21" i="42" s="1"/>
  <c r="Q66" i="50"/>
  <c r="I22" i="42" s="1"/>
  <c r="H7" i="56"/>
  <c r="H7" i="46"/>
  <c r="G7" i="56"/>
  <c r="G7" i="46"/>
  <c r="I7" i="56"/>
  <c r="I7" i="46"/>
  <c r="E7" i="56"/>
  <c r="E7" i="46"/>
  <c r="F7" i="46"/>
  <c r="F7" i="56"/>
  <c r="I53" i="46" l="1"/>
  <c r="I46" i="46"/>
  <c r="I38" i="46"/>
  <c r="F23" i="42"/>
  <c r="F46" i="46"/>
  <c r="F53" i="46"/>
  <c r="F38" i="46"/>
  <c r="E46" i="46"/>
  <c r="E53" i="46"/>
  <c r="E38" i="46"/>
  <c r="I23" i="42"/>
  <c r="H23" i="42"/>
  <c r="H53" i="46"/>
  <c r="H46" i="46"/>
  <c r="H38" i="46"/>
  <c r="G46" i="46"/>
  <c r="G53" i="46"/>
  <c r="G38" i="46"/>
  <c r="E23" i="42"/>
  <c r="D24" i="56"/>
  <c r="D10" i="56" s="1"/>
  <c r="D24" i="46"/>
  <c r="D10" i="46" s="1"/>
  <c r="D31" i="46"/>
  <c r="D31" i="56" s="1"/>
  <c r="D33" i="56" s="1"/>
  <c r="D11" i="56" s="1"/>
  <c r="E29" i="42"/>
  <c r="E46" i="56"/>
  <c r="E53" i="56"/>
  <c r="E38" i="56"/>
  <c r="H29" i="42"/>
  <c r="H46" i="56"/>
  <c r="H53" i="56"/>
  <c r="H38" i="56"/>
  <c r="G29" i="42"/>
  <c r="G46" i="56"/>
  <c r="G53" i="56"/>
  <c r="G38" i="56"/>
  <c r="G23" i="42"/>
  <c r="I29" i="42"/>
  <c r="I46" i="56"/>
  <c r="I53" i="56"/>
  <c r="I38" i="56"/>
  <c r="F29" i="42"/>
  <c r="F46" i="56"/>
  <c r="F53" i="56"/>
  <c r="F38" i="56"/>
  <c r="I28" i="42"/>
  <c r="I23" i="46"/>
  <c r="I32" i="46" s="1"/>
  <c r="I32" i="56" s="1"/>
  <c r="Q32" i="56" s="1"/>
  <c r="I23" i="56"/>
  <c r="Q23" i="56" s="1"/>
  <c r="H28" i="42"/>
  <c r="H23" i="56"/>
  <c r="P23" i="56" s="1"/>
  <c r="H23" i="46"/>
  <c r="H32" i="46" s="1"/>
  <c r="H32" i="56" s="1"/>
  <c r="P32" i="56" s="1"/>
  <c r="E28" i="42"/>
  <c r="E23" i="46"/>
  <c r="E32" i="46" s="1"/>
  <c r="E32" i="56" s="1"/>
  <c r="M32" i="56" s="1"/>
  <c r="E23" i="56"/>
  <c r="M23" i="56" s="1"/>
  <c r="G28" i="42"/>
  <c r="G23" i="46"/>
  <c r="G32" i="46" s="1"/>
  <c r="G32" i="56" s="1"/>
  <c r="O32" i="56" s="1"/>
  <c r="G23" i="56"/>
  <c r="O23" i="56" s="1"/>
  <c r="F28" i="42"/>
  <c r="F23" i="46"/>
  <c r="F32" i="46" s="1"/>
  <c r="F32" i="56" s="1"/>
  <c r="N32" i="56" s="1"/>
  <c r="F23" i="56"/>
  <c r="N23" i="56" s="1"/>
  <c r="H27" i="42"/>
  <c r="H22" i="46"/>
  <c r="H22" i="56"/>
  <c r="G27" i="42"/>
  <c r="G22" i="46"/>
  <c r="G31" i="46" s="1"/>
  <c r="G31" i="56" s="1"/>
  <c r="O31" i="56" s="1"/>
  <c r="G22" i="56"/>
  <c r="O22" i="56" s="1"/>
  <c r="E27" i="42"/>
  <c r="E22" i="46"/>
  <c r="E31" i="46" s="1"/>
  <c r="E31" i="56" s="1"/>
  <c r="E22" i="56"/>
  <c r="M22" i="56" s="1"/>
  <c r="G26" i="42"/>
  <c r="F26" i="42"/>
  <c r="I26" i="42"/>
  <c r="L22" i="56"/>
  <c r="L24" i="56" s="1"/>
  <c r="L10" i="56" s="1"/>
  <c r="N22" i="56"/>
  <c r="I31" i="46"/>
  <c r="I31" i="56" s="1"/>
  <c r="L46" i="56"/>
  <c r="L53" i="46"/>
  <c r="L46" i="46"/>
  <c r="H12" i="47"/>
  <c r="E11" i="47"/>
  <c r="G12" i="47"/>
  <c r="E12" i="47"/>
  <c r="G11" i="47"/>
  <c r="F11" i="47"/>
  <c r="D12" i="47"/>
  <c r="D10" i="47"/>
  <c r="H11" i="47"/>
  <c r="F12" i="47"/>
  <c r="D11" i="47"/>
  <c r="F10" i="47"/>
  <c r="C13" i="47"/>
  <c r="C14" i="47" s="1"/>
  <c r="G10" i="47"/>
  <c r="M67" i="50"/>
  <c r="O67" i="50"/>
  <c r="N67" i="50"/>
  <c r="Q67" i="50"/>
  <c r="P67" i="50"/>
  <c r="L32" i="46"/>
  <c r="L31" i="56" l="1"/>
  <c r="L33" i="56" s="1"/>
  <c r="L31" i="46"/>
  <c r="N24" i="56"/>
  <c r="N10" i="56" s="1"/>
  <c r="F24" i="46"/>
  <c r="F10" i="46" s="1"/>
  <c r="E33" i="56"/>
  <c r="E34" i="56" s="1"/>
  <c r="O24" i="56"/>
  <c r="O10" i="56" s="1"/>
  <c r="O33" i="56"/>
  <c r="O34" i="56" s="1"/>
  <c r="I24" i="56"/>
  <c r="I25" i="56" s="1"/>
  <c r="I33" i="56"/>
  <c r="I11" i="56" s="1"/>
  <c r="M24" i="56"/>
  <c r="M25" i="56" s="1"/>
  <c r="H26" i="42"/>
  <c r="E26" i="42"/>
  <c r="M31" i="56"/>
  <c r="M33" i="56" s="1"/>
  <c r="M34" i="56" s="1"/>
  <c r="F24" i="56"/>
  <c r="F25" i="56" s="1"/>
  <c r="G24" i="46"/>
  <c r="G10" i="46" s="1"/>
  <c r="G24" i="56"/>
  <c r="G25" i="56" s="1"/>
  <c r="E24" i="46"/>
  <c r="E10" i="46" s="1"/>
  <c r="Q22" i="56"/>
  <c r="Q24" i="56" s="1"/>
  <c r="Q25" i="56" s="1"/>
  <c r="G33" i="56"/>
  <c r="G11" i="56" s="1"/>
  <c r="E24" i="56"/>
  <c r="E25" i="56" s="1"/>
  <c r="F31" i="46"/>
  <c r="F31" i="56" s="1"/>
  <c r="F33" i="56" s="1"/>
  <c r="D47" i="56"/>
  <c r="D13" i="56" s="1"/>
  <c r="Q31" i="56"/>
  <c r="Q33" i="56" s="1"/>
  <c r="Q34" i="56" s="1"/>
  <c r="H31" i="46"/>
  <c r="H31" i="56" s="1"/>
  <c r="H24" i="56"/>
  <c r="I24" i="46"/>
  <c r="I10" i="46" s="1"/>
  <c r="L47" i="56"/>
  <c r="L13" i="56" s="1"/>
  <c r="D39" i="56"/>
  <c r="D12" i="56" s="1"/>
  <c r="L38" i="56"/>
  <c r="L39" i="56" s="1"/>
  <c r="L53" i="56"/>
  <c r="L54" i="56" s="1"/>
  <c r="D54" i="56"/>
  <c r="D14" i="56" s="1"/>
  <c r="Q46" i="56"/>
  <c r="E13" i="47"/>
  <c r="E14" i="47" s="1"/>
  <c r="H13" i="47"/>
  <c r="H14" i="47" s="1"/>
  <c r="N53" i="46"/>
  <c r="O53" i="46"/>
  <c r="G13" i="47"/>
  <c r="M53" i="46"/>
  <c r="P53" i="46"/>
  <c r="Q53" i="46"/>
  <c r="D39" i="46"/>
  <c r="D12" i="46" s="1"/>
  <c r="L38" i="46"/>
  <c r="L39" i="46" s="1"/>
  <c r="L12" i="46" s="1"/>
  <c r="D13" i="47"/>
  <c r="N46" i="46"/>
  <c r="M46" i="46"/>
  <c r="P46" i="46"/>
  <c r="Q46" i="46"/>
  <c r="O46" i="46"/>
  <c r="F13" i="47"/>
  <c r="L54" i="46"/>
  <c r="L14" i="46" s="1"/>
  <c r="L47" i="46"/>
  <c r="L13" i="46" s="1"/>
  <c r="L33" i="46"/>
  <c r="L11" i="46" s="1"/>
  <c r="M31" i="46"/>
  <c r="P32" i="46"/>
  <c r="Q31" i="46"/>
  <c r="Q32" i="46"/>
  <c r="N32" i="46"/>
  <c r="O31" i="46"/>
  <c r="M32" i="46"/>
  <c r="O32" i="46"/>
  <c r="D30" i="42"/>
  <c r="C19" i="47" s="1"/>
  <c r="D33" i="46"/>
  <c r="D11" i="46" s="1"/>
  <c r="D54" i="46"/>
  <c r="D47" i="46"/>
  <c r="N25" i="56" l="1"/>
  <c r="E11" i="56"/>
  <c r="I34" i="56"/>
  <c r="I10" i="56"/>
  <c r="O25" i="56"/>
  <c r="M10" i="56"/>
  <c r="H24" i="46"/>
  <c r="H10" i="46" s="1"/>
  <c r="F10" i="56"/>
  <c r="P22" i="56"/>
  <c r="P24" i="56" s="1"/>
  <c r="P25" i="56" s="1"/>
  <c r="G10" i="56"/>
  <c r="E10" i="56"/>
  <c r="Q10" i="56"/>
  <c r="G34" i="56"/>
  <c r="N31" i="56"/>
  <c r="N33" i="56" s="1"/>
  <c r="N34" i="56" s="1"/>
  <c r="N31" i="46"/>
  <c r="N33" i="46" s="1"/>
  <c r="P31" i="46"/>
  <c r="P33" i="46" s="1"/>
  <c r="P11" i="46" s="1"/>
  <c r="H25" i="56"/>
  <c r="H10" i="56"/>
  <c r="P46" i="56"/>
  <c r="P47" i="56" s="1"/>
  <c r="H47" i="56"/>
  <c r="M46" i="56"/>
  <c r="M47" i="56" s="1"/>
  <c r="E47" i="56"/>
  <c r="L12" i="56"/>
  <c r="I39" i="56"/>
  <c r="Q38" i="56"/>
  <c r="Q39" i="56" s="1"/>
  <c r="P53" i="56"/>
  <c r="P54" i="56" s="1"/>
  <c r="H54" i="56"/>
  <c r="E54" i="56"/>
  <c r="M53" i="56"/>
  <c r="M54" i="56" s="1"/>
  <c r="N38" i="56"/>
  <c r="N39" i="56" s="1"/>
  <c r="F39" i="56"/>
  <c r="O46" i="56"/>
  <c r="O47" i="56" s="1"/>
  <c r="G47" i="56"/>
  <c r="H33" i="56"/>
  <c r="P31" i="56"/>
  <c r="P33" i="56" s="1"/>
  <c r="P34" i="56" s="1"/>
  <c r="Q53" i="56"/>
  <c r="Q54" i="56" s="1"/>
  <c r="Q14" i="56" s="1"/>
  <c r="I54" i="56"/>
  <c r="H39" i="56"/>
  <c r="P38" i="56"/>
  <c r="P39" i="56" s="1"/>
  <c r="M38" i="56"/>
  <c r="M39" i="56" s="1"/>
  <c r="M12" i="56" s="1"/>
  <c r="E39" i="56"/>
  <c r="F11" i="56"/>
  <c r="F34" i="56"/>
  <c r="F54" i="56"/>
  <c r="N53" i="56"/>
  <c r="N54" i="56" s="1"/>
  <c r="G39" i="56"/>
  <c r="O38" i="56"/>
  <c r="O39" i="56" s="1"/>
  <c r="Q47" i="56"/>
  <c r="N46" i="56"/>
  <c r="N47" i="56" s="1"/>
  <c r="F47" i="56"/>
  <c r="L14" i="56"/>
  <c r="G54" i="56"/>
  <c r="O53" i="56"/>
  <c r="O54" i="56" s="1"/>
  <c r="I47" i="56"/>
  <c r="G14" i="47"/>
  <c r="D14" i="47"/>
  <c r="G39" i="46"/>
  <c r="O38" i="46"/>
  <c r="O39" i="46" s="1"/>
  <c r="H39" i="46"/>
  <c r="P38" i="46"/>
  <c r="P39" i="46" s="1"/>
  <c r="I39" i="46"/>
  <c r="Q38" i="46"/>
  <c r="Q39" i="46" s="1"/>
  <c r="E39" i="46"/>
  <c r="M38" i="46"/>
  <c r="M39" i="46" s="1"/>
  <c r="N38" i="46"/>
  <c r="N39" i="46" s="1"/>
  <c r="F39" i="46"/>
  <c r="F14" i="47"/>
  <c r="P54" i="46"/>
  <c r="P55" i="46" s="1"/>
  <c r="O54" i="46"/>
  <c r="O55" i="46" s="1"/>
  <c r="N54" i="46"/>
  <c r="N55" i="46" s="1"/>
  <c r="Q54" i="46"/>
  <c r="Q55" i="46" s="1"/>
  <c r="M54" i="46"/>
  <c r="M55" i="46" s="1"/>
  <c r="O47" i="46"/>
  <c r="O13" i="46" s="1"/>
  <c r="M47" i="46"/>
  <c r="M13" i="46" s="1"/>
  <c r="N47" i="46"/>
  <c r="N13" i="46" s="1"/>
  <c r="Q47" i="46"/>
  <c r="Q13" i="46" s="1"/>
  <c r="P47" i="46"/>
  <c r="P13" i="46" s="1"/>
  <c r="O33" i="46"/>
  <c r="Q33" i="46"/>
  <c r="Q11" i="46" s="1"/>
  <c r="M33" i="46"/>
  <c r="M11" i="46" s="1"/>
  <c r="L15" i="46"/>
  <c r="D14" i="46"/>
  <c r="D13" i="46"/>
  <c r="E30" i="42"/>
  <c r="E32" i="42" s="1"/>
  <c r="H47" i="46"/>
  <c r="H54" i="46"/>
  <c r="H14" i="46" s="1"/>
  <c r="H30" i="42"/>
  <c r="H32" i="42" s="1"/>
  <c r="H33" i="46"/>
  <c r="H11" i="46" s="1"/>
  <c r="I54" i="46"/>
  <c r="I14" i="46" s="1"/>
  <c r="F47" i="46"/>
  <c r="I47" i="46"/>
  <c r="F33" i="46"/>
  <c r="F11" i="46" s="1"/>
  <c r="I33" i="46"/>
  <c r="I11" i="46" s="1"/>
  <c r="G47" i="46"/>
  <c r="F54" i="46"/>
  <c r="F14" i="46" s="1"/>
  <c r="F30" i="42"/>
  <c r="F32" i="42" s="1"/>
  <c r="E47" i="46"/>
  <c r="E33" i="46"/>
  <c r="E11" i="46" s="1"/>
  <c r="E54" i="46"/>
  <c r="G33" i="46"/>
  <c r="G11" i="46" s="1"/>
  <c r="G30" i="42"/>
  <c r="G32" i="42" s="1"/>
  <c r="G54" i="46"/>
  <c r="G14" i="46" s="1"/>
  <c r="P10" i="56" l="1"/>
  <c r="I30" i="42"/>
  <c r="I32" i="42" s="1"/>
  <c r="I33" i="42" s="1"/>
  <c r="L15" i="56"/>
  <c r="C28" i="47" s="1"/>
  <c r="C34" i="47" s="1"/>
  <c r="N34" i="46"/>
  <c r="N11" i="46"/>
  <c r="F40" i="46"/>
  <c r="E46" i="47" s="1"/>
  <c r="F12" i="46"/>
  <c r="Q40" i="46"/>
  <c r="Q12" i="46"/>
  <c r="O40" i="46"/>
  <c r="O12" i="46"/>
  <c r="I13" i="56"/>
  <c r="I48" i="56"/>
  <c r="Q55" i="56"/>
  <c r="N14" i="56"/>
  <c r="N55" i="56"/>
  <c r="E12" i="56"/>
  <c r="E40" i="56"/>
  <c r="D45" i="47" s="1"/>
  <c r="I14" i="56"/>
  <c r="I55" i="56"/>
  <c r="G13" i="56"/>
  <c r="G48" i="56"/>
  <c r="H14" i="56"/>
  <c r="H55" i="56"/>
  <c r="H13" i="56"/>
  <c r="H48" i="56"/>
  <c r="G40" i="46"/>
  <c r="F46" i="47" s="1"/>
  <c r="G12" i="46"/>
  <c r="O14" i="56"/>
  <c r="O55" i="56"/>
  <c r="F48" i="56"/>
  <c r="F13" i="56"/>
  <c r="F55" i="56"/>
  <c r="F14" i="56"/>
  <c r="O13" i="56"/>
  <c r="O48" i="56"/>
  <c r="P14" i="56"/>
  <c r="P55" i="56"/>
  <c r="P13" i="56"/>
  <c r="P48" i="56"/>
  <c r="I40" i="46"/>
  <c r="H46" i="47" s="1"/>
  <c r="I12" i="46"/>
  <c r="M40" i="46"/>
  <c r="M12" i="46"/>
  <c r="P40" i="46"/>
  <c r="P12" i="46"/>
  <c r="G55" i="56"/>
  <c r="G14" i="56"/>
  <c r="N48" i="56"/>
  <c r="N13" i="56"/>
  <c r="O12" i="56"/>
  <c r="O40" i="56"/>
  <c r="P12" i="56"/>
  <c r="P40" i="56"/>
  <c r="F40" i="56"/>
  <c r="E45" i="47" s="1"/>
  <c r="F12" i="56"/>
  <c r="M14" i="56"/>
  <c r="M55" i="56"/>
  <c r="Q12" i="56"/>
  <c r="Q40" i="56"/>
  <c r="E13" i="56"/>
  <c r="E48" i="56"/>
  <c r="N40" i="46"/>
  <c r="N12" i="46"/>
  <c r="O34" i="46"/>
  <c r="O11" i="46"/>
  <c r="E40" i="46"/>
  <c r="D46" i="47" s="1"/>
  <c r="E12" i="46"/>
  <c r="H40" i="46"/>
  <c r="G46" i="47" s="1"/>
  <c r="H12" i="46"/>
  <c r="Q13" i="56"/>
  <c r="Q48" i="56"/>
  <c r="G12" i="56"/>
  <c r="G40" i="56"/>
  <c r="F45" i="47" s="1"/>
  <c r="H12" i="56"/>
  <c r="H40" i="56"/>
  <c r="G45" i="47" s="1"/>
  <c r="H34" i="56"/>
  <c r="H11" i="56"/>
  <c r="N12" i="56"/>
  <c r="N40" i="56"/>
  <c r="E14" i="56"/>
  <c r="E55" i="56"/>
  <c r="I12" i="56"/>
  <c r="I40" i="56"/>
  <c r="H45" i="47" s="1"/>
  <c r="M40" i="56"/>
  <c r="M13" i="56"/>
  <c r="M48" i="56"/>
  <c r="H33" i="42"/>
  <c r="G33" i="42"/>
  <c r="F33" i="42"/>
  <c r="O14" i="46"/>
  <c r="P14" i="46"/>
  <c r="N14" i="46"/>
  <c r="P48" i="46"/>
  <c r="O48" i="46"/>
  <c r="M48" i="46"/>
  <c r="Q48" i="46"/>
  <c r="N48" i="46"/>
  <c r="M14" i="46"/>
  <c r="Q14" i="46"/>
  <c r="M34" i="46"/>
  <c r="Q34" i="46"/>
  <c r="P34" i="46"/>
  <c r="E55" i="46"/>
  <c r="D52" i="47" s="1"/>
  <c r="E14" i="46"/>
  <c r="H13" i="46"/>
  <c r="I13" i="46"/>
  <c r="E13" i="46"/>
  <c r="G13" i="46"/>
  <c r="F13" i="46"/>
  <c r="H34" i="46"/>
  <c r="G44" i="47" s="1"/>
  <c r="F34" i="46"/>
  <c r="E44" i="47" s="1"/>
  <c r="I34" i="46"/>
  <c r="H44" i="47" s="1"/>
  <c r="G34" i="46"/>
  <c r="F44" i="47" s="1"/>
  <c r="E48" i="46"/>
  <c r="D49" i="47" s="1"/>
  <c r="F55" i="46"/>
  <c r="E52" i="47" s="1"/>
  <c r="I55" i="46"/>
  <c r="H52" i="47" s="1"/>
  <c r="H55" i="46"/>
  <c r="G52" i="47" s="1"/>
  <c r="I48" i="46"/>
  <c r="H49" i="47" s="1"/>
  <c r="G48" i="46"/>
  <c r="F49" i="47" s="1"/>
  <c r="F19" i="47"/>
  <c r="H48" i="46"/>
  <c r="G49" i="47" s="1"/>
  <c r="E19" i="47"/>
  <c r="G55" i="46"/>
  <c r="F52" i="47" s="1"/>
  <c r="F48" i="46"/>
  <c r="E49" i="47" s="1"/>
  <c r="E34" i="46"/>
  <c r="D44" i="47" s="1"/>
  <c r="G19" i="47"/>
  <c r="E33" i="42"/>
  <c r="D19" i="47"/>
  <c r="H19" i="47" l="1"/>
  <c r="H20" i="47" s="1"/>
  <c r="Q15" i="46"/>
  <c r="N15" i="46"/>
  <c r="O15" i="46"/>
  <c r="M15" i="46"/>
  <c r="M15" i="56"/>
  <c r="D28" i="47" s="1"/>
  <c r="N15" i="56"/>
  <c r="E28" i="47" s="1"/>
  <c r="P15" i="56"/>
  <c r="G28" i="47" s="1"/>
  <c r="Q15" i="56"/>
  <c r="H28" i="47" s="1"/>
  <c r="O15" i="56"/>
  <c r="F28" i="47" s="1"/>
  <c r="F21" i="47"/>
  <c r="F20" i="47"/>
  <c r="D20" i="47"/>
  <c r="D21" i="47"/>
  <c r="G20" i="47"/>
  <c r="G21" i="47"/>
  <c r="E21" i="47"/>
  <c r="E20" i="47"/>
  <c r="H21" i="47" l="1"/>
  <c r="P15" i="46"/>
  <c r="H34" i="47"/>
  <c r="H35" i="47" s="1"/>
  <c r="F34" i="47"/>
  <c r="G34" i="47"/>
  <c r="G35" i="47" s="1"/>
  <c r="D34" i="47"/>
  <c r="D36" i="47" s="1"/>
  <c r="E34" i="47"/>
  <c r="E35" i="47" s="1"/>
  <c r="H29" i="47" l="1"/>
  <c r="H30" i="47"/>
  <c r="G36" i="47"/>
  <c r="H36" i="47"/>
  <c r="F35" i="47"/>
  <c r="F29" i="47"/>
  <c r="D29" i="47"/>
  <c r="D30" i="47"/>
  <c r="G30" i="47"/>
  <c r="G29" i="47"/>
  <c r="E36" i="47"/>
  <c r="F36" i="47"/>
  <c r="F30" i="47"/>
  <c r="E29" i="47"/>
  <c r="D35" i="47"/>
  <c r="E30" i="47"/>
  <c r="G25" i="46" l="1"/>
  <c r="F42" i="47" s="1"/>
  <c r="E25" i="46"/>
  <c r="D42" i="47" s="1"/>
  <c r="F25" i="46"/>
  <c r="E42" i="47" s="1"/>
  <c r="H25" i="46" l="1"/>
  <c r="G42" i="47" s="1"/>
  <c r="I25" i="46"/>
  <c r="H42" i="47" s="1"/>
  <c r="L67" i="50" l="1"/>
  <c r="E67"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D017BAC8-49E8-482A-87F2-76EAA72BB974}">
      <text>
        <r>
          <rPr>
            <b/>
            <sz val="9"/>
            <color indexed="81"/>
            <rFont val="Tahoma"/>
            <family val="2"/>
          </rPr>
          <t>Author:</t>
        </r>
        <r>
          <rPr>
            <sz val="9"/>
            <color indexed="81"/>
            <rFont val="Tahoma"/>
            <family val="2"/>
          </rPr>
          <t xml:space="preserve">
0,1 and 2 years completed as a consultant
</t>
        </r>
      </text>
    </comment>
    <comment ref="B46" authorId="0" shapeId="0" xr:uid="{F18AFC2A-51CD-4114-9D1E-F66C446B7DFC}">
      <text>
        <r>
          <rPr>
            <b/>
            <sz val="9"/>
            <color indexed="81"/>
            <rFont val="Tahoma"/>
            <family val="2"/>
          </rPr>
          <t>Author:</t>
        </r>
        <r>
          <rPr>
            <sz val="9"/>
            <color indexed="81"/>
            <rFont val="Tahoma"/>
            <family val="2"/>
          </rPr>
          <t xml:space="preserve">
4 to 13 years completed as a consultant (average pay)
</t>
        </r>
      </text>
    </comment>
    <comment ref="B47" authorId="0" shapeId="0" xr:uid="{F6EBCFDE-C050-49AB-B83C-9F53EFDC5B07}">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<sst xmlns="http://schemas.openxmlformats.org/spreadsheetml/2006/main" count="2096" uniqueCount="1055">
  <si>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</si>
  <si>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</si>
  <si>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</si>
  <si>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</si>
  <si>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</si>
  <si>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</si>
  <si>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</si>
  <si>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</si>
  <si>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</si>
  <si>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</si>
  <si>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</si>
  <si>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</si>
  <si>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</si>
  <si>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</si>
  <si>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</si>
  <si>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</si>
  <si>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</si>
  <si>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</si>
  <si>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</si>
  <si>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</si>
  <si>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</si>
  <si>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</si>
  <si>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</si>
  <si>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</si>
  <si>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</si>
  <si>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</si>
  <si>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</si>
  <si>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</si>
  <si>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</si>
  <si>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</si>
  <si>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</si>
  <si>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</si>
  <si>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</si>
  <si>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</si>
  <si>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</si>
  <si>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</si>
  <si>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</si>
  <si>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</si>
  <si>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</si>
  <si>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</si>
  <si>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</si>
  <si>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</si>
  <si>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</si>
  <si>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</si>
  <si>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</si>
  <si>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</si>
  <si>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</si>
  <si>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</si>
  <si>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</si>
  <si>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</si>
  <si>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</si>
  <si>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</si>
  <si>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</si>
  <si>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</si>
  <si>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</si>
  <si>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</si>
  <si>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</si>
  <si>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</si>
  <si>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</si>
  <si>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</si>
  <si>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</si>
  <si>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</si>
  <si>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</si>
  <si>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</si>
  <si>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</si>
  <si>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</si>
  <si>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</si>
  <si>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</si>
  <si>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</si>
  <si>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</si>
  <si>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</si>
  <si>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</si>
  <si>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</si>
  <si>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</si>
  <si>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</si>
  <si>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</si>
  <si>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</si>
  <si>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</si>
  <si>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</si>
  <si>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</si>
  <si>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</si>
  <si>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</si>
  <si>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</si>
  <si>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</si>
  <si>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</si>
  <si>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</si>
  <si>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</si>
  <si>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</si>
  <si>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</si>
  <si>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</si>
  <si>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</si>
  <si>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</si>
  <si>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</si>
  <si>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</si>
  <si>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</si>
  <si>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</si>
  <si>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</si>
  <si>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</si>
  <si>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</si>
  <si>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</si>
  <si>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</si>
  <si>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</si>
  <si>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</si>
  <si>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</si>
  <si>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</si>
  <si>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</si>
  <si>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</si>
  <si>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</si>
  <si>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</si>
  <si>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</si>
  <si>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</si>
  <si>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</si>
  <si>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</si>
  <si>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</si>
  <si>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</si>
  <si>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</si>
  <si>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</si>
  <si>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</si>
  <si>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</si>
  <si>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</si>
  <si>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</si>
  <si>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</si>
  <si>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</si>
  <si>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</si>
  <si>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</si>
  <si>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</si>
  <si>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</si>
  <si>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</si>
  <si>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</si>
  <si>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</si>
  <si>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</si>
  <si>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</si>
  <si>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</si>
  <si>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</si>
  <si>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</si>
  <si>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</si>
  <si>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</si>
  <si>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</si>
  <si>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</si>
  <si>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</si>
  <si>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</si>
  <si>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</si>
  <si>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</si>
  <si>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</si>
  <si>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</si>
  <si>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</si>
  <si>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</si>
  <si>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</si>
  <si>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</si>
  <si>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</si>
  <si>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</si>
  <si>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</si>
  <si>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</si>
  <si>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</si>
  <si>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</si>
  <si>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</si>
  <si>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</si>
  <si>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</si>
  <si>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</si>
  <si>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</si>
  <si>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</si>
  <si>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</si>
  <si>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</si>
  <si>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</si>
  <si>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</si>
  <si>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</si>
  <si>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</si>
  <si>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</si>
  <si>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</si>
  <si>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</si>
  <si>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</si>
  <si>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</si>
  <si>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</si>
  <si>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</si>
  <si>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</si>
  <si>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</si>
  <si>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</si>
  <si>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</si>
  <si>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</si>
  <si>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</si>
  <si>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</si>
  <si>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</si>
  <si>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</si>
  <si>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</si>
  <si>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</si>
  <si>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</si>
  <si>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</si>
  <si>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</si>
  <si>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</si>
  <si>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</si>
  <si>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</si>
  <si>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</si>
  <si>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</si>
  <si>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</si>
  <si>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</si>
  <si>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</si>
  <si>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</si>
  <si>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</si>
  <si>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</si>
  <si>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</si>
  <si>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</si>
  <si>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</si>
  <si>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</si>
  <si>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</si>
  <si>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</si>
  <si>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</si>
  <si>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</si>
  <si>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</si>
  <si>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</si>
  <si>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</si>
  <si>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</si>
  <si>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</si>
  <si>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</si>
  <si>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</si>
  <si>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</si>
  <si>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</si>
  <si>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</si>
  <si>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</si>
  <si>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</si>
  <si>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</si>
  <si>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</si>
  <si>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</si>
  <si>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</si>
  <si>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</si>
  <si>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</si>
  <si>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</si>
  <si>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</si>
  <si>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</si>
  <si>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</si>
  <si>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</si>
  <si>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</si>
  <si>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</si>
  <si>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</si>
  <si>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</si>
  <si>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</si>
  <si>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</si>
  <si>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</si>
  <si>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</si>
  <si>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</si>
  <si>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</si>
  <si>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</si>
  <si>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</si>
  <si>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</si>
  <si>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</si>
  <si>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</si>
  <si>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</si>
  <si>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</si>
  <si>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</si>
  <si>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</si>
  <si>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</si>
  <si>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</si>
  <si>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</si>
  <si>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</si>
  <si>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</si>
  <si>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</si>
  <si>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</si>
  <si>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</si>
  <si>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</si>
  <si>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</si>
  <si>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</si>
  <si>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</si>
  <si>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</si>
  <si>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</si>
  <si>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</si>
  <si>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</si>
  <si>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</si>
  <si>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</si>
  <si>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</si>
  <si>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</si>
  <si>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</si>
  <si>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</si>
  <si>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</si>
  <si>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</si>
  <si>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</si>
  <si>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</si>
  <si>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</si>
  <si>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</si>
  <si>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</si>
  <si>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</si>
  <si>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</si>
  <si>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</si>
  <si>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</si>
  <si>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</si>
  <si>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</si>
  <si>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</si>
  <si>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</si>
  <si>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</si>
  <si>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</si>
  <si>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</si>
  <si>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</si>
  <si>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</si>
  <si>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</si>
  <si>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</si>
  <si>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</si>
  <si>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</si>
  <si>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</si>
  <si>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</si>
  <si>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</si>
  <si>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</si>
  <si>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</si>
  <si>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</si>
  <si>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</si>
  <si>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</si>
  <si>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</si>
  <si>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</si>
  <si>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</si>
  <si>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</si>
  <si>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</si>
  <si>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</si>
  <si>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</si>
  <si>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</si>
  <si>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</si>
  <si>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</si>
  <si>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</si>
  <si>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</si>
  <si>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</si>
  <si>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</si>
  <si>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</si>
  <si>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</si>
  <si>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</si>
  <si>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</si>
  <si>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</si>
  <si>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</si>
  <si>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</si>
  <si>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</si>
  <si>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</si>
  <si>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</si>
  <si>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</si>
  <si>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</si>
  <si>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</si>
  <si>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</si>
  <si>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</si>
  <si>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</si>
  <si>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</si>
  <si>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</si>
  <si>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</si>
  <si>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</si>
  <si>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</si>
  <si>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</si>
  <si>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</si>
  <si>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</si>
  <si>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</si>
  <si>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</si>
  <si>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</si>
  <si>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</si>
  <si>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</si>
  <si>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</si>
  <si>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</si>
  <si>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</si>
  <si>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</si>
  <si>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</si>
  <si>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</si>
  <si>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</si>
  <si>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</si>
  <si>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</si>
  <si>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</si>
  <si>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</si>
  <si>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</si>
  <si>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</si>
  <si>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</si>
  <si>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</si>
  <si>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</si>
  <si>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</si>
  <si>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</si>
  <si>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</si>
  <si>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</si>
  <si>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</si>
  <si>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</si>
  <si>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</si>
  <si>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</si>
  <si>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</si>
  <si>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</si>
  <si>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</si>
  <si>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</si>
  <si>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</si>
  <si>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</si>
  <si>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</si>
  <si>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</si>
  <si>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</si>
  <si>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</si>
  <si>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</si>
  <si>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</si>
  <si>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</si>
  <si>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</si>
  <si>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</si>
  <si>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</si>
  <si>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</si>
  <si>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</si>
  <si>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</si>
  <si>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</si>
  <si>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</si>
  <si>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</si>
  <si>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</si>
  <si>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</si>
  <si>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</si>
  <si>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</si>
  <si>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</si>
  <si>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</si>
  <si>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</si>
  <si>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</si>
  <si>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</si>
  <si>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</si>
  <si>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</si>
  <si>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</si>
  <si>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</si>
  <si>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</si>
  <si>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</si>
  <si>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</si>
  <si>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</si>
  <si>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</si>
  <si>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</si>
  <si>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</si>
  <si>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</si>
  <si>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</si>
  <si>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</si>
  <si>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</si>
  <si>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</si>
  <si>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</si>
  <si>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</si>
  <si>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</si>
  <si>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</si>
  <si>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</si>
  <si>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</si>
  <si>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</si>
  <si>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</si>
  <si>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</si>
  <si>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</si>
  <si>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</si>
  <si>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</si>
  <si>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</si>
  <si>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</si>
  <si>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</si>
  <si>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</si>
  <si>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</si>
  <si>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</si>
  <si>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</si>
  <si>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</si>
  <si>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</si>
  <si>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</si>
  <si>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</si>
  <si>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</si>
  <si>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</si>
  <si>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</si>
  <si>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</si>
  <si>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</si>
  <si>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</si>
  <si>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</si>
  <si>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</si>
  <si>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</si>
  <si>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</si>
  <si>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</si>
  <si>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</si>
  <si>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</si>
  <si>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</si>
  <si>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</si>
  <si>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</si>
  <si>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</si>
  <si>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</si>
  <si>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</si>
  <si>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</si>
  <si>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</si>
  <si>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</si>
  <si>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</si>
  <si>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</si>
  <si>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</si>
  <si>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</si>
  <si>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</si>
  <si>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</si>
  <si>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</si>
  <si>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</si>
  <si>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</si>
  <si>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</si>
  <si>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</si>
  <si>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</si>
  <si>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</si>
  <si>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</si>
  <si>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</si>
  <si>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</si>
  <si>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</si>
  <si>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</si>
  <si>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</si>
  <si>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</si>
  <si>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</si>
  <si>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</si>
  <si>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</si>
  <si>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</si>
  <si>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</si>
  <si>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</si>
  <si>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</si>
  <si>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</si>
  <si>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</si>
  <si>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</si>
  <si>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</si>
  <si>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</si>
  <si>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</si>
  <si>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</si>
  <si>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</si>
  <si>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</si>
  <si>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</si>
  <si>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</si>
  <si>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</si>
  <si>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</si>
  <si>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</si>
  <si>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</si>
  <si>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</si>
  <si>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</si>
  <si>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</si>
  <si>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</si>
  <si>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</si>
  <si>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</si>
  <si>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</si>
  <si>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</si>
  <si>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</si>
  <si>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</si>
  <si>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</si>
  <si>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</si>
  <si>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</si>
  <si>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</si>
  <si>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</si>
  <si>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</si>
  <si>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</si>
  <si>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</si>
  <si>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</si>
  <si>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</si>
  <si>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</si>
  <si>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</si>
  <si>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</si>
  <si>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</si>
  <si>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</si>
  <si>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</si>
  <si>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</si>
  <si>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</si>
  <si>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</si>
  <si>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</si>
  <si>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</si>
  <si>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</si>
  <si>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</si>
  <si>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</si>
  <si>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</si>
  <si>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</si>
  <si>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</si>
  <si>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</si>
  <si>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</si>
  <si>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</si>
  <si>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</si>
  <si>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</si>
  <si>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</si>
  <si>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</si>
  <si>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</si>
  <si>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</si>
  <si>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</si>
  <si>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</si>
  <si>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</si>
  <si>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</si>
  <si>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</si>
  <si>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</si>
  <si>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</si>
  <si>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</si>
  <si>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</si>
  <si>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</si>
  <si>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</si>
  <si>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</si>
  <si>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</si>
  <si>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</si>
  <si>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</si>
  <si>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</si>
  <si>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</si>
  <si>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</si>
  <si>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</si>
  <si>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</si>
  <si>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</si>
  <si>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</si>
  <si>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</si>
  <si>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</si>
  <si>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</si>
  <si>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</si>
  <si>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</si>
  <si>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</si>
  <si>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</si>
  <si>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</si>
  <si>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</si>
  <si>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</si>
  <si>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</si>
  <si>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</si>
  <si>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</si>
  <si>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</si>
  <si>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</si>
  <si>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</si>
  <si>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</si>
  <si>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</si>
  <si>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</si>
  <si>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</si>
  <si>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</si>
  <si>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</si>
  <si>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</si>
  <si>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</si>
  <si>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</si>
  <si>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</si>
  <si>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</si>
  <si>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</si>
  <si>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</si>
  <si>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</si>
  <si>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</si>
  <si>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</si>
  <si>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</si>
  <si>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</si>
  <si>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</si>
  <si>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</si>
  <si>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</si>
  <si>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</si>
  <si>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</si>
  <si>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</si>
  <si>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</si>
  <si>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</si>
  <si>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</si>
  <si>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</si>
  <si>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</si>
  <si>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</si>
  <si>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</si>
  <si>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</si>
  <si>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</si>
  <si>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</si>
  <si>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</si>
  <si>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</si>
  <si>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</si>
  <si>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</si>
  <si>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</si>
  <si>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</si>
  <si>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</si>
  <si>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</si>
  <si>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</si>
  <si>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</si>
  <si>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</si>
  <si>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</si>
  <si>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</si>
  <si>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</si>
  <si>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</si>
  <si>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</si>
  <si>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</si>
  <si>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</si>
  <si>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</si>
  <si>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</si>
  <si>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</si>
  <si>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</si>
  <si>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</si>
  <si>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</si>
  <si>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</si>
  <si>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</si>
  <si>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</si>
  <si>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</si>
  <si>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</si>
  <si>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</si>
  <si>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</si>
  <si>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</si>
  <si>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</si>
  <si>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</si>
  <si>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</si>
  <si>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</si>
  <si>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</si>
  <si>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</si>
  <si>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</si>
  <si>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</si>
  <si>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</si>
  <si>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</si>
  <si>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</si>
  <si>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</si>
  <si>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</si>
  <si>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</si>
  <si>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</si>
  <si>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</si>
  <si>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</si>
  <si>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</si>
  <si>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</si>
  <si>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</si>
  <si>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</si>
  <si>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</si>
  <si>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</si>
  <si>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</si>
  <si>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</si>
  <si>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</si>
  <si>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</si>
  <si>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</si>
  <si>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</si>
  <si>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</si>
  <si>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</si>
  <si>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</si>
  <si>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</si>
  <si>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No of days given</t>
  </si>
  <si>
    <t>cycles year 1</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</si>
  <si>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</si>
  <si>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</si>
  <si>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</si>
  <si>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</si>
  <si>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</si>
  <si>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</si>
  <si>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</si>
  <si>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</si>
  <si>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</si>
  <si>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</si>
  <si>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</si>
  <si>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</si>
  <si>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</si>
  <si>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</si>
  <si>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</si>
  <si>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</si>
  <si>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</si>
  <si>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</si>
  <si>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</si>
  <si>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</si>
  <si>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</si>
  <si>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</si>
  <si>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per patient per visit</t>
  </si>
  <si>
    <t>Consultant mid</t>
  </si>
  <si>
    <t>nursing</t>
  </si>
  <si>
    <t>Band 7 Mid</t>
  </si>
  <si>
    <t>pharmacy</t>
  </si>
  <si>
    <t>Band 8a Mid</t>
  </si>
  <si>
    <t>per patient/yr.</t>
  </si>
  <si>
    <t>Band 6 Mid</t>
  </si>
  <si>
    <t>Notes</t>
  </si>
  <si>
    <t>Preparation time before and post administration based on consensus of expert clinical opinions.  Band 7 nurse assumed, amend where necessary</t>
  </si>
  <si>
    <t>Duration of administrations as per SmPC available through the European Medicines Compendium</t>
  </si>
  <si>
    <t>Pharmacy time, drug regimen prep based on expert clinical opinion.  Band 8a pharmacist</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</si>
  <si>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</si>
  <si>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</si>
  <si>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</si>
  <si>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</si>
  <si>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</si>
  <si>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</si>
  <si>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</si>
  <si>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</si>
  <si>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</si>
  <si>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</si>
  <si>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</si>
  <si>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</si>
  <si>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</si>
  <si>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</si>
  <si>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</si>
  <si>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</si>
  <si>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</si>
  <si>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</si>
  <si>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</si>
  <si>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</si>
  <si>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</si>
  <si>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</si>
  <si>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</si>
  <si>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(mg)</t>
  </si>
  <si>
    <r>
      <t>BSA (m</t>
    </r>
    <r>
      <rPr>
        <vertAlign val="superscript"/>
        <sz val="11"/>
        <rFont val="Calibri"/>
        <family val="2"/>
        <scheme val="minor"/>
      </rPr>
      <t>2</t>
    </r>
    <r>
      <rPr>
        <sz val="11"/>
        <rFont val="Calibri"/>
        <family val="2"/>
        <scheme val="minor"/>
      </rPr>
      <t>)</t>
    </r>
  </si>
  <si>
    <t>Weight (kg)</t>
  </si>
  <si>
    <t>Number of cycles</t>
  </si>
  <si>
    <t>Total dosage required (mg)</t>
  </si>
  <si>
    <t>Total number of packs required</t>
  </si>
  <si>
    <t>Cost per pack</t>
  </si>
  <si>
    <t>VAT rate</t>
  </si>
  <si>
    <t>Annual cost</t>
  </si>
  <si>
    <t>IV</t>
  </si>
  <si>
    <t>vial</t>
  </si>
  <si>
    <t>n/a</t>
  </si>
  <si>
    <t>All components</t>
  </si>
  <si>
    <t>Drug costs from Gov.UK electronic market information tool (eMIT): online [accessed dd.mm.yy]</t>
  </si>
  <si>
    <t>Drug costs from British National Formulary (BNF): online [accessed dd.mm.yy]</t>
  </si>
  <si>
    <t>Administrations</t>
  </si>
  <si>
    <t>Treatment option</t>
  </si>
  <si>
    <t>HRG code</t>
  </si>
  <si>
    <t>day(s)</t>
  </si>
  <si>
    <t>HRG description</t>
  </si>
  <si>
    <t>Tariff</t>
  </si>
  <si>
    <t>Based on 2023-25 NHS England national tariff payment system –  24-25 prices</t>
  </si>
  <si>
    <t xml:space="preserve">National  </t>
  </si>
  <si>
    <t>used</t>
  </si>
  <si>
    <t>on the</t>
  </si>
  <si>
    <t>Follow up attendance</t>
  </si>
  <si>
    <t>Based on 2023-25 National Tariff Payment System –  24-25 prices</t>
  </si>
  <si>
    <t xml:space="preserve">used as </t>
  </si>
  <si>
    <t xml:space="preserve">as an </t>
  </si>
  <si>
    <t xml:space="preserve">selection </t>
  </si>
  <si>
    <t>between</t>
  </si>
  <si>
    <t xml:space="preserve">using </t>
  </si>
  <si>
    <t>local or</t>
  </si>
  <si>
    <t>national</t>
  </si>
  <si>
    <t>is made</t>
  </si>
  <si>
    <t>summary</t>
  </si>
  <si>
    <t>worksheet.</t>
  </si>
  <si>
    <t>Adverse events, annual costs and rates</t>
  </si>
  <si>
    <t>Eligible population and uptake</t>
  </si>
  <si>
    <t>Current practice</t>
  </si>
  <si>
    <t>Future practice -year 3</t>
  </si>
  <si>
    <t>Future practice - year 4</t>
  </si>
  <si>
    <t>Future practice - year 5</t>
  </si>
  <si>
    <t>Eligible population</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</si>
  <si>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</si>
  <si>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</si>
  <si>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</si>
  <si>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</si>
  <si>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</si>
  <si>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</si>
  <si>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</si>
  <si>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</si>
  <si>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</si>
  <si>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</si>
  <si>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</si>
  <si>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</si>
  <si>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</si>
  <si>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</si>
  <si>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Capacity impact on nursing staffing - hours</t>
  </si>
  <si>
    <t>Capacity impact on pharmacy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</si>
  <si>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</si>
  <si>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</si>
  <si>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</si>
  <si>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</si>
  <si>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</si>
  <si>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</si>
  <si>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</si>
  <si>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</si>
  <si>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</si>
  <si>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</si>
  <si>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</si>
  <si>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</si>
  <si>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</si>
  <si>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Hourly rate</t>
  </si>
  <si>
    <t xml:space="preserve">Administrations  </t>
  </si>
  <si>
    <t>Administrations cycles per year - change to current practice</t>
  </si>
  <si>
    <t>Nursing staffing</t>
  </si>
  <si>
    <t>Duration of administration
(mins)</t>
  </si>
  <si>
    <t>Administrations - change in duration (hours) to current practice</t>
  </si>
  <si>
    <t>Pharmacy</t>
  </si>
  <si>
    <t>Appointments with x specialty - change to current practice</t>
  </si>
  <si>
    <t>Unit cost</t>
  </si>
  <si>
    <t>Capacity impact (national prices)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</si>
  <si>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</si>
  <si>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</si>
  <si>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</si>
  <si>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</si>
  <si>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</si>
  <si>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</si>
  <si>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</si>
  <si>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</si>
  <si>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</si>
  <si>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</si>
  <si>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</si>
  <si>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</si>
  <si>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</si>
  <si>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</si>
  <si>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</si>
  <si>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</si>
  <si>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</si>
  <si>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</si>
  <si>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</si>
  <si>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</si>
  <si>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</si>
  <si>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</si>
  <si>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</si>
  <si>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</si>
  <si>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</si>
  <si>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</si>
  <si>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</si>
  <si>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</si>
  <si>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</si>
  <si>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</si>
  <si>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</si>
  <si>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</si>
  <si>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</si>
  <si>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</si>
  <si>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</si>
  <si>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</si>
  <si>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</si>
  <si>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</si>
  <si>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</si>
  <si>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</si>
  <si>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</si>
  <si>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</si>
  <si>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</si>
  <si>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</si>
  <si>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</si>
  <si>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</si>
  <si>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</si>
  <si>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</si>
  <si>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</si>
  <si>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</si>
  <si>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</si>
  <si>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</si>
  <si>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</si>
  <si>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</si>
  <si>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</si>
  <si>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</si>
  <si>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(see notes below)</t>
  </si>
  <si>
    <t>Support time  (mins)</t>
  </si>
  <si>
    <t>Support time (hours) - change to current practice</t>
  </si>
  <si>
    <t>Eplontersen for treating hereditary transthyretin amyloidosis</t>
  </si>
  <si>
    <t>Vutrisiran</t>
  </si>
  <si>
    <t>Patisiran</t>
  </si>
  <si>
    <t>Inotersen</t>
  </si>
  <si>
    <t>Eplontersen</t>
  </si>
  <si>
    <t xml:space="preserve">One injection given every 3 months (4 per year). First injection given in hospital setting. </t>
  </si>
  <si>
    <t>IV every 3 weeks</t>
  </si>
  <si>
    <t>Dose per cycle /admin</t>
  </si>
  <si>
    <t>Vials per cycle</t>
  </si>
  <si>
    <t>pre-filled syringe</t>
  </si>
  <si>
    <t>Sub cut injection</t>
  </si>
  <si>
    <t>sub cut injection every 3 months</t>
  </si>
  <si>
    <t>284mg once weekly by sub cutanous injection</t>
  </si>
  <si>
    <t>once weekly by sub cut injection</t>
  </si>
  <si>
    <t>45mg sub cut injection monthly</t>
  </si>
  <si>
    <t>Subcutaneous injection - pre-filled pen 45mg. Qty 1 pre-filled pen</t>
  </si>
  <si>
    <t>Subcutaneous injection - pre-filled syringe 25mg. Qty 1 pre-filled syringe</t>
  </si>
  <si>
    <t>IV infusion 0.3mg/kg; pack size 1 x 10mg vial.</t>
  </si>
  <si>
    <t>Subcutaneous injection - pre-filled syringe 284mg. Qty 4 x 284mg  pre-filled syringes</t>
  </si>
  <si>
    <t>Company</t>
  </si>
  <si>
    <t>NHSE commissioned homecare - delivery, nursing, ancillaries</t>
  </si>
  <si>
    <t>NHSE commissioned homecare - delivery</t>
  </si>
  <si>
    <t>NHSE commissioned homecare - nursing</t>
  </si>
  <si>
    <t>NHSE commissioned homecare - ancillaries</t>
  </si>
  <si>
    <t>Administrative cost for pharmacy to deliver using a homecare pharmacy provider - overhead cost to pharmacy</t>
  </si>
  <si>
    <t>Monitoring costs associated with Inotersen treatment</t>
  </si>
  <si>
    <t>Laboratory test</t>
  </si>
  <si>
    <t>Frequency per year</t>
  </si>
  <si>
    <t>Platelet count (every 2 weeks)</t>
  </si>
  <si>
    <t>UPCR (every 3 months)</t>
  </si>
  <si>
    <t>eGFR (every 3 months)</t>
  </si>
  <si>
    <t>Hepatic enzymes (every 4 months)</t>
  </si>
  <si>
    <t xml:space="preserve">Vitamin A supplementation is advised for patients treated with vutrisiran. A similar requirement exists for patisiran.  </t>
  </si>
  <si>
    <t>The cost is therefore not included due the majority of patients receiving it in both the world with and world without scenarios.  Cost not material.</t>
  </si>
  <si>
    <t xml:space="preserve">Premedication costs for IV infusion of patisiran are not material and due to lower population numbers, are not included in the template. </t>
  </si>
  <si>
    <t>Adverse Events observed in the HELIOS-A trial for patisiran and vutrisiran were generally similar, and were therefore not incorporated into the CCA as a simplifying assumption to facilitate decision-making p72 company submission</t>
  </si>
  <si>
    <t>Assumed inotersen profile is not materially different for simplicity in modelling</t>
  </si>
  <si>
    <t>Adverse events were not incorporated into the company budget impact analysis due to the compatibility between adverse events for eplontersen and vutrisiran demonstrated through an ITC shown in sections B.3.9.6–3.9.7 of Document B of the company submission.</t>
  </si>
  <si>
    <t xml:space="preserve">Assumed hospital administration is comparable to chemo delivery SB13Z  </t>
  </si>
  <si>
    <t>Eplontersen (self administered)</t>
  </si>
  <si>
    <t>Vutrisiran (homecare nurse admin.)</t>
  </si>
  <si>
    <t>Patisiran IV NAC / Homecare nurse admin</t>
  </si>
  <si>
    <t>Inotersen (self admin)</t>
  </si>
  <si>
    <t>Nursing time per table 6 &amp; table 11 company BI sumbission</t>
  </si>
  <si>
    <t>Duration of homecare administration (minutes)</t>
  </si>
  <si>
    <t>Per TA868 - Data from NHS National Amyloidosis Centre (NAC).</t>
  </si>
  <si>
    <t>assumption</t>
  </si>
  <si>
    <t>Per patient</t>
  </si>
  <si>
    <t>Monitoring appointments associated with inotersen treatment</t>
  </si>
  <si>
    <t xml:space="preserve">Assumed </t>
  </si>
  <si>
    <r>
      <t>UPCR: urine protein creatinine ratio; eGFR: estimated glomerular filtration rate. Source: Inotersen Summary of Product Characteristics</t>
    </r>
    <r>
      <rPr>
        <vertAlign val="superscript"/>
        <sz val="8.5"/>
        <color theme="1"/>
        <rFont val="Arial"/>
        <family val="2"/>
      </rPr>
      <t>19</t>
    </r>
    <r>
      <rPr>
        <sz val="8.5"/>
        <color theme="1"/>
        <rFont val="Arial"/>
        <family val="2"/>
      </rPr>
      <t>; National Institute for Health Research (NIHR). Interactive Costing Tool (iCT)</t>
    </r>
    <r>
      <rPr>
        <vertAlign val="superscript"/>
        <sz val="8.5"/>
        <color theme="1"/>
        <rFont val="Arial"/>
        <family val="2"/>
      </rPr>
      <t>24</t>
    </r>
  </si>
  <si>
    <t>Tegsedi 284 mg solution for injection in pre-filled syringe - Summary of Product Characteristics (SmPC) - (emc) (medicines.org.uk)</t>
  </si>
  <si>
    <t>Assumed UPCR/eGFR and Hepatic enzymes monitoring takes place at platelet count visits. Also assumed patients see clinical haematologist for discussion of results every 4 months.</t>
  </si>
  <si>
    <t>General Surgery Service (blood tests - per above)</t>
  </si>
  <si>
    <t>Appointments with clinical haematologist associated with inotersen treatment</t>
  </si>
  <si>
    <t xml:space="preserve">Clinical Haematology service - follow up attendance </t>
  </si>
  <si>
    <t>Visits</t>
  </si>
  <si>
    <t>Appointments with clinical haematology specialty</t>
  </si>
  <si>
    <t>Appointments with  haematology for supervision of inotersen treatment  is a NICE assumption baced on SMPC. See unit costs sheet. Amend locally.</t>
  </si>
  <si>
    <t>supporting specialty  haematology</t>
  </si>
  <si>
    <t>Local price</t>
  </si>
  <si>
    <t>Number of preparations</t>
  </si>
  <si>
    <t>Pharmacy support (preparations)</t>
  </si>
  <si>
    <t>Haematology specialty</t>
  </si>
  <si>
    <t>Appointments with supporting specialty haematology</t>
  </si>
  <si>
    <t>Inotersen monitoring</t>
  </si>
  <si>
    <t>Appointments with haematology specialty</t>
  </si>
  <si>
    <t>Local £</t>
  </si>
  <si>
    <t>Monitoring visits</t>
  </si>
  <si>
    <t>Monitoring visits and tests (minutes)</t>
  </si>
  <si>
    <t xml:space="preserve">Inotersen </t>
  </si>
  <si>
    <t>Monitoring visits and tests (number)</t>
  </si>
  <si>
    <t>Annual hours for tests/monitoring</t>
  </si>
  <si>
    <t>Annual number of monitoring visits</t>
  </si>
  <si>
    <t>Preparations</t>
  </si>
  <si>
    <t>Number of preparations - change to current practice</t>
  </si>
  <si>
    <t>Appointments with haematologist - change to current practice</t>
  </si>
  <si>
    <t>Number of visits is a NICE assumption based on SMPC requiring supervision for inotersen treatment by physicians. Please amend locally.</t>
  </si>
  <si>
    <t>Total</t>
  </si>
  <si>
    <t xml:space="preserve">Adverse events similar to vutrisiran and therefore not included per company document B: Given the expected similarity in terms of these costs, this economic analysis submission is a cost comparison analysis (CCA) which does not include health state specific HCRU and associated costs, or AE costs in the base-case. The only HCRU differences expected between eplontersen and vutrisiran are from their different routes of administration, so this is included in the CCA. </t>
  </si>
  <si>
    <t>Capacity impact on haematology service</t>
  </si>
  <si>
    <t>Monitoring visits ( hours)</t>
  </si>
  <si>
    <t>Monitoring attendances (number) - inotersen</t>
  </si>
  <si>
    <t>Monitoring attendances (hours) - inotersen</t>
  </si>
  <si>
    <t>Attendances- change to current practice</t>
  </si>
  <si>
    <t>Patisiran IV</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</si>
  <si>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</si>
  <si>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</si>
  <si>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</si>
  <si>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</si>
  <si>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</si>
  <si>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</si>
  <si>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</si>
  <si>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</si>
  <si>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</si>
  <si>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</si>
  <si>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</si>
  <si>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</si>
  <si>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</si>
  <si>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</si>
  <si>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</si>
  <si>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</si>
  <si>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</si>
  <si>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</si>
  <si>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</si>
  <si>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</si>
  <si>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</si>
  <si>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</si>
  <si>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</si>
  <si>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Please select pay scale used in your locality (Non HCAS/HCA type) in the payscales tab. Default is Non HCAS</t>
  </si>
  <si>
    <t>People having eplontersen</t>
  </si>
  <si>
    <t>People having vutrisiran</t>
  </si>
  <si>
    <t>People having patisiran</t>
  </si>
  <si>
    <t>People having inotersen</t>
  </si>
  <si>
    <t>Split between:</t>
  </si>
  <si>
    <t>People who have started treatment in a previous year</t>
  </si>
  <si>
    <t>People who start treatment in year</t>
  </si>
  <si>
    <t>Note that the mortality rate is assumed to be equal to the number of people who start treatment each year.</t>
  </si>
  <si>
    <t>Market Share across total eligible population</t>
  </si>
  <si>
    <t>Clinical experts estimated that only newly diagnosed patients would be treated with eplontersen, as currently treated patients will remain on their existing treatment.</t>
  </si>
  <si>
    <t>Prevalence of hereditary transthyretin amyloidosis with stage 1 or 2 polyneuropathy</t>
  </si>
  <si>
    <t>Proportion of people who are diagnosed and receive treatment</t>
  </si>
  <si>
    <t>NAC patient numbers adjusted for population in England. These have been updated since TA868 using recent NAC data (November 2023).</t>
  </si>
  <si>
    <t>Eplontersen: First Approval - PMC (nih.gov)</t>
  </si>
  <si>
    <t>People starting and continuing treatment each year</t>
  </si>
  <si>
    <t>It is assumed people who stop being eligible for treatment each year is expected to be the same as the annual incidence.</t>
  </si>
  <si>
    <t>Eplontersen annual cost</t>
  </si>
  <si>
    <t>Vutrisiran annual cost</t>
  </si>
  <si>
    <t xml:space="preserve">Vutrisiran </t>
  </si>
  <si>
    <t>prices are</t>
  </si>
  <si>
    <t>on the left.</t>
  </si>
  <si>
    <t xml:space="preserve">Home care nurse administrations - annual number of cycles </t>
  </si>
  <si>
    <t xml:space="preserve">Administrations - duration of homecare  administrations (hours) </t>
  </si>
  <si>
    <t>Vutrisiran is administered by a healthcare professional and is not suitable for self-administration.</t>
  </si>
  <si>
    <t>Vutrisiran is administered by a healthcare professional and is not suitable for self-administration. Please enter local value.</t>
  </si>
  <si>
    <t>Administrations - duration of homecare  administrations (hours)</t>
  </si>
  <si>
    <t xml:space="preserve">Home care nurse administrations - number of cycles </t>
  </si>
  <si>
    <t>People starting and continuing treatment each year:</t>
  </si>
  <si>
    <t xml:space="preserve">Please note, for simplicity the percentage market share in row 64 above reflects both people starting and continuing eplontersen treatment in each year. </t>
  </si>
  <si>
    <t>Patisiran annual cost</t>
  </si>
  <si>
    <t>Number of homecare administrations per yr</t>
  </si>
  <si>
    <r>
      <rPr>
        <b/>
        <sz val="11"/>
        <color theme="1"/>
        <rFont val="Calibri"/>
        <family val="2"/>
        <scheme val="minor"/>
      </rPr>
      <t>Note:</t>
    </r>
    <r>
      <rPr>
        <sz val="11"/>
        <color theme="1"/>
        <rFont val="Calibri"/>
        <family val="2"/>
        <scheme val="minor"/>
      </rPr>
      <t xml:space="preserve"> There are an estimated 23 people diagnosed each year, who are included  within the prevalent poplulation above. It is anticipated that only people who are newly diagnosed would start treatment with eplontersen. Please see market share table below.</t>
    </r>
  </si>
  <si>
    <t>Newly diagnosed people (around 23 people a year) are included within the prevalent population in the table above.</t>
  </si>
  <si>
    <t xml:space="preserve">Local prices can be </t>
  </si>
  <si>
    <t>Selection</t>
  </si>
  <si>
    <t xml:space="preserve">Endocrine </t>
  </si>
  <si>
    <t>Amyloidosis</t>
  </si>
  <si>
    <t>Adults with stage 1 or 2 polyneuropathy</t>
  </si>
  <si>
    <t>Subcutaneous injection</t>
  </si>
  <si>
    <t>National Amyloidosis Centre</t>
  </si>
  <si>
    <t>NHS England</t>
  </si>
  <si>
    <t>4B Endocrine, Nutritional and Metabolic Problems - Endocrine</t>
  </si>
  <si>
    <t>30 days</t>
  </si>
  <si>
    <t>Published: November  2024</t>
  </si>
  <si>
    <t xml:space="preserve">Inotersen is delivered to patients via a homecare service outsourced from the local pharmacy.  Some administration/management of this arrangement will be required by the pharmacy. </t>
  </si>
  <si>
    <t>Eplontersen is self-administered by subcutaneous injection and does not require additional capacity from the National Amyloidosis Centre (NAC) pharmacy. Like other approved silencers, a prescription for eplontersen can be written for a minimum of six months and potentially up to twelve months, including all required doses for the period. Once the prescription is issued, it is sent directly to the AstraZeneca-funded homecare provider, Healthnet, who will then handle the administrative setup in their system and dispense and deliver the product to the patient’s home according to the prescription.There is no monthly precription needed and the process does not necessitate monthly pharmacy interventions. There is no additionalpharmacy  capacity demand for eplontersen.</t>
  </si>
  <si>
    <t>Assume inotersen drug delivered to patient using a homecare pharmacy service that causes hospital pharmacy to incur an administrative cost of £50/month to manage</t>
  </si>
  <si>
    <t>The longer-term safety and tolerability of eplontersen will be evaluated in the 36-month open-label extension of  trial (NCT05667493). It is therefore assumed people could receive treatment  over a five year time horizon - see link below:</t>
  </si>
  <si>
    <t>Patisiran admin: All health care professionals (HCPs) and patients are provided with educational materials in order to ensure the safe and sustainable administration of the product in the home setting, aiming at preventing and/or minimising the important identified risk of Infusion Related Reactions (IRRs). Please enter costs locally.</t>
  </si>
  <si>
    <t>Outpatient - TFC 100 / WF01A</t>
  </si>
  <si>
    <t>Outpatient - TFC 303 / WF01A</t>
  </si>
  <si>
    <r>
      <rPr>
        <b/>
        <sz val="11"/>
        <color theme="1"/>
        <rFont val="Calibri"/>
        <family val="2"/>
        <scheme val="minor"/>
      </rPr>
      <t>Note:</t>
    </r>
    <r>
      <rPr>
        <sz val="11"/>
        <color theme="1"/>
        <rFont val="Calibri"/>
        <family val="2"/>
        <scheme val="minor"/>
      </rPr>
      <t xml:space="preserve"> VAT costs for the initial dose of treatments which are given in the acute setting are not significant due to the small number of people treated. For simplicity the annual costs after year 1 are included below. </t>
    </r>
  </si>
  <si>
    <t>NHS England national tariff payment system</t>
  </si>
  <si>
    <t>Inotersen (SC injection)</t>
  </si>
  <si>
    <t>People having the other treatment options</t>
  </si>
  <si>
    <t>TA1020</t>
  </si>
  <si>
    <t>Local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</si>
</sst>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_ ;\-#,##0.0\ "/>
    <numFmt numFmtId="176" formatCode="0.0000%"/>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sz val="8.5"/>
      <color theme="1"/>
      <name val="Arial"/>
      <family val="2"/>
    </font>
    <font>
      <vertAlign val="superscript"/>
      <sz val="8.5"/>
      <color theme="1"/>
      <name val="Arial"/>
      <family val="2"/>
    </font>
    <font>
      <sz val="10"/>
      <color indexed="8"/>
      <name val="Arial"/>
      <family val="2"/>
    </font>
    <font>
      <b/>
      <sz val="11"/>
      <color theme="1"/>
      <name val="Aptos Narrow"/>
      <family val="2"/>
    </font>
    <font>
      <b/>
      <sz val="11"/>
      <name val="Aptos Narrow"/>
      <family val="2"/>
    </font>
    <font>
      <b/>
      <sz val="9"/>
      <color indexed="81"/>
      <name val="Tahoma"/>
      <family val="2"/>
    </font>
    <font>
      <b/>
      <u/>
      <sz val="11"/>
      <color theme="1"/>
      <name val="Calibri"/>
      <family val="2"/>
      <scheme val="minor"/>
    </font>
    <font>
      <sz val="12"/>
      <color rgb="FF212121"/>
      <name val="Calibri"/>
      <family val="2"/>
    </font>
    <font>
      <sz val="12"/>
      <color theme="1"/>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15">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55" fillId="0" borderId="0" xfId="72" applyFont="1" applyFill="1" applyAlignment="1" applyProtection="1">
      <alignment vertical="top"/>
    </xf>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1" borderId="17" xfId="0" applyFont="1" applyFill="1" applyBorder="1"/>
    <xf numFmtId="0" fontId="39" fillId="41" borderId="0" xfId="0" applyFont="1" applyFill="1"/>
    <xf numFmtId="0" fontId="39" fillId="42" borderId="17" xfId="0" applyFont="1" applyFill="1" applyBorder="1"/>
    <xf numFmtId="0" fontId="39" fillId="42"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1" borderId="0" xfId="0" applyFill="1"/>
    <xf numFmtId="0" fontId="0" fillId="42"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1" borderId="20" xfId="0" applyNumberFormat="1"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0" fontId="0" fillId="24" borderId="12"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1" borderId="12" xfId="0" applyFont="1" applyFill="1" applyBorder="1" applyAlignment="1">
      <alignment horizontal="left" vertical="center"/>
    </xf>
    <xf numFmtId="0" fontId="39" fillId="41" borderId="0" xfId="82" applyFont="1" applyFill="1"/>
    <xf numFmtId="0" fontId="39" fillId="42" borderId="0" xfId="82" applyFont="1" applyFill="1"/>
    <xf numFmtId="0" fontId="0" fillId="0" borderId="35" xfId="0" applyBorder="1"/>
    <xf numFmtId="0" fontId="0" fillId="43" borderId="0" xfId="0" applyFill="1"/>
    <xf numFmtId="0" fontId="48" fillId="43" borderId="12" xfId="0" applyFont="1" applyFill="1" applyBorder="1" applyAlignment="1">
      <alignment horizontal="left" vertical="center"/>
    </xf>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39" fillId="43" borderId="17" xfId="0" applyFont="1" applyFill="1" applyBorder="1"/>
    <xf numFmtId="168" fontId="2" fillId="0" borderId="0" xfId="82" applyNumberFormat="1"/>
    <xf numFmtId="3" fontId="0" fillId="39" borderId="11" xfId="0" applyNumberFormat="1" applyFill="1"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4"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3" borderId="17" xfId="0" applyFill="1" applyBorder="1"/>
    <xf numFmtId="0" fontId="44" fillId="40" borderId="20" xfId="0" applyFont="1" applyFill="1" applyBorder="1" applyAlignment="1">
      <alignment horizontal="left"/>
    </xf>
    <xf numFmtId="0" fontId="44" fillId="41" borderId="12" xfId="0" applyFont="1" applyFill="1" applyBorder="1" applyAlignment="1">
      <alignment horizontal="left"/>
    </xf>
    <xf numFmtId="0" fontId="39" fillId="41"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0" fontId="39" fillId="43"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1" borderId="11" xfId="0" applyFill="1" applyBorder="1" applyAlignment="1">
      <alignment horizontal="center"/>
    </xf>
    <xf numFmtId="0" fontId="0" fillId="42" borderId="11" xfId="0" applyFill="1" applyBorder="1" applyAlignment="1">
      <alignment horizontal="center"/>
    </xf>
    <xf numFmtId="0" fontId="44" fillId="24" borderId="11" xfId="0" applyFont="1" applyFill="1" applyBorder="1" applyAlignment="1">
      <alignment horizontal="center" wrapText="1"/>
    </xf>
    <xf numFmtId="0" fontId="0" fillId="43"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1" borderId="11" xfId="0" applyNumberFormat="1" applyFill="1" applyBorder="1"/>
    <xf numFmtId="3" fontId="0" fillId="42"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3" borderId="11" xfId="0" applyNumberFormat="1" applyFill="1" applyBorder="1"/>
    <xf numFmtId="0" fontId="39" fillId="41" borderId="10" xfId="0" applyFont="1" applyFill="1" applyBorder="1"/>
    <xf numFmtId="0" fontId="39" fillId="41" borderId="14" xfId="0" applyFont="1" applyFill="1" applyBorder="1"/>
    <xf numFmtId="0" fontId="0" fillId="40" borderId="17" xfId="0" applyFill="1" applyBorder="1"/>
    <xf numFmtId="0" fontId="0" fillId="40" borderId="14" xfId="0" applyFill="1" applyBorder="1"/>
    <xf numFmtId="0" fontId="0" fillId="41" borderId="14" xfId="0" applyFill="1" applyBorder="1"/>
    <xf numFmtId="0" fontId="39" fillId="43" borderId="10" xfId="0" applyFont="1"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1"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3" fontId="44" fillId="41" borderId="17" xfId="0" applyNumberFormat="1" applyFont="1" applyFill="1" applyBorder="1"/>
    <xf numFmtId="3" fontId="44" fillId="42" borderId="17" xfId="0" applyNumberFormat="1" applyFont="1" applyFill="1" applyBorder="1"/>
    <xf numFmtId="3" fontId="44" fillId="43"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46" fillId="24" borderId="16" xfId="82" applyFont="1" applyFill="1" applyBorder="1" applyAlignment="1">
      <alignment horizontal="center"/>
    </xf>
    <xf numFmtId="0" fontId="6" fillId="24" borderId="19" xfId="82" applyFont="1" applyFill="1" applyBorder="1"/>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7"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5" borderId="11" xfId="0" applyFont="1" applyFill="1" applyBorder="1" applyAlignment="1">
      <alignment horizontal="left"/>
    </xf>
    <xf numFmtId="10" fontId="29" fillId="45"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0" borderId="17" xfId="0" applyBorder="1" applyAlignment="1">
      <alignment horizontal="center" vertical="center"/>
    </xf>
    <xf numFmtId="0" fontId="0" fillId="0" borderId="20" xfId="0" applyBorder="1" applyAlignment="1">
      <alignment horizontal="center" vertical="center"/>
    </xf>
    <xf numFmtId="10" fontId="29" fillId="45" borderId="11" xfId="0" applyNumberFormat="1" applyFont="1" applyFill="1" applyBorder="1"/>
    <xf numFmtId="171" fontId="29" fillId="45" borderId="11" xfId="0" applyNumberFormat="1" applyFont="1" applyFill="1" applyBorder="1" applyAlignment="1">
      <alignment horizontal="center"/>
    </xf>
    <xf numFmtId="0" fontId="29" fillId="45" borderId="0" xfId="0" applyFont="1" applyFill="1" applyAlignment="1">
      <alignment horizontal="lef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1" borderId="21" xfId="0" applyFont="1" applyFill="1" applyBorder="1"/>
    <xf numFmtId="0" fontId="0" fillId="42" borderId="21" xfId="0" applyFill="1" applyBorder="1"/>
    <xf numFmtId="0" fontId="0" fillId="43" borderId="21" xfId="0" applyFill="1" applyBorder="1"/>
    <xf numFmtId="0" fontId="44" fillId="40" borderId="21" xfId="0" applyFont="1" applyFill="1" applyBorder="1"/>
    <xf numFmtId="0" fontId="44" fillId="0" borderId="35"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70" fontId="46" fillId="0" borderId="15" xfId="82" applyNumberFormat="1" applyFont="1" applyBorder="1"/>
    <xf numFmtId="0" fontId="46" fillId="24" borderId="11" xfId="0" applyFont="1" applyFill="1" applyBorder="1" applyAlignment="1">
      <alignment horizontal="center" wrapText="1"/>
    </xf>
    <xf numFmtId="10" fontId="0" fillId="0" borderId="0" xfId="92" applyNumberFormat="1" applyFont="1" applyFill="1" applyBorder="1"/>
    <xf numFmtId="169" fontId="0" fillId="0" borderId="0" xfId="0" applyNumberFormat="1"/>
    <xf numFmtId="0" fontId="28" fillId="0" borderId="0" xfId="72" applyBorder="1" applyAlignment="1" applyProtection="1"/>
    <xf numFmtId="0" fontId="0" fillId="0" borderId="0" xfId="0" applyAlignment="1">
      <alignment horizontal="center"/>
    </xf>
    <xf numFmtId="3" fontId="0" fillId="39" borderId="31" xfId="0" applyNumberFormat="1" applyFill="1" applyBorder="1" applyAlignment="1">
      <alignment horizontal="right"/>
    </xf>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3" fontId="0" fillId="39" borderId="32" xfId="0" applyNumberFormat="1" applyFill="1" applyBorder="1" applyAlignment="1">
      <alignment horizontal="right"/>
    </xf>
    <xf numFmtId="0" fontId="59" fillId="24" borderId="17" xfId="0" applyFont="1" applyFill="1" applyBorder="1"/>
    <xf numFmtId="0" fontId="59" fillId="0" borderId="18" xfId="0" applyFont="1" applyBorder="1"/>
    <xf numFmtId="0" fontId="59"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5"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5"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3" borderId="11" xfId="0" applyNumberFormat="1" applyFont="1" applyFill="1" applyBorder="1" applyAlignment="1">
      <alignment horizontal="center"/>
    </xf>
    <xf numFmtId="0" fontId="29" fillId="43" borderId="0" xfId="0" applyFont="1" applyFill="1" applyAlignment="1">
      <alignment horizontal="center"/>
    </xf>
    <xf numFmtId="0" fontId="29" fillId="24" borderId="11" xfId="0" applyFont="1" applyFill="1" applyBorder="1" applyAlignment="1">
      <alignment horizontal="center" wrapText="1"/>
    </xf>
    <xf numFmtId="0" fontId="29" fillId="43"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3" xfId="0" applyFill="1" applyBorder="1" applyProtection="1">
      <protection locked="0"/>
    </xf>
    <xf numFmtId="0" fontId="0" fillId="39" borderId="33" xfId="0" applyFill="1" applyBorder="1" applyProtection="1">
      <protection locked="0"/>
    </xf>
    <xf numFmtId="0" fontId="0" fillId="39" borderId="11" xfId="0" applyFill="1" applyBorder="1" applyProtection="1">
      <protection locked="0"/>
    </xf>
    <xf numFmtId="0" fontId="0" fillId="39" borderId="41" xfId="0" applyFill="1" applyBorder="1" applyProtection="1">
      <protection locked="0"/>
    </xf>
    <xf numFmtId="0" fontId="0" fillId="39" borderId="34" xfId="0" applyFill="1" applyBorder="1" applyProtection="1">
      <protection locked="0"/>
    </xf>
    <xf numFmtId="9" fontId="58" fillId="39" borderId="11" xfId="92" applyFont="1" applyFill="1" applyBorder="1" applyProtection="1">
      <protection locked="0"/>
    </xf>
    <xf numFmtId="169" fontId="0" fillId="39" borderId="11" xfId="0" applyNumberFormat="1" applyFill="1" applyBorder="1" applyProtection="1">
      <protection locked="0"/>
    </xf>
    <xf numFmtId="9" fontId="0" fillId="39" borderId="42" xfId="0" applyNumberFormat="1" applyFill="1" applyBorder="1" applyAlignment="1" applyProtection="1">
      <alignment horizontal="right"/>
      <protection locked="0"/>
    </xf>
    <xf numFmtId="9" fontId="0" fillId="39" borderId="31" xfId="0" applyNumberFormat="1" applyFill="1" applyBorder="1" applyAlignment="1" applyProtection="1">
      <alignment horizontal="right"/>
      <protection locked="0"/>
    </xf>
    <xf numFmtId="0" fontId="0" fillId="39" borderId="40" xfId="0" applyFill="1" applyBorder="1" applyProtection="1">
      <protection locked="0"/>
    </xf>
    <xf numFmtId="0" fontId="0" fillId="39" borderId="32" xfId="0" applyFill="1" applyBorder="1" applyProtection="1">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6" fillId="39" borderId="20" xfId="82" applyFont="1" applyFill="1" applyBorder="1" applyAlignment="1" applyProtection="1">
      <alignment horizontal="left"/>
      <protection locked="0"/>
    </xf>
    <xf numFmtId="165" fontId="46" fillId="0" borderId="0" xfId="82" applyNumberFormat="1" applyFont="1"/>
    <xf numFmtId="0" fontId="44" fillId="24" borderId="17" xfId="0" applyFont="1" applyFill="1" applyBorder="1"/>
    <xf numFmtId="0" fontId="46" fillId="0" borderId="21" xfId="82" applyFont="1" applyBorder="1"/>
    <xf numFmtId="169" fontId="0" fillId="39" borderId="33" xfId="0" applyNumberFormat="1" applyFill="1" applyBorder="1" applyProtection="1">
      <protection locked="0"/>
    </xf>
    <xf numFmtId="169" fontId="0" fillId="39" borderId="34" xfId="0" applyNumberFormat="1" applyFill="1" applyBorder="1" applyProtection="1">
      <protection locked="0"/>
    </xf>
    <xf numFmtId="0" fontId="46" fillId="0" borderId="10" xfId="82" applyFont="1" applyBorder="1"/>
    <xf numFmtId="0" fontId="48" fillId="0" borderId="44" xfId="82" applyFont="1" applyBorder="1"/>
    <xf numFmtId="0" fontId="46" fillId="0" borderId="45" xfId="82" applyFont="1" applyBorder="1"/>
    <xf numFmtId="0" fontId="46" fillId="0" borderId="46"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8" fillId="24" borderId="12" xfId="82" applyFont="1" applyFill="1" applyBorder="1" applyAlignment="1">
      <alignment horizontal="center" wrapText="1"/>
    </xf>
    <xf numFmtId="3" fontId="46" fillId="39" borderId="12" xfId="82" applyNumberFormat="1" applyFont="1" applyFill="1" applyBorder="1" applyProtection="1">
      <protection locked="0"/>
    </xf>
    <xf numFmtId="165" fontId="48" fillId="0" borderId="0" xfId="82" applyNumberFormat="1" applyFont="1"/>
    <xf numFmtId="0" fontId="46" fillId="0" borderId="22" xfId="82" applyFont="1" applyBorder="1"/>
    <xf numFmtId="0" fontId="48" fillId="24" borderId="24" xfId="82" applyFont="1" applyFill="1" applyBorder="1" applyAlignment="1">
      <alignment horizontal="center"/>
    </xf>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3" fontId="46" fillId="0" borderId="10" xfId="82" applyNumberFormat="1" applyFont="1" applyBorder="1"/>
    <xf numFmtId="0" fontId="46" fillId="0" borderId="47" xfId="82" applyFont="1" applyBorder="1"/>
    <xf numFmtId="165" fontId="46" fillId="0" borderId="48" xfId="82" applyNumberFormat="1" applyFont="1" applyBorder="1"/>
    <xf numFmtId="3" fontId="46" fillId="0" borderId="47" xfId="82" applyNumberFormat="1" applyFont="1" applyBorder="1"/>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28" fillId="0" borderId="0" xfId="72" applyFill="1" applyAlignment="1" applyProtection="1">
      <alignment vertical="top"/>
    </xf>
    <xf numFmtId="0" fontId="44" fillId="24" borderId="11" xfId="0" quotePrefix="1" applyFont="1" applyFill="1" applyBorder="1" applyAlignment="1">
      <alignment horizontal="center"/>
    </xf>
    <xf numFmtId="1" fontId="0" fillId="0" borderId="11" xfId="0" applyNumberFormat="1" applyBorder="1"/>
    <xf numFmtId="9" fontId="0" fillId="0" borderId="39" xfId="0" applyNumberFormat="1" applyBorder="1"/>
    <xf numFmtId="9" fontId="27" fillId="0" borderId="39"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70" fillId="42" borderId="0" xfId="0" applyFont="1" applyFill="1"/>
    <xf numFmtId="0" fontId="70" fillId="42" borderId="20" xfId="0" applyFont="1" applyFill="1" applyBorder="1" applyAlignment="1">
      <alignment horizontal="center"/>
    </xf>
    <xf numFmtId="4" fontId="70" fillId="42" borderId="20" xfId="0" applyNumberFormat="1" applyFont="1" applyFill="1" applyBorder="1"/>
    <xf numFmtId="164" fontId="70" fillId="42" borderId="20" xfId="0" applyNumberFormat="1" applyFont="1" applyFill="1" applyBorder="1"/>
    <xf numFmtId="0" fontId="70" fillId="42" borderId="20" xfId="0" applyFont="1" applyFill="1" applyBorder="1"/>
    <xf numFmtId="0" fontId="70" fillId="42" borderId="17" xfId="0" applyFont="1" applyFill="1" applyBorder="1"/>
    <xf numFmtId="0" fontId="48" fillId="42" borderId="12" xfId="0" applyFont="1" applyFill="1" applyBorder="1" applyAlignment="1">
      <alignment horizontal="left" vertical="center"/>
    </xf>
    <xf numFmtId="175" fontId="46" fillId="39" borderId="24" xfId="56" applyNumberFormat="1" applyFont="1" applyFill="1" applyBorder="1" applyProtection="1">
      <protection locked="0"/>
    </xf>
    <xf numFmtId="43" fontId="2" fillId="25" borderId="0" xfId="82" applyNumberFormat="1" applyFill="1"/>
    <xf numFmtId="43" fontId="2" fillId="0" borderId="0" xfId="82" applyNumberFormat="1"/>
    <xf numFmtId="1" fontId="46" fillId="39" borderId="11" xfId="82" applyNumberFormat="1" applyFont="1" applyFill="1" applyBorder="1" applyProtection="1">
      <protection locked="0"/>
    </xf>
    <xf numFmtId="4" fontId="46" fillId="39" borderId="11" xfId="82" applyNumberFormat="1" applyFont="1" applyFill="1" applyBorder="1" applyAlignment="1">
      <alignment horizontal="right"/>
    </xf>
    <xf numFmtId="0" fontId="46" fillId="39" borderId="24" xfId="82" applyFont="1" applyFill="1" applyBorder="1" applyAlignment="1" applyProtection="1">
      <alignment horizontal="center" wrapText="1"/>
      <protection locked="0"/>
    </xf>
    <xf numFmtId="0" fontId="0" fillId="39" borderId="11" xfId="0" applyFill="1" applyBorder="1"/>
    <xf numFmtId="0" fontId="46" fillId="39" borderId="17" xfId="82" applyFont="1" applyFill="1" applyBorder="1" applyAlignment="1" applyProtection="1">
      <alignment horizontal="center" wrapText="1"/>
      <protection locked="0"/>
    </xf>
    <xf numFmtId="0" fontId="46" fillId="39" borderId="11" xfId="82" applyFont="1" applyFill="1" applyBorder="1" applyAlignment="1">
      <alignment vertical="top"/>
    </xf>
    <xf numFmtId="166" fontId="46" fillId="0" borderId="12" xfId="56" applyNumberFormat="1" applyFont="1" applyFill="1" applyBorder="1" applyAlignment="1" applyProtection="1">
      <alignment horizontal="center"/>
      <protection locked="0"/>
    </xf>
    <xf numFmtId="0" fontId="58" fillId="0" borderId="11" xfId="82" applyFont="1" applyBorder="1" applyProtection="1">
      <protection locked="0"/>
    </xf>
    <xf numFmtId="0" fontId="6" fillId="0" borderId="20" xfId="82" applyFont="1" applyBorder="1" applyAlignment="1" applyProtection="1">
      <alignment horizontal="right"/>
      <protection locked="0"/>
    </xf>
    <xf numFmtId="166" fontId="6" fillId="0" borderId="20" xfId="56" applyNumberFormat="1" applyFont="1" applyFill="1" applyBorder="1" applyProtection="1">
      <protection locked="0"/>
    </xf>
    <xf numFmtId="0" fontId="6" fillId="0" borderId="20" xfId="82" applyFont="1" applyBorder="1" applyProtection="1">
      <protection locked="0"/>
    </xf>
    <xf numFmtId="166" fontId="6" fillId="0" borderId="17" xfId="56" applyNumberFormat="1" applyFont="1" applyFill="1" applyBorder="1" applyProtection="1">
      <protection locked="0"/>
    </xf>
    <xf numFmtId="165" fontId="46" fillId="0" borderId="11" xfId="82" applyNumberFormat="1" applyFont="1" applyBorder="1" applyProtection="1">
      <protection locked="0"/>
    </xf>
    <xf numFmtId="165" fontId="48" fillId="0" borderId="11" xfId="82" applyNumberFormat="1" applyFont="1" applyBorder="1" applyProtection="1">
      <protection locked="0"/>
    </xf>
    <xf numFmtId="0" fontId="27" fillId="0" borderId="11" xfId="0" applyFont="1" applyBorder="1"/>
    <xf numFmtId="0" fontId="27" fillId="0" borderId="20" xfId="0" applyFont="1" applyBorder="1"/>
    <xf numFmtId="0" fontId="27" fillId="39" borderId="20" xfId="0" applyFont="1" applyFill="1" applyBorder="1"/>
    <xf numFmtId="165" fontId="46" fillId="39" borderId="20" xfId="82" applyNumberFormat="1" applyFont="1" applyFill="1" applyBorder="1"/>
    <xf numFmtId="2" fontId="46" fillId="39" borderId="20" xfId="82" applyNumberFormat="1" applyFont="1" applyFill="1" applyBorder="1"/>
    <xf numFmtId="165" fontId="46" fillId="39" borderId="17" xfId="82" applyNumberFormat="1" applyFont="1" applyFill="1" applyBorder="1"/>
    <xf numFmtId="0" fontId="48" fillId="0" borderId="11" xfId="82" applyFont="1" applyBorder="1" applyProtection="1">
      <protection locked="0"/>
    </xf>
    <xf numFmtId="0" fontId="39" fillId="0" borderId="20" xfId="82" applyFont="1" applyBorder="1"/>
    <xf numFmtId="3" fontId="46" fillId="0" borderId="20" xfId="82" applyNumberFormat="1" applyFont="1" applyBorder="1"/>
    <xf numFmtId="165" fontId="46" fillId="0" borderId="20" xfId="82" applyNumberFormat="1" applyFont="1" applyBorder="1" applyAlignment="1">
      <alignment horizontal="right"/>
    </xf>
    <xf numFmtId="0" fontId="46" fillId="0" borderId="12" xfId="82" applyFont="1" applyBorder="1" applyAlignment="1" applyProtection="1">
      <alignment horizontal="left"/>
      <protection locked="0"/>
    </xf>
    <xf numFmtId="2" fontId="27" fillId="39" borderId="12" xfId="0" applyNumberFormat="1" applyFont="1" applyFill="1" applyBorder="1"/>
    <xf numFmtId="165" fontId="48" fillId="0" borderId="22" xfId="82" applyNumberFormat="1" applyFont="1" applyBorder="1" applyAlignment="1">
      <alignment horizontal="right"/>
    </xf>
    <xf numFmtId="0" fontId="48" fillId="0" borderId="15" xfId="82" applyFont="1" applyBorder="1" applyProtection="1">
      <protection locked="0"/>
    </xf>
    <xf numFmtId="2" fontId="27" fillId="39" borderId="11" xfId="0" applyNumberFormat="1" applyFont="1" applyFill="1" applyBorder="1"/>
    <xf numFmtId="0" fontId="48" fillId="0" borderId="12" xfId="82" applyFont="1" applyBorder="1" applyAlignment="1">
      <alignment horizontal="center" wrapText="1"/>
    </xf>
    <xf numFmtId="0" fontId="46" fillId="0" borderId="12" xfId="82" applyFont="1" applyBorder="1" applyAlignment="1">
      <alignment wrapText="1"/>
    </xf>
    <xf numFmtId="0" fontId="58" fillId="0" borderId="0" xfId="0" applyFont="1" applyAlignment="1">
      <alignment vertical="center"/>
    </xf>
    <xf numFmtId="0" fontId="46" fillId="0" borderId="0" xfId="82" applyFont="1" applyAlignment="1">
      <alignment vertical="top"/>
    </xf>
    <xf numFmtId="0" fontId="46" fillId="24" borderId="15" xfId="82" applyFont="1" applyFill="1" applyBorder="1" applyAlignment="1">
      <alignment horizontal="center"/>
    </xf>
    <xf numFmtId="165" fontId="48" fillId="39" borderId="39" xfId="82" applyNumberFormat="1" applyFont="1" applyFill="1" applyBorder="1" applyProtection="1">
      <protection locked="0"/>
    </xf>
    <xf numFmtId="165" fontId="48" fillId="0" borderId="19" xfId="82" applyNumberFormat="1" applyFont="1" applyBorder="1"/>
    <xf numFmtId="0" fontId="48" fillId="39" borderId="12" xfId="82" applyFont="1" applyFill="1" applyBorder="1" applyProtection="1">
      <protection locked="0"/>
    </xf>
    <xf numFmtId="10" fontId="0" fillId="39" borderId="0" xfId="92" applyNumberFormat="1" applyFont="1" applyFill="1" applyBorder="1" applyProtection="1">
      <protection locked="0"/>
    </xf>
    <xf numFmtId="0" fontId="0" fillId="24" borderId="13" xfId="0" applyFill="1" applyBorder="1" applyAlignment="1">
      <alignment horizontal="center" wrapText="1"/>
    </xf>
    <xf numFmtId="3" fontId="0" fillId="24" borderId="12" xfId="0" applyNumberFormat="1" applyFill="1" applyBorder="1"/>
    <xf numFmtId="3" fontId="0" fillId="0" borderId="12" xfId="0" applyNumberFormat="1" applyBorder="1"/>
    <xf numFmtId="3" fontId="0" fillId="39" borderId="12" xfId="0" applyNumberFormat="1" applyFill="1" applyBorder="1" applyProtection="1">
      <protection locked="0"/>
    </xf>
    <xf numFmtId="3" fontId="0" fillId="39" borderId="12" xfId="0" applyNumberFormat="1" applyFill="1" applyBorder="1"/>
    <xf numFmtId="3" fontId="44" fillId="0" borderId="12" xfId="0" applyNumberFormat="1" applyFont="1" applyBorder="1"/>
    <xf numFmtId="0" fontId="0" fillId="39" borderId="19" xfId="0" applyFill="1" applyBorder="1" applyProtection="1">
      <protection locked="0"/>
    </xf>
    <xf numFmtId="3" fontId="44" fillId="0" borderId="11" xfId="0" applyNumberFormat="1" applyFont="1" applyBorder="1" applyAlignment="1">
      <alignment horizontal="right"/>
    </xf>
    <xf numFmtId="0" fontId="0" fillId="24" borderId="32" xfId="0" applyFill="1" applyBorder="1" applyAlignment="1" applyProtection="1">
      <alignment horizontal="center" wrapText="1"/>
      <protection locked="0"/>
    </xf>
    <xf numFmtId="164" fontId="0" fillId="24" borderId="11" xfId="0" applyNumberFormat="1" applyFill="1" applyBorder="1" applyProtection="1">
      <protection locked="0"/>
    </xf>
    <xf numFmtId="2" fontId="0" fillId="39" borderId="11" xfId="0" applyNumberFormat="1" applyFill="1" applyBorder="1" applyProtection="1">
      <protection locked="0"/>
    </xf>
    <xf numFmtId="0" fontId="71" fillId="0" borderId="0" xfId="0" applyFont="1" applyAlignment="1">
      <alignment vertical="center"/>
    </xf>
    <xf numFmtId="0" fontId="44" fillId="0" borderId="0" xfId="0" applyFont="1" applyAlignment="1">
      <alignment horizontal="center"/>
    </xf>
    <xf numFmtId="0" fontId="48" fillId="0" borderId="11" xfId="82" applyFont="1" applyBorder="1" applyAlignment="1">
      <alignment horizontal="center" wrapText="1"/>
    </xf>
    <xf numFmtId="1" fontId="46" fillId="0" borderId="11" xfId="82" applyNumberFormat="1" applyFont="1" applyBorder="1" applyAlignment="1">
      <alignment wrapText="1"/>
    </xf>
    <xf numFmtId="0" fontId="46" fillId="0" borderId="11" xfId="82" applyFont="1" applyBorder="1" applyAlignment="1">
      <alignment wrapText="1"/>
    </xf>
    <xf numFmtId="0" fontId="58" fillId="0" borderId="0" xfId="72" applyFont="1" applyAlignment="1" applyProtection="1"/>
    <xf numFmtId="166" fontId="6" fillId="0" borderId="19" xfId="56" applyNumberFormat="1" applyFont="1" applyFill="1" applyBorder="1"/>
    <xf numFmtId="166" fontId="6" fillId="24" borderId="11" xfId="56" applyNumberFormat="1" applyFont="1" applyFill="1" applyBorder="1" applyAlignment="1">
      <alignment horizontal="right"/>
    </xf>
    <xf numFmtId="166" fontId="6" fillId="39" borderId="19" xfId="56" applyNumberFormat="1" applyFont="1" applyFill="1" applyBorder="1"/>
    <xf numFmtId="166" fontId="6" fillId="39" borderId="11" xfId="56" applyNumberFormat="1" applyFont="1" applyFill="1" applyBorder="1"/>
    <xf numFmtId="0" fontId="0" fillId="39" borderId="50" xfId="0" applyFill="1" applyBorder="1" applyProtection="1">
      <protection locked="0"/>
    </xf>
    <xf numFmtId="165" fontId="27" fillId="0" borderId="17" xfId="0" applyNumberFormat="1" applyFont="1" applyBorder="1" applyAlignment="1">
      <alignment wrapText="1"/>
    </xf>
    <xf numFmtId="3" fontId="46" fillId="0" borderId="35" xfId="0" applyNumberFormat="1" applyFont="1" applyBorder="1" applyAlignment="1">
      <alignment horizontal="right" wrapText="1"/>
    </xf>
    <xf numFmtId="3" fontId="27" fillId="0" borderId="11" xfId="0" applyNumberFormat="1" applyFont="1" applyBorder="1" applyAlignment="1">
      <alignment horizontal="right" wrapText="1"/>
    </xf>
    <xf numFmtId="0" fontId="46" fillId="0" borderId="35" xfId="0" applyFont="1" applyBorder="1" applyAlignment="1">
      <alignment horizontal="right" wrapText="1"/>
    </xf>
    <xf numFmtId="3" fontId="0" fillId="40" borderId="20" xfId="0" applyNumberFormat="1" applyFill="1" applyBorder="1"/>
    <xf numFmtId="166" fontId="6" fillId="0" borderId="16" xfId="56" applyNumberFormat="1" applyFont="1" applyFill="1" applyBorder="1"/>
    <xf numFmtId="166" fontId="58" fillId="39" borderId="11" xfId="56" applyNumberFormat="1" applyFont="1" applyFill="1" applyBorder="1"/>
    <xf numFmtId="165" fontId="0" fillId="24" borderId="11" xfId="0" applyNumberFormat="1" applyFill="1" applyBorder="1"/>
    <xf numFmtId="164" fontId="0" fillId="24" borderId="11" xfId="0" applyNumberFormat="1" applyFill="1" applyBorder="1"/>
    <xf numFmtId="0" fontId="44" fillId="24" borderId="21" xfId="0" applyFont="1" applyFill="1" applyBorder="1"/>
    <xf numFmtId="0" fontId="46" fillId="0" borderId="0" xfId="72" applyFont="1" applyFill="1" applyAlignment="1" applyProtection="1"/>
    <xf numFmtId="176" fontId="49" fillId="39" borderId="11" xfId="0" applyNumberFormat="1" applyFont="1" applyFill="1" applyBorder="1"/>
    <xf numFmtId="164" fontId="27" fillId="0" borderId="0" xfId="0" applyNumberFormat="1" applyFont="1"/>
    <xf numFmtId="169" fontId="0" fillId="0" borderId="0" xfId="0" applyNumberFormat="1" applyProtection="1">
      <protection locked="0"/>
    </xf>
    <xf numFmtId="0" fontId="74" fillId="24" borderId="51" xfId="0" applyFont="1" applyFill="1" applyBorder="1" applyAlignment="1">
      <alignment horizontal="center" vertical="center"/>
    </xf>
    <xf numFmtId="0" fontId="40" fillId="24" borderId="48" xfId="0" applyFont="1" applyFill="1" applyBorder="1" applyAlignment="1">
      <alignment vertical="center"/>
    </xf>
    <xf numFmtId="170" fontId="46" fillId="0" borderId="24" xfId="57" applyNumberFormat="1" applyFont="1" applyFill="1" applyBorder="1" applyProtection="1"/>
    <xf numFmtId="170" fontId="46" fillId="39" borderId="39" xfId="57" applyNumberFormat="1" applyFont="1" applyFill="1" applyBorder="1" applyAlignment="1" applyProtection="1">
      <alignment horizontal="right"/>
    </xf>
    <xf numFmtId="0" fontId="75" fillId="0" borderId="0" xfId="0" applyFont="1" applyAlignment="1">
      <alignment vertical="center"/>
    </xf>
    <xf numFmtId="170" fontId="46" fillId="39" borderId="39" xfId="57" applyNumberFormat="1" applyFont="1" applyFill="1" applyBorder="1" applyProtection="1"/>
    <xf numFmtId="10" fontId="46" fillId="39" borderId="39" xfId="92" applyNumberFormat="1" applyFont="1" applyFill="1" applyBorder="1" applyProtection="1"/>
    <xf numFmtId="170" fontId="46" fillId="0" borderId="28" xfId="57" applyNumberFormat="1" applyFont="1" applyFill="1" applyBorder="1" applyProtection="1"/>
    <xf numFmtId="10" fontId="46" fillId="39" borderId="27" xfId="92" applyNumberFormat="1" applyFont="1" applyFill="1" applyBorder="1" applyProtection="1"/>
    <xf numFmtId="170" fontId="0" fillId="0" borderId="0" xfId="0" applyNumberFormat="1"/>
    <xf numFmtId="43" fontId="0" fillId="0" borderId="0" xfId="0" applyNumberFormat="1"/>
    <xf numFmtId="0" fontId="44" fillId="24" borderId="52" xfId="0" applyFont="1" applyFill="1" applyBorder="1" applyAlignment="1">
      <alignment horizontal="center"/>
    </xf>
    <xf numFmtId="0" fontId="44" fillId="24" borderId="53" xfId="82" applyFont="1" applyFill="1" applyBorder="1" applyAlignment="1">
      <alignment horizontal="center"/>
    </xf>
    <xf numFmtId="0" fontId="44" fillId="24" borderId="53" xfId="110" applyFont="1" applyFill="1" applyBorder="1" applyAlignment="1">
      <alignment horizontal="center" wrapText="1"/>
    </xf>
    <xf numFmtId="3" fontId="44" fillId="24" borderId="53" xfId="110" applyNumberFormat="1" applyFont="1" applyFill="1" applyBorder="1" applyAlignment="1">
      <alignment horizontal="center" wrapText="1"/>
    </xf>
    <xf numFmtId="0" fontId="44" fillId="24" borderId="54" xfId="110" applyFont="1" applyFill="1" applyBorder="1" applyAlignment="1">
      <alignment horizontal="center" wrapText="1"/>
    </xf>
    <xf numFmtId="0" fontId="44" fillId="24" borderId="52" xfId="0" applyFont="1" applyFill="1" applyBorder="1" applyAlignment="1">
      <alignment horizontal="center" wrapText="1"/>
    </xf>
    <xf numFmtId="0" fontId="44" fillId="45" borderId="53" xfId="0" applyFont="1" applyFill="1" applyBorder="1" applyAlignment="1">
      <alignment horizontal="center" wrapText="1"/>
    </xf>
    <xf numFmtId="0" fontId="44" fillId="24" borderId="53" xfId="0" applyFont="1" applyFill="1" applyBorder="1" applyAlignment="1">
      <alignment horizontal="center" wrapText="1"/>
    </xf>
    <xf numFmtId="0" fontId="44" fillId="24" borderId="54" xfId="0" applyFont="1" applyFill="1" applyBorder="1" applyAlignment="1">
      <alignment horizontal="center" wrapText="1"/>
    </xf>
    <xf numFmtId="0" fontId="0" fillId="0" borderId="55"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49"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164" fontId="0" fillId="0" borderId="0" xfId="0" applyNumberFormat="1"/>
    <xf numFmtId="3" fontId="46" fillId="0" borderId="11" xfId="0" applyNumberFormat="1" applyFont="1" applyBorder="1" applyAlignment="1">
      <alignment horizontal="right" wrapText="1"/>
    </xf>
    <xf numFmtId="165" fontId="44" fillId="0" borderId="0" xfId="0" applyNumberFormat="1" applyFont="1"/>
    <xf numFmtId="165" fontId="27" fillId="0" borderId="0" xfId="0" applyNumberFormat="1" applyFont="1"/>
    <xf numFmtId="165" fontId="27" fillId="0" borderId="17" xfId="0" applyNumberFormat="1" applyFont="1" applyBorder="1"/>
    <xf numFmtId="3" fontId="44" fillId="0" borderId="0" xfId="0" applyNumberFormat="1" applyFont="1" applyAlignment="1">
      <alignment horizontal="right"/>
    </xf>
    <xf numFmtId="0" fontId="77" fillId="0" borderId="0" xfId="0" applyFont="1"/>
    <xf numFmtId="0" fontId="46" fillId="0" borderId="0" xfId="0" applyFont="1" applyAlignment="1">
      <alignment vertical="center"/>
    </xf>
    <xf numFmtId="9" fontId="0" fillId="39" borderId="11" xfId="92" applyFont="1" applyFill="1" applyBorder="1"/>
    <xf numFmtId="0" fontId="78" fillId="0" borderId="0" xfId="0" applyFont="1"/>
    <xf numFmtId="0" fontId="48" fillId="0" borderId="0" xfId="72" applyFont="1" applyFill="1" applyAlignment="1" applyProtection="1"/>
    <xf numFmtId="3" fontId="46" fillId="0" borderId="0" xfId="0" applyNumberFormat="1" applyFont="1"/>
    <xf numFmtId="1" fontId="0" fillId="39" borderId="56" xfId="0" applyNumberFormat="1" applyFill="1" applyBorder="1" applyAlignment="1">
      <alignment horizontal="right"/>
    </xf>
    <xf numFmtId="0" fontId="0" fillId="24" borderId="57" xfId="0" applyFill="1" applyBorder="1" applyAlignment="1">
      <alignment horizontal="center"/>
    </xf>
    <xf numFmtId="0" fontId="0" fillId="24" borderId="15" xfId="0" applyFill="1" applyBorder="1" applyAlignment="1">
      <alignment horizontal="center"/>
    </xf>
    <xf numFmtId="0" fontId="0" fillId="0" borderId="19" xfId="0" applyBorder="1" applyAlignment="1">
      <alignment horizontal="left"/>
    </xf>
    <xf numFmtId="9" fontId="0" fillId="39" borderId="0" xfId="0" applyNumberFormat="1" applyFill="1"/>
    <xf numFmtId="9" fontId="0" fillId="39" borderId="11" xfId="0" applyNumberFormat="1" applyFill="1" applyBorder="1"/>
    <xf numFmtId="0" fontId="0" fillId="0" borderId="19" xfId="0" applyBorder="1"/>
    <xf numFmtId="0" fontId="46" fillId="39" borderId="11" xfId="82" applyFont="1" applyFill="1" applyBorder="1" applyAlignment="1" applyProtection="1">
      <alignment wrapText="1"/>
      <protection locked="0"/>
    </xf>
    <xf numFmtId="0" fontId="0" fillId="40" borderId="10" xfId="0" applyFill="1" applyBorder="1"/>
    <xf numFmtId="0" fontId="0" fillId="39" borderId="31" xfId="0" applyFill="1" applyBorder="1" applyAlignment="1">
      <alignment horizontal="right"/>
    </xf>
    <xf numFmtId="0" fontId="0" fillId="0" borderId="0" xfId="0" applyAlignment="1">
      <alignment horizontal="left" wrapText="1"/>
    </xf>
    <xf numFmtId="164" fontId="0" fillId="39" borderId="11" xfId="0" applyNumberFormat="1" applyFill="1" applyBorder="1"/>
    <xf numFmtId="0" fontId="0" fillId="24" borderId="58" xfId="0" applyFill="1" applyBorder="1" applyAlignment="1">
      <alignment horizontal="right"/>
    </xf>
    <xf numFmtId="0" fontId="0" fillId="24" borderId="56" xfId="0" applyFill="1" applyBorder="1" applyAlignment="1">
      <alignment horizontal="right"/>
    </xf>
    <xf numFmtId="0" fontId="46" fillId="24" borderId="16" xfId="82" applyFont="1" applyFill="1" applyBorder="1" applyAlignment="1">
      <alignment horizontal="center" wrapText="1"/>
    </xf>
    <xf numFmtId="0" fontId="79" fillId="0" borderId="0" xfId="0" applyFont="1"/>
    <xf numFmtId="9" fontId="46" fillId="39" borderId="11" xfId="82" applyNumberFormat="1" applyFont="1" applyFill="1" applyBorder="1"/>
    <xf numFmtId="0" fontId="46" fillId="39" borderId="11" xfId="82" applyFont="1" applyFill="1" applyBorder="1"/>
    <xf numFmtId="3" fontId="44" fillId="0" borderId="30" xfId="82" applyNumberFormat="1" applyFont="1" applyBorder="1"/>
    <xf numFmtId="3" fontId="44" fillId="0" borderId="12" xfId="82" applyNumberFormat="1" applyFont="1" applyBorder="1"/>
    <xf numFmtId="3" fontId="44" fillId="0" borderId="11" xfId="82" applyNumberFormat="1" applyFont="1" applyBorder="1"/>
    <xf numFmtId="3" fontId="44" fillId="0" borderId="17" xfId="82" applyNumberFormat="1" applyFont="1" applyBorder="1"/>
    <xf numFmtId="0" fontId="0" fillId="24" borderId="59" xfId="0" applyFill="1" applyBorder="1" applyAlignment="1">
      <alignment horizontal="center"/>
    </xf>
    <xf numFmtId="0" fontId="44" fillId="0" borderId="19" xfId="0" applyFont="1" applyBorder="1" applyAlignment="1">
      <alignment horizontal="right"/>
    </xf>
    <xf numFmtId="0" fontId="44" fillId="0" borderId="0" xfId="0" applyFont="1" applyAlignment="1">
      <alignment horizontal="right"/>
    </xf>
    <xf numFmtId="10" fontId="27" fillId="0" borderId="11" xfId="92" applyNumberFormat="1" applyFont="1" applyFill="1" applyBorder="1"/>
    <xf numFmtId="0" fontId="61" fillId="0" borderId="0" xfId="0" applyFont="1" applyAlignment="1">
      <alignment horizontal="left" vertical="center" wrapText="1"/>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9" fillId="0" borderId="12" xfId="0" applyFont="1" applyBorder="1" applyAlignment="1">
      <alignment horizontal="left" vertical="center" wrapText="1"/>
    </xf>
    <xf numFmtId="0" fontId="29" fillId="0" borderId="17" xfId="0" applyFont="1" applyBorder="1" applyAlignment="1">
      <alignment horizontal="left" vertical="center" wrapText="1"/>
    </xf>
    <xf numFmtId="0" fontId="0" fillId="0" borderId="12" xfId="0" applyBorder="1" applyAlignment="1">
      <alignment horizontal="left" wrapText="1"/>
    </xf>
    <xf numFmtId="0" fontId="0" fillId="0" borderId="20" xfId="0" applyBorder="1" applyAlignment="1">
      <alignment horizontal="left" wrapText="1"/>
    </xf>
    <xf numFmtId="0" fontId="49" fillId="0" borderId="0" xfId="0" applyFont="1" applyAlignment="1">
      <alignment horizontal="left" wrapText="1"/>
    </xf>
    <xf numFmtId="0" fontId="0" fillId="0" borderId="12" xfId="0" applyBorder="1" applyAlignment="1">
      <alignment wrapText="1"/>
    </xf>
    <xf numFmtId="0" fontId="0" fillId="0" borderId="17" xfId="0" applyBorder="1"/>
    <xf numFmtId="0" fontId="0" fillId="0" borderId="35" xfId="0" applyBorder="1" applyAlignment="1">
      <alignment horizontal="left" wrapText="1"/>
    </xf>
    <xf numFmtId="0" fontId="0" fillId="0" borderId="0" xfId="0" applyAlignment="1">
      <alignment horizontal="left" wrapText="1"/>
    </xf>
    <xf numFmtId="0" fontId="46" fillId="39" borderId="11" xfId="82" applyFont="1" applyFill="1" applyBorder="1" applyAlignment="1">
      <alignment vertical="top" wrapText="1"/>
    </xf>
    <xf numFmtId="0" fontId="27" fillId="39" borderId="11" xfId="0" applyFont="1" applyFill="1" applyBorder="1" applyAlignment="1">
      <alignment wrapText="1"/>
    </xf>
    <xf numFmtId="0" fontId="73" fillId="39" borderId="12" xfId="0" applyFont="1" applyFill="1" applyBorder="1" applyAlignment="1">
      <alignment horizontal="left" wrapText="1"/>
    </xf>
    <xf numFmtId="0" fontId="73" fillId="39" borderId="20" xfId="0" applyFont="1" applyFill="1" applyBorder="1" applyAlignment="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isra.gov.uk/statistics/population/mid-year-population-estimates" TargetMode="External"/><Relationship Id="rId7" Type="http://schemas.openxmlformats.org/officeDocument/2006/relationships/comments" Target="../comments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medicines.org.uk/emc"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www.ons.gov.uk/peoplepopulationandcommunity/populationandmigration/populationprojections/bulletins/nationalpopulationprojections/2021basedinteri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cbi.nlm.nih.gov/pmc/articles/PMC11101359/" TargetMode="External"/><Relationship Id="rId3" Type="http://schemas.openxmlformats.org/officeDocument/2006/relationships/hyperlink" Target="https://bnf.nice.org.uk/" TargetMode="External"/><Relationship Id="rId7" Type="http://schemas.openxmlformats.org/officeDocument/2006/relationships/hyperlink" Target="https://www.medicines.org.uk/emc/product/10011/smpc"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s://www.england.nhs.uk/pay-syst/national-tariff/national-tariff-payment-system/"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8"/>
  <sheetViews>
    <sheetView showGridLines="0" tabSelected="1" zoomScale="80" zoomScaleNormal="80" zoomScaleSheetLayoutView="80" workbookViewId="0">
      <selection activeCell="T11" sqref="T11"/>
    </sheetView>
  </sheetViews>
  <sheetFormatPr defaultRowHeight="14.5" x14ac:dyDescent="0.35"/>
  <cols>
    <col min="1" max="1" width="1.453125" customWidth="1"/>
    <col min="2" max="2" width="1.6328125" customWidth="1"/>
    <col min="14" max="14" width="8.54296875" customWidth="1"/>
    <col min="15" max="15" width="1.54296875" customWidth="1"/>
    <col min="16" max="16" width="1.453125" customWidth="1"/>
    <col min="21" max="21" width="31" customWidth="1"/>
  </cols>
  <sheetData>
    <row r="2" spans="2:15" x14ac:dyDescent="0.35">
      <c r="B2" s="172"/>
      <c r="C2" s="309"/>
      <c r="D2" s="309"/>
      <c r="E2" s="309"/>
      <c r="F2" s="309"/>
      <c r="G2" s="309"/>
      <c r="H2" s="309"/>
      <c r="I2" s="309"/>
      <c r="J2" s="309"/>
      <c r="K2" s="309"/>
      <c r="L2" s="309"/>
      <c r="M2" s="309"/>
      <c r="N2" s="309"/>
      <c r="O2" s="157"/>
    </row>
    <row r="3" spans="2:15" x14ac:dyDescent="0.35">
      <c r="B3" s="160"/>
      <c r="O3" s="159"/>
    </row>
    <row r="4" spans="2:15" x14ac:dyDescent="0.35">
      <c r="B4" s="160"/>
      <c r="O4" s="159"/>
    </row>
    <row r="5" spans="2:15" x14ac:dyDescent="0.35">
      <c r="B5" s="160"/>
      <c r="O5" s="159"/>
    </row>
    <row r="6" spans="2:15" x14ac:dyDescent="0.35">
      <c r="B6" s="160"/>
      <c r="O6" s="159"/>
    </row>
    <row r="7" spans="2:15" x14ac:dyDescent="0.35">
      <c r="B7" s="160"/>
      <c r="C7" s="173"/>
      <c r="D7" s="173"/>
      <c r="E7" s="173"/>
      <c r="F7" s="173"/>
      <c r="G7" s="173"/>
      <c r="H7" s="173"/>
      <c r="I7" s="173"/>
      <c r="J7" s="173"/>
      <c r="K7" s="173"/>
      <c r="L7" s="173"/>
      <c r="M7" s="173"/>
      <c r="N7" s="173"/>
      <c r="O7" s="159"/>
    </row>
    <row r="8" spans="2:15" ht="31" x14ac:dyDescent="0.7">
      <c r="B8" s="160"/>
      <c r="C8" s="174" t="s">
        <v>0</v>
      </c>
      <c r="D8" s="173"/>
      <c r="E8" s="173"/>
      <c r="F8" s="173"/>
      <c r="G8" s="173"/>
      <c r="H8" s="173"/>
      <c r="I8" s="173"/>
      <c r="J8" s="173"/>
      <c r="K8" s="173"/>
      <c r="L8" s="173"/>
      <c r="M8" s="173"/>
      <c r="N8" s="173"/>
      <c r="O8" s="159"/>
    </row>
    <row r="9" spans="2:15" x14ac:dyDescent="0.35">
      <c r="B9" s="160"/>
      <c r="C9" s="173"/>
      <c r="D9" s="173"/>
      <c r="E9" s="173"/>
      <c r="F9" s="173"/>
      <c r="G9" s="173"/>
      <c r="H9" s="173"/>
      <c r="I9" s="173"/>
      <c r="J9" s="173"/>
      <c r="K9" s="173"/>
      <c r="L9" s="173"/>
      <c r="M9" s="173"/>
      <c r="N9" s="173"/>
      <c r="O9" s="159"/>
    </row>
    <row r="10" spans="2:15" x14ac:dyDescent="0.35">
      <c r="B10" s="160"/>
      <c r="O10" s="159"/>
    </row>
    <row r="11" spans="2:15" ht="31" x14ac:dyDescent="0.7">
      <c r="B11" s="160"/>
      <c r="C11" s="628" t="s">
        <v>1</v>
      </c>
      <c r="O11" s="159"/>
    </row>
    <row r="12" spans="2:15" ht="66" customHeight="1" x14ac:dyDescent="0.35">
      <c r="B12" s="160"/>
      <c r="C12" s="796" t="s">
        <v>888</v>
      </c>
      <c r="D12" s="796"/>
      <c r="E12" s="796"/>
      <c r="F12" s="796"/>
      <c r="G12" s="796"/>
      <c r="H12" s="796"/>
      <c r="I12" s="796"/>
      <c r="J12" s="796"/>
      <c r="K12" s="796"/>
      <c r="L12" s="796"/>
      <c r="M12" s="796"/>
      <c r="N12" s="796"/>
      <c r="O12" s="159"/>
    </row>
    <row r="13" spans="2:15" ht="31" x14ac:dyDescent="0.35">
      <c r="B13" s="160"/>
      <c r="C13" s="327"/>
      <c r="O13" s="159"/>
    </row>
    <row r="14" spans="2:15" ht="31" x14ac:dyDescent="0.35">
      <c r="B14" s="160"/>
      <c r="C14" s="327"/>
      <c r="O14" s="159"/>
    </row>
    <row r="15" spans="2:15" ht="31" x14ac:dyDescent="0.7">
      <c r="B15" s="160"/>
      <c r="C15" s="175" t="s">
        <v>1041</v>
      </c>
      <c r="D15" s="176"/>
      <c r="O15" s="159"/>
    </row>
    <row r="16" spans="2:15" ht="31" x14ac:dyDescent="0.7">
      <c r="B16" s="160"/>
      <c r="D16" s="176"/>
      <c r="O16" s="159"/>
    </row>
    <row r="17" spans="2:15" ht="31" x14ac:dyDescent="0.7">
      <c r="B17" s="160"/>
      <c r="C17" s="327" t="s">
        <v>1053</v>
      </c>
      <c r="D17" s="176"/>
      <c r="O17" s="159"/>
    </row>
    <row r="18" spans="2:15" x14ac:dyDescent="0.35">
      <c r="B18" s="160"/>
      <c r="O18" s="159"/>
    </row>
    <row r="19" spans="2:15" x14ac:dyDescent="0.35">
      <c r="B19" s="160"/>
      <c r="O19" s="159"/>
    </row>
    <row r="20" spans="2:15" x14ac:dyDescent="0.35">
      <c r="B20" s="160"/>
      <c r="C20" s="149" t="s">
        <v>2</v>
      </c>
      <c r="D20" s="196"/>
      <c r="E20" s="168"/>
      <c r="F20" s="232" t="s">
        <v>1033</v>
      </c>
      <c r="G20" s="196"/>
      <c r="H20" s="196"/>
      <c r="I20" s="196"/>
      <c r="J20" s="196"/>
      <c r="K20" s="196"/>
      <c r="L20" s="196"/>
      <c r="M20" s="168"/>
      <c r="O20" s="159"/>
    </row>
    <row r="21" spans="2:15" x14ac:dyDescent="0.35">
      <c r="B21" s="160"/>
      <c r="C21" s="149" t="s">
        <v>3</v>
      </c>
      <c r="D21" s="196"/>
      <c r="E21" s="168"/>
      <c r="F21" s="232" t="s">
        <v>1034</v>
      </c>
      <c r="G21" s="196"/>
      <c r="H21" s="196"/>
      <c r="I21" s="196"/>
      <c r="J21" s="196"/>
      <c r="K21" s="196"/>
      <c r="L21" s="196"/>
      <c r="M21" s="168"/>
      <c r="O21" s="159"/>
    </row>
    <row r="22" spans="2:15" x14ac:dyDescent="0.35">
      <c r="B22" s="160"/>
      <c r="C22" s="149" t="s">
        <v>4</v>
      </c>
      <c r="D22" s="196"/>
      <c r="E22" s="168"/>
      <c r="F22" s="232" t="s">
        <v>1035</v>
      </c>
      <c r="G22" s="196"/>
      <c r="H22" s="196"/>
      <c r="I22" s="196"/>
      <c r="J22" s="196"/>
      <c r="K22" s="196"/>
      <c r="L22" s="196"/>
      <c r="M22" s="168"/>
      <c r="O22" s="159"/>
    </row>
    <row r="23" spans="2:15" x14ac:dyDescent="0.35">
      <c r="B23" s="160"/>
      <c r="C23" s="149" t="s">
        <v>5</v>
      </c>
      <c r="D23" s="196"/>
      <c r="E23" s="168"/>
      <c r="F23" s="232" t="s">
        <v>1036</v>
      </c>
      <c r="G23" s="196"/>
      <c r="H23" s="196"/>
      <c r="I23" s="196"/>
      <c r="J23" s="196"/>
      <c r="K23" s="196"/>
      <c r="L23" s="196"/>
      <c r="M23" s="168"/>
      <c r="O23" s="159"/>
    </row>
    <row r="24" spans="2:15" x14ac:dyDescent="0.35">
      <c r="B24" s="160"/>
      <c r="C24" s="232" t="s">
        <v>6</v>
      </c>
      <c r="D24" s="196"/>
      <c r="E24" s="168"/>
      <c r="F24" s="232" t="s">
        <v>1037</v>
      </c>
      <c r="G24" s="196"/>
      <c r="H24" s="196"/>
      <c r="I24" s="196"/>
      <c r="J24" s="196"/>
      <c r="K24" s="196"/>
      <c r="L24" s="196"/>
      <c r="M24" s="168"/>
      <c r="O24" s="159"/>
    </row>
    <row r="25" spans="2:15" x14ac:dyDescent="0.35">
      <c r="B25" s="160"/>
      <c r="C25" s="149" t="s">
        <v>7</v>
      </c>
      <c r="D25" s="196"/>
      <c r="E25" s="168"/>
      <c r="F25" s="232" t="s">
        <v>1038</v>
      </c>
      <c r="G25" s="196"/>
      <c r="H25" s="196"/>
      <c r="I25" s="196"/>
      <c r="J25" s="196"/>
      <c r="K25" s="196"/>
      <c r="L25" s="196"/>
      <c r="M25" s="168"/>
      <c r="O25" s="159"/>
    </row>
    <row r="26" spans="2:15" ht="15.5" x14ac:dyDescent="0.35">
      <c r="B26" s="160"/>
      <c r="C26" s="149" t="s">
        <v>8</v>
      </c>
      <c r="D26" s="196"/>
      <c r="E26" s="168"/>
      <c r="F26" s="785" t="s">
        <v>1039</v>
      </c>
      <c r="G26" s="196"/>
      <c r="H26" s="196"/>
      <c r="I26" s="196"/>
      <c r="J26" s="196"/>
      <c r="K26" s="196"/>
      <c r="L26" s="196"/>
      <c r="M26" s="168"/>
      <c r="O26" s="159"/>
    </row>
    <row r="27" spans="2:15" x14ac:dyDescent="0.35">
      <c r="B27" s="160"/>
      <c r="C27" s="149" t="s">
        <v>9</v>
      </c>
      <c r="D27" s="196"/>
      <c r="E27" s="168"/>
      <c r="F27" s="232" t="s">
        <v>1040</v>
      </c>
      <c r="G27" s="196"/>
      <c r="H27" s="196"/>
      <c r="I27" s="196"/>
      <c r="J27" s="196"/>
      <c r="K27" s="196"/>
      <c r="L27" s="196"/>
      <c r="M27" s="168"/>
      <c r="O27" s="159"/>
    </row>
    <row r="28" spans="2:15" x14ac:dyDescent="0.35">
      <c r="B28" s="161"/>
      <c r="C28" s="162"/>
      <c r="D28" s="162"/>
      <c r="E28" s="162"/>
      <c r="F28" s="162"/>
      <c r="G28" s="162"/>
      <c r="H28" s="162"/>
      <c r="I28" s="162"/>
      <c r="J28" s="162"/>
      <c r="K28" s="162"/>
      <c r="L28" s="162"/>
      <c r="M28" s="162"/>
      <c r="N28" s="162"/>
      <c r="O28" s="163"/>
    </row>
  </sheetData>
  <sheetProtection algorithmName="SHA-512" hashValue="WaebAHP969gk1VO7WtOaA/FZM0BOVbLp6Jyk951hHQi/157HQ2DufDKb9cHlswqfxkVSHrMVzx3FleDHFWg6gQ==" saltValue="QyQiT9tcNGsngIzHGY/voA==" spinCount="100000" sheet="1" objects="1" scenarios="1"/>
  <mergeCells count="1">
    <mergeCell ref="C12:N12"/>
  </mergeCells>
  <pageMargins left="0.23622047244094491" right="0.23622047244094491" top="0.74803149606299213" bottom="0.74803149606299213" header="0.31496062992125984" footer="0.31496062992125984"/>
  <pageSetup paperSize="9" scale="88"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6328125" customWidth="1"/>
    <col min="3" max="3" width="20.54296875" customWidth="1"/>
    <col min="4" max="4" width="3.6328125" customWidth="1"/>
    <col min="5" max="5" width="20.54296875" customWidth="1"/>
    <col min="6" max="6" width="3.6328125" customWidth="1"/>
    <col min="7" max="7" width="20.54296875" customWidth="1"/>
    <col min="8" max="10" width="3.6328125" customWidth="1"/>
    <col min="11" max="11" width="20.54296875" customWidth="1"/>
    <col min="12" max="12" width="3.6328125" customWidth="1"/>
    <col min="13" max="13" width="20.54296875" customWidth="1"/>
    <col min="14" max="14" width="3.6328125" customWidth="1"/>
    <col min="15" max="15" width="20.54296875" customWidth="1"/>
    <col min="16" max="16" width="3.6328125" customWidth="1"/>
  </cols>
  <sheetData>
    <row r="2" spans="2:17" ht="26" x14ac:dyDescent="0.6">
      <c r="B2" s="359" t="s">
        <v>10</v>
      </c>
      <c r="C2" s="357"/>
      <c r="D2" s="357"/>
      <c r="E2" s="357"/>
      <c r="F2" s="357"/>
      <c r="G2" s="357"/>
      <c r="H2" s="357"/>
      <c r="I2" s="357"/>
      <c r="J2" s="357"/>
      <c r="K2" s="357"/>
      <c r="L2" s="357"/>
      <c r="M2" s="357"/>
      <c r="N2" s="357"/>
      <c r="O2" s="357"/>
      <c r="P2" s="358"/>
    </row>
    <row r="5" spans="2:17" x14ac:dyDescent="0.35">
      <c r="B5" s="222" t="s">
        <v>11</v>
      </c>
      <c r="C5" s="371"/>
      <c r="D5" s="371"/>
      <c r="E5" s="371"/>
      <c r="F5" s="371"/>
      <c r="G5" s="371"/>
      <c r="H5" s="371"/>
      <c r="I5" s="371"/>
      <c r="J5" s="371"/>
      <c r="K5" s="371"/>
      <c r="L5" s="371"/>
      <c r="M5" s="371"/>
      <c r="N5" s="371"/>
      <c r="O5" s="371"/>
      <c r="P5" s="223"/>
    </row>
    <row r="6" spans="2:17" x14ac:dyDescent="0.35">
      <c r="B6" s="227" t="s">
        <v>12</v>
      </c>
      <c r="C6" s="220"/>
      <c r="D6" s="220"/>
      <c r="E6" s="220"/>
      <c r="F6" s="220"/>
      <c r="G6" s="220"/>
      <c r="H6" s="220"/>
      <c r="I6" s="220"/>
      <c r="J6" s="220"/>
      <c r="K6" s="220"/>
      <c r="L6" s="220"/>
      <c r="M6" s="220"/>
      <c r="N6" s="220"/>
      <c r="O6" s="220"/>
      <c r="P6" s="228"/>
    </row>
    <row r="7" spans="2:17" x14ac:dyDescent="0.35">
      <c r="B7" s="225" t="s">
        <v>13</v>
      </c>
      <c r="C7" s="224"/>
      <c r="D7" s="224"/>
      <c r="E7" s="224"/>
      <c r="F7" s="224"/>
      <c r="G7" s="224"/>
      <c r="H7" s="224"/>
      <c r="I7" s="224"/>
      <c r="J7" s="224"/>
      <c r="K7" s="224"/>
      <c r="L7" s="224"/>
      <c r="M7" s="224"/>
      <c r="N7" s="224"/>
      <c r="O7" s="224"/>
      <c r="P7" s="226"/>
    </row>
    <row r="9" spans="2:17" x14ac:dyDescent="0.35">
      <c r="N9" s="415"/>
      <c r="O9" s="415"/>
      <c r="P9" s="415"/>
    </row>
    <row r="10" spans="2:17" x14ac:dyDescent="0.35">
      <c r="B10" s="222"/>
      <c r="C10" s="371"/>
      <c r="D10" s="371"/>
      <c r="E10" s="371"/>
      <c r="F10" s="371"/>
      <c r="G10" s="371"/>
      <c r="H10" s="223"/>
      <c r="J10" s="222"/>
      <c r="K10" s="371"/>
      <c r="L10" s="371"/>
      <c r="M10" s="371"/>
      <c r="N10" s="220"/>
      <c r="O10" s="220"/>
      <c r="P10" s="220"/>
      <c r="Q10" s="160"/>
    </row>
    <row r="11" spans="2:17" ht="46.5" x14ac:dyDescent="0.35">
      <c r="B11" s="227"/>
      <c r="C11" s="344" t="s">
        <v>14</v>
      </c>
      <c r="D11" s="418"/>
      <c r="E11" s="344" t="s">
        <v>15</v>
      </c>
      <c r="F11" s="418"/>
      <c r="G11" s="414" t="s">
        <v>16</v>
      </c>
      <c r="H11" s="419"/>
      <c r="I11" s="345"/>
      <c r="J11" s="422"/>
      <c r="K11" s="346" t="s">
        <v>17</v>
      </c>
      <c r="L11" s="422"/>
      <c r="M11" s="346" t="s">
        <v>18</v>
      </c>
      <c r="N11" s="418"/>
      <c r="O11" s="346" t="s">
        <v>19</v>
      </c>
      <c r="P11" s="418"/>
      <c r="Q11" s="160"/>
    </row>
    <row r="12" spans="2:17" x14ac:dyDescent="0.35">
      <c r="B12" s="227"/>
      <c r="C12" s="220"/>
      <c r="D12" s="220"/>
      <c r="E12" s="220"/>
      <c r="F12" s="220"/>
      <c r="G12" s="220"/>
      <c r="H12" s="228"/>
      <c r="J12" s="227"/>
      <c r="K12" s="220"/>
      <c r="L12" s="220"/>
      <c r="M12" s="220"/>
      <c r="N12" s="220"/>
      <c r="O12" s="220"/>
      <c r="P12" s="220"/>
      <c r="Q12" s="160"/>
    </row>
    <row r="13" spans="2:17" ht="40.25" customHeight="1" x14ac:dyDescent="0.35">
      <c r="B13" s="227"/>
      <c r="C13" s="416"/>
      <c r="D13" s="196"/>
      <c r="E13" s="468" t="s">
        <v>20</v>
      </c>
      <c r="F13" s="196"/>
      <c r="G13" s="417"/>
      <c r="H13" s="228"/>
      <c r="J13" s="227"/>
      <c r="K13" s="416"/>
      <c r="L13" s="196"/>
      <c r="M13" s="469" t="s">
        <v>21</v>
      </c>
      <c r="N13" s="196"/>
      <c r="O13" s="417"/>
      <c r="P13" s="220"/>
      <c r="Q13" s="160"/>
    </row>
    <row r="14" spans="2:17" x14ac:dyDescent="0.35">
      <c r="B14" s="227"/>
      <c r="C14" s="220"/>
      <c r="D14" s="220"/>
      <c r="E14" s="220"/>
      <c r="F14" s="220"/>
      <c r="G14" s="220"/>
      <c r="H14" s="228"/>
      <c r="J14" s="227"/>
      <c r="K14" s="220"/>
      <c r="L14" s="220"/>
      <c r="M14" s="220"/>
      <c r="N14" s="220"/>
      <c r="O14" s="220"/>
      <c r="P14" s="220"/>
      <c r="Q14" s="160"/>
    </row>
    <row r="15" spans="2:17" ht="213.75" customHeight="1" x14ac:dyDescent="0.35">
      <c r="B15" s="227"/>
      <c r="C15" s="341" t="s">
        <v>22</v>
      </c>
      <c r="D15" s="420"/>
      <c r="E15" s="342" t="s">
        <v>23</v>
      </c>
      <c r="F15" s="420"/>
      <c r="G15" s="340" t="s">
        <v>24</v>
      </c>
      <c r="H15" s="421"/>
      <c r="I15" s="238"/>
      <c r="J15" s="423"/>
      <c r="K15" s="343" t="s">
        <v>25</v>
      </c>
      <c r="L15" s="423"/>
      <c r="M15" s="375" t="s">
        <v>26</v>
      </c>
      <c r="N15" s="420"/>
      <c r="O15" s="375" t="s">
        <v>27</v>
      </c>
      <c r="P15" s="420"/>
      <c r="Q15" s="160"/>
    </row>
    <row r="16" spans="2:17" x14ac:dyDescent="0.35">
      <c r="B16" s="225"/>
      <c r="C16" s="224"/>
      <c r="D16" s="224"/>
      <c r="E16" s="224"/>
      <c r="F16" s="224"/>
      <c r="G16" s="224"/>
      <c r="H16" s="226"/>
      <c r="J16" s="225"/>
      <c r="K16" s="224"/>
      <c r="L16" s="424"/>
      <c r="M16" s="424"/>
      <c r="N16" s="424"/>
      <c r="O16" s="424"/>
      <c r="P16" s="424"/>
      <c r="Q16" s="160"/>
    </row>
    <row r="19" spans="2:16" x14ac:dyDescent="0.35">
      <c r="B19" s="222"/>
      <c r="C19" s="371"/>
      <c r="D19" s="371"/>
      <c r="E19" s="371"/>
      <c r="F19" s="371"/>
      <c r="G19" s="371"/>
      <c r="H19" s="371"/>
      <c r="I19" s="371"/>
      <c r="J19" s="371"/>
      <c r="K19" s="371"/>
      <c r="L19" s="371"/>
      <c r="M19" s="371"/>
      <c r="N19" s="371"/>
      <c r="O19" s="371"/>
      <c r="P19" s="223"/>
    </row>
    <row r="20" spans="2:16" x14ac:dyDescent="0.35">
      <c r="B20" s="227" t="s">
        <v>28</v>
      </c>
      <c r="C20" s="220"/>
      <c r="D20" s="220"/>
      <c r="E20" s="220"/>
      <c r="F20" s="220"/>
      <c r="G20" s="220"/>
      <c r="H20" s="220"/>
      <c r="I20" s="220"/>
      <c r="J20" s="220"/>
      <c r="K20" s="220"/>
      <c r="L20" s="220"/>
      <c r="M20" s="220"/>
      <c r="N20" s="220"/>
      <c r="O20" s="220"/>
      <c r="P20" s="228"/>
    </row>
    <row r="21" spans="2:16" x14ac:dyDescent="0.35">
      <c r="B21" s="425" t="s">
        <v>29</v>
      </c>
      <c r="C21" s="220"/>
      <c r="D21" s="220"/>
      <c r="E21" s="220"/>
      <c r="F21" s="220"/>
      <c r="G21" s="220"/>
      <c r="H21" s="220"/>
      <c r="I21" s="220"/>
      <c r="J21" s="220"/>
      <c r="K21" s="220"/>
      <c r="L21" s="220"/>
      <c r="M21" s="220"/>
      <c r="N21" s="220"/>
      <c r="O21" s="220"/>
      <c r="P21" s="228"/>
    </row>
    <row r="22" spans="2:16" x14ac:dyDescent="0.35">
      <c r="B22" s="426" t="s">
        <v>30</v>
      </c>
      <c r="C22" s="220"/>
      <c r="D22" s="220"/>
      <c r="E22" s="220"/>
      <c r="F22" s="220"/>
      <c r="G22" s="220"/>
      <c r="H22" s="220"/>
      <c r="I22" s="220"/>
      <c r="J22" s="220"/>
      <c r="K22" s="220"/>
      <c r="L22" s="220"/>
      <c r="M22" s="220"/>
      <c r="N22" s="220"/>
      <c r="O22" s="220"/>
      <c r="P22" s="228"/>
    </row>
    <row r="23" spans="2:16" x14ac:dyDescent="0.35">
      <c r="B23" s="427" t="s">
        <v>31</v>
      </c>
      <c r="C23" s="220"/>
      <c r="D23" s="220"/>
      <c r="E23" s="220"/>
      <c r="F23" s="220"/>
      <c r="G23" s="220"/>
      <c r="H23" s="220"/>
      <c r="I23" s="220"/>
      <c r="J23" s="220"/>
      <c r="K23" s="220"/>
      <c r="L23" s="220"/>
      <c r="M23" s="220"/>
      <c r="N23" s="220"/>
      <c r="O23" s="220"/>
      <c r="P23" s="228"/>
    </row>
    <row r="24" spans="2:16" x14ac:dyDescent="0.35">
      <c r="B24" s="426" t="s">
        <v>32</v>
      </c>
      <c r="C24" s="220"/>
      <c r="D24" s="220"/>
      <c r="E24" s="220"/>
      <c r="F24" s="220"/>
      <c r="G24" s="220"/>
      <c r="H24" s="220"/>
      <c r="I24" s="220"/>
      <c r="J24" s="220"/>
      <c r="K24" s="220"/>
      <c r="L24" s="220"/>
      <c r="M24" s="220"/>
      <c r="N24" s="220"/>
      <c r="O24" s="220"/>
      <c r="P24" s="228"/>
    </row>
    <row r="25" spans="2:16" x14ac:dyDescent="0.35">
      <c r="B25" s="426" t="s">
        <v>33</v>
      </c>
      <c r="C25" s="220"/>
      <c r="D25" s="220"/>
      <c r="E25" s="220"/>
      <c r="F25" s="220"/>
      <c r="G25" s="220"/>
      <c r="H25" s="220"/>
      <c r="I25" s="220"/>
      <c r="J25" s="220"/>
      <c r="K25" s="220"/>
      <c r="L25" s="220"/>
      <c r="M25" s="220"/>
      <c r="N25" s="220"/>
      <c r="O25" s="220"/>
      <c r="P25" s="228"/>
    </row>
    <row r="26" spans="2:16" x14ac:dyDescent="0.35">
      <c r="B26" s="227"/>
      <c r="C26" s="220"/>
      <c r="D26" s="220"/>
      <c r="E26" s="220"/>
      <c r="F26" s="220"/>
      <c r="G26" s="220"/>
      <c r="H26" s="220"/>
      <c r="I26" s="220"/>
      <c r="J26" s="220"/>
      <c r="K26" s="220"/>
      <c r="L26" s="220"/>
      <c r="M26" s="220"/>
      <c r="N26" s="220"/>
      <c r="O26" s="220"/>
      <c r="P26" s="228"/>
    </row>
    <row r="27" spans="2:16" x14ac:dyDescent="0.35">
      <c r="B27" s="428" t="s">
        <v>34</v>
      </c>
      <c r="C27" s="220"/>
      <c r="D27" s="220"/>
      <c r="E27" s="220"/>
      <c r="F27" s="220"/>
      <c r="G27" s="220"/>
      <c r="H27" s="220"/>
      <c r="I27" s="220"/>
      <c r="J27" s="220"/>
      <c r="K27" s="220"/>
      <c r="L27" s="220"/>
      <c r="M27" s="220"/>
      <c r="N27" s="220"/>
      <c r="O27" s="220"/>
      <c r="P27" s="228"/>
    </row>
    <row r="28" spans="2:16" x14ac:dyDescent="0.35">
      <c r="B28" s="225"/>
      <c r="C28" s="224"/>
      <c r="D28" s="224"/>
      <c r="E28" s="224"/>
      <c r="F28" s="224"/>
      <c r="G28" s="224"/>
      <c r="H28" s="224"/>
      <c r="I28" s="224"/>
      <c r="J28" s="224"/>
      <c r="K28" s="224"/>
      <c r="L28" s="224"/>
      <c r="M28" s="224"/>
      <c r="N28" s="224"/>
      <c r="O28" s="224"/>
      <c r="P28" s="226"/>
    </row>
  </sheetData>
  <sheetProtection algorithmName="SHA-512" hashValue="Dng19R+Sus+W4agcWKzXDQj7UtvCBNeneh30+yAOKTzswqhmULhBSxpMpVT4rF1bd5LQi13zaKQBb0JDHMyWPQ==" saltValue="cP8dZBsLbqCDRgEg94oVJQ==" spinCount="100000" sheet="1" objects="1" scenarios="1"/>
  <hyperlinks>
    <hyperlink ref="B27" r:id="rId1" xr:uid="{A9028629-3EA9-424F-9115-3A028530777C}"/>
  </hyperlinks>
  <pageMargins left="0.7" right="0.7" top="0.75" bottom="0.75" header="0.3" footer="0.3"/>
  <pageSetup paperSize="9" scale="5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36328125" defaultRowHeight="14" x14ac:dyDescent="0.3"/>
  <cols>
    <col min="1" max="1" width="24.453125" style="11" customWidth="1"/>
    <col min="2" max="2" width="49.453125" style="11" customWidth="1"/>
    <col min="3" max="3" width="63.54296875" style="15" customWidth="1"/>
    <col min="4" max="4" width="20.453125" style="11" customWidth="1"/>
    <col min="5" max="12" width="21" style="11" customWidth="1"/>
    <col min="13" max="13" width="22.6328125" style="11" customWidth="1"/>
    <col min="14" max="14" width="22.54296875" style="11" customWidth="1"/>
    <col min="15" max="15" width="25.6328125" style="11" customWidth="1"/>
    <col min="16" max="16" width="10.6328125" style="11" customWidth="1"/>
    <col min="17" max="17" width="15.36328125" style="12" customWidth="1"/>
    <col min="18" max="18" width="20.36328125" style="12" customWidth="1"/>
    <col min="19" max="23" width="10.6328125" style="12" customWidth="1"/>
    <col min="24" max="42" width="10.6328125" style="12" hidden="1" customWidth="1"/>
    <col min="43" max="50" width="10.6328125" style="13" hidden="1" customWidth="1"/>
    <col min="51" max="100" width="10.6328125" style="1" hidden="1" customWidth="1"/>
    <col min="101" max="106" width="10.6328125" style="1" customWidth="1"/>
    <col min="107" max="190" width="10.6328125" style="11" hidden="1" customWidth="1"/>
    <col min="191" max="193" width="10.6328125" style="11" customWidth="1"/>
    <col min="194" max="194" width="10.453125" style="11" customWidth="1"/>
    <col min="195" max="16384" width="9.36328125" style="11"/>
  </cols>
  <sheetData>
    <row r="1" spans="2:106" x14ac:dyDescent="0.3">
      <c r="B1" s="9" t="s">
        <v>35</v>
      </c>
      <c r="C1" s="102"/>
      <c r="D1" s="22"/>
      <c r="E1" s="10" t="s">
        <v>36</v>
      </c>
      <c r="F1" s="7"/>
      <c r="G1" s="7"/>
    </row>
    <row r="3" spans="2:106" x14ac:dyDescent="0.3">
      <c r="B3" s="92" t="s">
        <v>37</v>
      </c>
      <c r="C3" s="474"/>
      <c r="D3" s="475"/>
      <c r="E3" s="475"/>
      <c r="F3" s="475"/>
      <c r="G3" s="93"/>
    </row>
    <row r="4" spans="2:106" x14ac:dyDescent="0.3">
      <c r="B4" s="94"/>
      <c r="C4" s="95"/>
      <c r="D4" s="7"/>
      <c r="E4" s="7"/>
      <c r="F4" s="7"/>
      <c r="G4" s="96"/>
      <c r="L4" s="9" t="s">
        <v>38</v>
      </c>
      <c r="M4" s="9" t="s">
        <v>38</v>
      </c>
      <c r="N4" s="9" t="s">
        <v>39</v>
      </c>
      <c r="O4" s="9" t="s">
        <v>39</v>
      </c>
      <c r="P4" s="9" t="s">
        <v>40</v>
      </c>
      <c r="R4" s="169" t="s">
        <v>41</v>
      </c>
      <c r="S4" s="169" t="s">
        <v>42</v>
      </c>
      <c r="T4" s="169" t="s">
        <v>43</v>
      </c>
      <c r="V4" s="169" t="s">
        <v>44</v>
      </c>
    </row>
    <row r="5" spans="2:106" ht="28" x14ac:dyDescent="0.3">
      <c r="B5" s="97" t="s">
        <v>45</v>
      </c>
      <c r="C5" s="95"/>
      <c r="D5" s="7"/>
      <c r="E5" s="7"/>
      <c r="F5" s="7"/>
      <c r="G5" s="96"/>
      <c r="L5" s="16" t="s">
        <v>46</v>
      </c>
      <c r="M5" s="16" t="s">
        <v>47</v>
      </c>
      <c r="N5" s="16" t="s">
        <v>48</v>
      </c>
      <c r="O5" s="16" t="s">
        <v>49</v>
      </c>
      <c r="P5" s="19"/>
      <c r="Q5" s="17"/>
      <c r="R5" s="16" t="s">
        <v>49</v>
      </c>
      <c r="S5" s="138" t="s">
        <v>50</v>
      </c>
      <c r="V5" s="139">
        <v>4</v>
      </c>
    </row>
    <row r="6" spans="2:106" x14ac:dyDescent="0.3">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0" t="s">
        <v>54</v>
      </c>
      <c r="S6" s="138" t="s">
        <v>55</v>
      </c>
      <c r="V6" s="139">
        <v>5</v>
      </c>
    </row>
    <row r="7" spans="2:106" x14ac:dyDescent="0.3">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0" t="s">
        <v>58</v>
      </c>
      <c r="S7" s="370"/>
      <c r="V7" s="139">
        <v>6</v>
      </c>
    </row>
    <row r="8" spans="2:106" ht="19.5" customHeight="1" x14ac:dyDescent="0.3">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5">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5" x14ac:dyDescent="0.35">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3">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3">
      <c r="B12" s="15"/>
      <c r="D12" s="201" t="s">
        <v>72</v>
      </c>
      <c r="E12" s="201"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6.25" customHeight="1" x14ac:dyDescent="0.3">
      <c r="B13" s="202" t="s">
        <v>76</v>
      </c>
      <c r="C13" s="202" t="s">
        <v>77</v>
      </c>
      <c r="D13" s="26" t="s">
        <v>78</v>
      </c>
      <c r="E13" s="26" t="s">
        <v>79</v>
      </c>
      <c r="F13" s="202"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80">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03"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3">
      <c r="B15" s="203"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3">
      <c r="B16" s="204" t="s">
        <v>87</v>
      </c>
      <c r="C16" s="205">
        <f>IF(C15&gt;0,C14,C15)</f>
        <v>57106398</v>
      </c>
      <c r="D16" s="205">
        <f>IF(D15&gt;0,D14,D15)</f>
        <v>21895402</v>
      </c>
      <c r="E16" s="205">
        <f>IF(E15&gt;0,E14,E15)</f>
        <v>23324090</v>
      </c>
      <c r="F16" s="205">
        <f>SUM(F15)</f>
        <v>45219492</v>
      </c>
      <c r="L16" s="22"/>
      <c r="M16" s="22"/>
      <c r="P16" s="368">
        <f>COUNTIF(P6:P14, TRUE)</f>
        <v>9</v>
      </c>
    </row>
    <row r="17" spans="1:194" x14ac:dyDescent="0.3">
      <c r="Q17" s="23"/>
      <c r="R17" s="23"/>
    </row>
    <row r="18" spans="1:194" ht="45.65" customHeight="1" x14ac:dyDescent="0.3">
      <c r="B18" s="90"/>
      <c r="C18" s="143"/>
      <c r="D18" s="26" t="s">
        <v>72</v>
      </c>
      <c r="E18" s="26" t="s">
        <v>72</v>
      </c>
      <c r="F18" s="90"/>
      <c r="I18" s="90"/>
      <c r="J18" s="90"/>
      <c r="K18" s="24"/>
      <c r="N18" s="24"/>
    </row>
    <row r="19" spans="1:194" ht="23.15" customHeight="1" x14ac:dyDescent="0.3">
      <c r="D19" s="206">
        <v>2</v>
      </c>
      <c r="E19" s="206">
        <v>3</v>
      </c>
      <c r="F19" s="206">
        <v>4</v>
      </c>
      <c r="G19" s="206">
        <v>5</v>
      </c>
      <c r="H19" s="206">
        <v>6</v>
      </c>
      <c r="K19" s="24"/>
    </row>
    <row r="20" spans="1:194" s="1" customFormat="1" ht="48" customHeight="1" x14ac:dyDescent="0.3">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126"/>
      <c r="CZ20" s="477" t="s">
        <v>94</v>
      </c>
      <c r="DA20" s="477"/>
      <c r="DB20" s="477"/>
      <c r="DC20" s="477"/>
      <c r="DD20" s="477"/>
      <c r="DE20" s="477"/>
      <c r="DF20" s="477"/>
      <c r="DG20" s="477"/>
      <c r="DH20" s="477"/>
      <c r="DI20" s="477"/>
      <c r="DJ20" s="477"/>
      <c r="DK20" s="477"/>
      <c r="DL20" s="477"/>
      <c r="DM20" s="477"/>
      <c r="DN20" s="477"/>
      <c r="DO20" s="477"/>
      <c r="DP20" s="477"/>
      <c r="DQ20" s="477"/>
      <c r="DR20" s="477"/>
      <c r="DS20" s="477"/>
      <c r="DT20" s="477"/>
      <c r="DU20" s="477"/>
      <c r="DV20" s="477"/>
      <c r="DW20" s="477"/>
      <c r="DX20" s="477"/>
      <c r="DY20" s="477"/>
      <c r="DZ20" s="477"/>
      <c r="EA20" s="477"/>
      <c r="EB20" s="477"/>
      <c r="EC20" s="477"/>
      <c r="ED20" s="477"/>
      <c r="EE20" s="477"/>
      <c r="EF20" s="477"/>
      <c r="EG20" s="477"/>
      <c r="EH20" s="477"/>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7"/>
      <c r="FM20" s="477"/>
      <c r="FN20" s="477"/>
      <c r="FO20" s="477"/>
      <c r="FP20" s="477"/>
      <c r="FQ20" s="477"/>
      <c r="FR20" s="477"/>
      <c r="FS20" s="477"/>
      <c r="FT20" s="477"/>
      <c r="FU20" s="477"/>
      <c r="FV20" s="477"/>
      <c r="FW20" s="477"/>
      <c r="FX20" s="477"/>
      <c r="FY20" s="477"/>
      <c r="FZ20" s="477"/>
      <c r="GA20" s="477"/>
      <c r="GB20" s="477"/>
      <c r="GC20" s="477"/>
      <c r="GD20" s="477"/>
      <c r="GE20" s="477"/>
      <c r="GF20" s="477"/>
      <c r="GG20" s="477"/>
      <c r="GH20" s="477"/>
      <c r="GI20" s="477"/>
      <c r="GJ20" s="477"/>
      <c r="GK20" s="477"/>
      <c r="GL20" s="122"/>
    </row>
    <row r="21" spans="1:194" s="8" customFormat="1" ht="28" x14ac:dyDescent="0.3">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3">
      <c r="A22" s="30"/>
      <c r="B22" s="72"/>
      <c r="C22" s="60"/>
      <c r="D22" s="78"/>
      <c r="E22" s="78"/>
      <c r="F22" s="478"/>
      <c r="G22" s="478"/>
      <c r="H22" s="78"/>
      <c r="I22" s="78"/>
      <c r="J22" s="78"/>
      <c r="K22" s="478"/>
      <c r="L22" s="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8"/>
      <c r="DV22" s="478"/>
      <c r="DW22" s="478"/>
      <c r="DX22" s="478"/>
      <c r="DY22" s="478"/>
      <c r="DZ22" s="478"/>
      <c r="EA22" s="478"/>
      <c r="EB22" s="478"/>
      <c r="EC22" s="478"/>
      <c r="ED22" s="478"/>
      <c r="EE22" s="478"/>
      <c r="EF22" s="478"/>
      <c r="EG22" s="478"/>
      <c r="EH22" s="478"/>
      <c r="EI22" s="478"/>
      <c r="EJ22" s="478"/>
      <c r="EK22" s="478"/>
      <c r="EL22" s="478"/>
      <c r="EM22" s="478"/>
      <c r="EN22" s="478"/>
      <c r="EO22" s="478"/>
      <c r="EP22" s="478"/>
      <c r="EQ22" s="478"/>
      <c r="ER22" s="478"/>
      <c r="ES22" s="478"/>
      <c r="ET22" s="478"/>
      <c r="EU22" s="478"/>
      <c r="EV22" s="478"/>
      <c r="EW22" s="478"/>
      <c r="EX22" s="478"/>
      <c r="EY22" s="478"/>
      <c r="EZ22" s="478"/>
      <c r="FA22" s="478"/>
      <c r="FB22" s="478"/>
      <c r="FC22" s="478"/>
      <c r="FD22" s="478"/>
      <c r="FE22" s="478"/>
      <c r="FF22" s="478"/>
      <c r="FG22" s="478"/>
      <c r="FH22" s="478"/>
      <c r="FI22" s="478"/>
      <c r="FJ22" s="478"/>
      <c r="FK22" s="478"/>
      <c r="FL22" s="478"/>
      <c r="FM22" s="478"/>
      <c r="FN22" s="478"/>
      <c r="FO22" s="478"/>
      <c r="FP22" s="478"/>
      <c r="FQ22" s="478"/>
      <c r="FR22" s="478"/>
      <c r="FS22" s="478"/>
      <c r="FT22" s="478"/>
      <c r="FU22" s="478"/>
      <c r="FV22" s="478"/>
      <c r="FW22" s="478"/>
      <c r="FX22" s="478"/>
      <c r="FY22" s="478"/>
      <c r="FZ22" s="478"/>
      <c r="GA22" s="478"/>
      <c r="GB22" s="478"/>
      <c r="GC22" s="478"/>
      <c r="GD22" s="478"/>
      <c r="GE22" s="478"/>
      <c r="GF22" s="478"/>
      <c r="GG22" s="478"/>
      <c r="GH22" s="478"/>
      <c r="GI22" s="478"/>
      <c r="GJ22" s="478"/>
      <c r="GK22" s="478"/>
      <c r="GL22" s="78"/>
    </row>
    <row r="23" spans="1:194" s="70" customFormat="1" ht="21.75" customHeight="1" x14ac:dyDescent="0.3">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56</v>
      </c>
      <c r="B25" s="512" t="s">
        <v>97</v>
      </c>
      <c r="C25" s="75" t="s">
        <v>98</v>
      </c>
      <c r="D25" s="77">
        <f t="shared" ref="D25:E27" si="3">I25</f>
        <v>21895402</v>
      </c>
      <c r="E25" s="77">
        <f t="shared" si="3"/>
        <v>23324090</v>
      </c>
      <c r="F25" s="479">
        <f>G25+H25</f>
        <v>57106398</v>
      </c>
      <c r="G25" s="479">
        <f>SUM(M25:CY25)</f>
        <v>27983290</v>
      </c>
      <c r="H25" s="76">
        <f>SUM(CZ25:GL25)</f>
        <v>29123108</v>
      </c>
      <c r="I25" s="76">
        <f>SUM(AE25:CY25)</f>
        <v>21895402</v>
      </c>
      <c r="J25" s="76">
        <f>SUM(DR25:GL25)</f>
        <v>23324090</v>
      </c>
      <c r="K25" s="480">
        <f>SUM(M25:AD25)</f>
        <v>6087888</v>
      </c>
      <c r="L25" s="77">
        <f>SUM(CZ25:DQ25)</f>
        <v>5799018</v>
      </c>
      <c r="M25" s="479">
        <v>305120</v>
      </c>
      <c r="N25" s="479">
        <v>303019</v>
      </c>
      <c r="O25" s="479">
        <v>314737</v>
      </c>
      <c r="P25" s="479">
        <v>321299</v>
      </c>
      <c r="Q25" s="479">
        <v>325230</v>
      </c>
      <c r="R25" s="479">
        <v>333023</v>
      </c>
      <c r="S25" s="479">
        <v>343154</v>
      </c>
      <c r="T25" s="479">
        <v>339729</v>
      </c>
      <c r="U25" s="479">
        <v>341966</v>
      </c>
      <c r="V25" s="479">
        <v>351482</v>
      </c>
      <c r="W25" s="479">
        <v>360539</v>
      </c>
      <c r="X25" s="479">
        <v>361688</v>
      </c>
      <c r="Y25" s="479">
        <v>356777</v>
      </c>
      <c r="Z25" s="479">
        <v>354079</v>
      </c>
      <c r="AA25" s="479">
        <v>357199</v>
      </c>
      <c r="AB25" s="479">
        <v>344190</v>
      </c>
      <c r="AC25" s="479">
        <v>336612</v>
      </c>
      <c r="AD25" s="479">
        <v>338045</v>
      </c>
      <c r="AE25" s="479">
        <v>339142</v>
      </c>
      <c r="AF25" s="479">
        <v>339234</v>
      </c>
      <c r="AG25" s="479">
        <v>338398</v>
      </c>
      <c r="AH25" s="479">
        <v>338465</v>
      </c>
      <c r="AI25" s="479">
        <v>345338</v>
      </c>
      <c r="AJ25" s="479">
        <v>358287</v>
      </c>
      <c r="AK25" s="479">
        <v>360304</v>
      </c>
      <c r="AL25" s="479">
        <v>365799</v>
      </c>
      <c r="AM25" s="479">
        <v>360324</v>
      </c>
      <c r="AN25" s="479">
        <v>364086</v>
      </c>
      <c r="AO25" s="479">
        <v>372653</v>
      </c>
      <c r="AP25" s="479">
        <v>372807</v>
      </c>
      <c r="AQ25" s="479">
        <v>383710</v>
      </c>
      <c r="AR25" s="479">
        <v>389563</v>
      </c>
      <c r="AS25" s="479">
        <v>387640</v>
      </c>
      <c r="AT25" s="479">
        <v>384620</v>
      </c>
      <c r="AU25" s="479">
        <v>387905</v>
      </c>
      <c r="AV25" s="479">
        <v>378829</v>
      </c>
      <c r="AW25" s="479">
        <v>378199</v>
      </c>
      <c r="AX25" s="479">
        <v>377186</v>
      </c>
      <c r="AY25" s="479">
        <v>365502</v>
      </c>
      <c r="AZ25" s="479">
        <v>366111</v>
      </c>
      <c r="BA25" s="479">
        <v>365728</v>
      </c>
      <c r="BB25" s="479">
        <v>369097</v>
      </c>
      <c r="BC25" s="479">
        <v>371802</v>
      </c>
      <c r="BD25" s="479">
        <v>357560</v>
      </c>
      <c r="BE25" s="479">
        <v>334069</v>
      </c>
      <c r="BF25" s="479">
        <v>328458</v>
      </c>
      <c r="BG25" s="479">
        <v>335746</v>
      </c>
      <c r="BH25" s="479">
        <v>342585</v>
      </c>
      <c r="BI25" s="479">
        <v>346685</v>
      </c>
      <c r="BJ25" s="479">
        <v>360442</v>
      </c>
      <c r="BK25" s="479">
        <v>373390</v>
      </c>
      <c r="BL25" s="479">
        <v>385375</v>
      </c>
      <c r="BM25" s="479">
        <v>375807</v>
      </c>
      <c r="BN25" s="479">
        <v>383988</v>
      </c>
      <c r="BO25" s="479">
        <v>382566</v>
      </c>
      <c r="BP25" s="479">
        <v>385629</v>
      </c>
      <c r="BQ25" s="479">
        <v>381742</v>
      </c>
      <c r="BR25" s="479">
        <v>381998</v>
      </c>
      <c r="BS25" s="479">
        <v>376164</v>
      </c>
      <c r="BT25" s="479">
        <v>367036</v>
      </c>
      <c r="BU25" s="479">
        <v>357672</v>
      </c>
      <c r="BV25" s="479">
        <v>344928</v>
      </c>
      <c r="BW25" s="479">
        <v>329857</v>
      </c>
      <c r="BX25" s="479">
        <v>319451</v>
      </c>
      <c r="BY25" s="479">
        <v>309724</v>
      </c>
      <c r="BZ25" s="479">
        <v>294558</v>
      </c>
      <c r="CA25" s="479">
        <v>282293</v>
      </c>
      <c r="CB25" s="479">
        <v>268536</v>
      </c>
      <c r="CC25" s="479">
        <v>266443</v>
      </c>
      <c r="CD25" s="479">
        <v>260410</v>
      </c>
      <c r="CE25" s="479">
        <v>249450</v>
      </c>
      <c r="CF25" s="479">
        <v>249080</v>
      </c>
      <c r="CG25" s="479">
        <v>249070</v>
      </c>
      <c r="CH25" s="479">
        <v>252982</v>
      </c>
      <c r="CI25" s="479">
        <v>263625</v>
      </c>
      <c r="CJ25" s="479">
        <v>283090</v>
      </c>
      <c r="CK25" s="479">
        <v>211587</v>
      </c>
      <c r="CL25" s="479">
        <v>200401</v>
      </c>
      <c r="CM25" s="479">
        <v>195036</v>
      </c>
      <c r="CN25" s="479">
        <v>174093</v>
      </c>
      <c r="CO25" s="479">
        <v>149572</v>
      </c>
      <c r="CP25" s="479">
        <v>127665</v>
      </c>
      <c r="CQ25" s="479">
        <v>127183</v>
      </c>
      <c r="CR25" s="479">
        <v>120061</v>
      </c>
      <c r="CS25" s="479">
        <v>109873</v>
      </c>
      <c r="CT25" s="479">
        <v>97456</v>
      </c>
      <c r="CU25" s="479">
        <v>84705</v>
      </c>
      <c r="CV25" s="479">
        <v>73428</v>
      </c>
      <c r="CW25" s="479">
        <v>60864</v>
      </c>
      <c r="CX25" s="479">
        <v>51376</v>
      </c>
      <c r="CY25" s="479">
        <v>170964</v>
      </c>
      <c r="CZ25" s="479">
        <v>291186</v>
      </c>
      <c r="DA25" s="479">
        <v>289546</v>
      </c>
      <c r="DB25" s="479">
        <v>300800</v>
      </c>
      <c r="DC25" s="479">
        <v>305906</v>
      </c>
      <c r="DD25" s="479">
        <v>310539</v>
      </c>
      <c r="DE25" s="479">
        <v>318263</v>
      </c>
      <c r="DF25" s="479">
        <v>326932</v>
      </c>
      <c r="DG25" s="479">
        <v>324633</v>
      </c>
      <c r="DH25" s="479">
        <v>326780</v>
      </c>
      <c r="DI25" s="479">
        <v>334543</v>
      </c>
      <c r="DJ25" s="479">
        <v>344341</v>
      </c>
      <c r="DK25" s="479">
        <v>343967</v>
      </c>
      <c r="DL25" s="479">
        <v>339949</v>
      </c>
      <c r="DM25" s="479">
        <v>337345</v>
      </c>
      <c r="DN25" s="479">
        <v>340474</v>
      </c>
      <c r="DO25" s="479">
        <v>326885</v>
      </c>
      <c r="DP25" s="479">
        <v>319023</v>
      </c>
      <c r="DQ25" s="479">
        <v>317906</v>
      </c>
      <c r="DR25" s="479">
        <v>318297</v>
      </c>
      <c r="DS25" s="479">
        <v>319325</v>
      </c>
      <c r="DT25" s="479">
        <v>325075</v>
      </c>
      <c r="DU25" s="479">
        <v>327194</v>
      </c>
      <c r="DV25" s="479">
        <v>333614</v>
      </c>
      <c r="DW25" s="479">
        <v>350669</v>
      </c>
      <c r="DX25" s="479">
        <v>358581</v>
      </c>
      <c r="DY25" s="479">
        <v>367839</v>
      </c>
      <c r="DZ25" s="479">
        <v>363988</v>
      </c>
      <c r="EA25" s="479">
        <v>374022</v>
      </c>
      <c r="EB25" s="479">
        <v>387522</v>
      </c>
      <c r="EC25" s="479">
        <v>390671</v>
      </c>
      <c r="ED25" s="479">
        <v>404331</v>
      </c>
      <c r="EE25" s="479">
        <v>410921</v>
      </c>
      <c r="EF25" s="479">
        <v>413176</v>
      </c>
      <c r="EG25" s="479">
        <v>411450</v>
      </c>
      <c r="EH25" s="479">
        <v>417983</v>
      </c>
      <c r="EI25" s="479">
        <v>409203</v>
      </c>
      <c r="EJ25" s="479">
        <v>404000</v>
      </c>
      <c r="EK25" s="479">
        <v>401928</v>
      </c>
      <c r="EL25" s="479">
        <v>389436</v>
      </c>
      <c r="EM25" s="479">
        <v>389518</v>
      </c>
      <c r="EN25" s="479">
        <v>386124</v>
      </c>
      <c r="EO25" s="479">
        <v>390735</v>
      </c>
      <c r="EP25" s="479">
        <v>390956</v>
      </c>
      <c r="EQ25" s="479">
        <v>373536</v>
      </c>
      <c r="ER25" s="479">
        <v>346385</v>
      </c>
      <c r="ES25" s="479">
        <v>339293</v>
      </c>
      <c r="ET25" s="479">
        <v>345871</v>
      </c>
      <c r="EU25" s="479">
        <v>353016</v>
      </c>
      <c r="EV25" s="479">
        <v>356906</v>
      </c>
      <c r="EW25" s="479">
        <v>370244</v>
      </c>
      <c r="EX25" s="479">
        <v>384214</v>
      </c>
      <c r="EY25" s="479">
        <v>399644</v>
      </c>
      <c r="EZ25" s="479">
        <v>389031</v>
      </c>
      <c r="FA25" s="479">
        <v>397139</v>
      </c>
      <c r="FB25" s="479">
        <v>395547</v>
      </c>
      <c r="FC25" s="479">
        <v>396676</v>
      </c>
      <c r="FD25" s="479">
        <v>396578</v>
      </c>
      <c r="FE25" s="479">
        <v>396708</v>
      </c>
      <c r="FF25" s="479">
        <v>390539</v>
      </c>
      <c r="FG25" s="479">
        <v>380695</v>
      </c>
      <c r="FH25" s="479">
        <v>371143</v>
      </c>
      <c r="FI25" s="479">
        <v>355407</v>
      </c>
      <c r="FJ25" s="479">
        <v>340408</v>
      </c>
      <c r="FK25" s="479">
        <v>331322</v>
      </c>
      <c r="FL25" s="479">
        <v>321164</v>
      </c>
      <c r="FM25" s="479">
        <v>308551</v>
      </c>
      <c r="FN25" s="479">
        <v>295719</v>
      </c>
      <c r="FO25" s="479">
        <v>284931</v>
      </c>
      <c r="FP25" s="479">
        <v>285437</v>
      </c>
      <c r="FQ25" s="479">
        <v>278929</v>
      </c>
      <c r="FR25" s="479">
        <v>271460</v>
      </c>
      <c r="FS25" s="479">
        <v>271487</v>
      </c>
      <c r="FT25" s="479">
        <v>275610</v>
      </c>
      <c r="FU25" s="479">
        <v>280129</v>
      </c>
      <c r="FV25" s="479">
        <v>294843</v>
      </c>
      <c r="FW25" s="479">
        <v>316380</v>
      </c>
      <c r="FX25" s="479">
        <v>240292</v>
      </c>
      <c r="FY25" s="479">
        <v>230370</v>
      </c>
      <c r="FZ25" s="479">
        <v>225985</v>
      </c>
      <c r="GA25" s="479">
        <v>206546</v>
      </c>
      <c r="GB25" s="479">
        <v>181398</v>
      </c>
      <c r="GC25" s="479">
        <v>159103</v>
      </c>
      <c r="GD25" s="479">
        <v>161482</v>
      </c>
      <c r="GE25" s="479">
        <v>155577</v>
      </c>
      <c r="GF25" s="479">
        <v>145759</v>
      </c>
      <c r="GG25" s="479">
        <v>132931</v>
      </c>
      <c r="GH25" s="479">
        <v>120255</v>
      </c>
      <c r="GI25" s="479">
        <v>107758</v>
      </c>
      <c r="GJ25" s="479">
        <v>93505</v>
      </c>
      <c r="GK25" s="479">
        <v>82264</v>
      </c>
      <c r="GL25" s="479">
        <v>349365</v>
      </c>
    </row>
    <row r="26" spans="1:194" s="8" customFormat="1" x14ac:dyDescent="0.3">
      <c r="A26" s="32" t="s">
        <v>56</v>
      </c>
      <c r="B26" s="513"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3">
      <c r="A27" s="38" t="s">
        <v>56</v>
      </c>
      <c r="B27" s="514"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3">
      <c r="A28" s="44"/>
      <c r="B28" s="515"/>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3" t="s">
        <v>83</v>
      </c>
      <c r="B29" s="516" t="s">
        <v>103</v>
      </c>
      <c r="C29" s="72" t="str">
        <f t="shared" ref="C29:C92" si="4">CONCATENATE(A29," - ",B29)</f>
        <v xml:space="preserve">England – CCGs - Barnsley </v>
      </c>
      <c r="D29" s="61">
        <f>I29</f>
        <v>95316</v>
      </c>
      <c r="E29" s="61">
        <f>J29</f>
        <v>100485</v>
      </c>
      <c r="F29" s="481">
        <f>G29+H29</f>
        <v>246482</v>
      </c>
      <c r="G29" s="481">
        <f>SUM(M29:CY29)</f>
        <v>121223</v>
      </c>
      <c r="H29" s="62">
        <f>SUM(CZ29:GL29)</f>
        <v>125259</v>
      </c>
      <c r="I29" s="62">
        <f>SUM(AE29:CY29)</f>
        <v>95316</v>
      </c>
      <c r="J29" s="62">
        <f>SUM(DR29:GL29)</f>
        <v>100485</v>
      </c>
      <c r="K29" s="482">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3">
      <c r="A30" s="87" t="s">
        <v>83</v>
      </c>
      <c r="B30" s="516"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3">
      <c r="A31" s="87" t="s">
        <v>83</v>
      </c>
      <c r="B31" s="516"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3">
      <c r="A32" s="87" t="s">
        <v>83</v>
      </c>
      <c r="B32" s="516"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3">
      <c r="A33" s="87" t="s">
        <v>83</v>
      </c>
      <c r="B33" s="516"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3">
      <c r="A34" s="87" t="s">
        <v>83</v>
      </c>
      <c r="B34" s="516"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3">
      <c r="A35" s="87" t="s">
        <v>83</v>
      </c>
      <c r="B35" s="516"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3">
      <c r="A36" s="87" t="s">
        <v>83</v>
      </c>
      <c r="B36" s="516"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3">
      <c r="A37" s="87" t="s">
        <v>83</v>
      </c>
      <c r="B37" s="516"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3">
      <c r="A38" s="87" t="s">
        <v>83</v>
      </c>
      <c r="B38" s="516"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3">
      <c r="A39" s="87" t="s">
        <v>83</v>
      </c>
      <c r="B39" s="516"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3">
      <c r="A40" s="87" t="s">
        <v>83</v>
      </c>
      <c r="B40" s="516"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3">
      <c r="A41" s="87" t="s">
        <v>83</v>
      </c>
      <c r="B41" s="516"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3">
      <c r="A42" s="87" t="s">
        <v>83</v>
      </c>
      <c r="B42" s="516"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3">
      <c r="A43" s="87" t="s">
        <v>83</v>
      </c>
      <c r="B43" s="516"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3">
      <c r="A44" s="87" t="s">
        <v>83</v>
      </c>
      <c r="B44" s="516"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3">
      <c r="A45" s="87" t="s">
        <v>83</v>
      </c>
      <c r="B45" s="516"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3">
      <c r="A46" s="87" t="s">
        <v>83</v>
      </c>
      <c r="B46" s="516"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3">
      <c r="A47" s="87" t="s">
        <v>83</v>
      </c>
      <c r="B47" s="516"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3">
      <c r="A48" s="87" t="s">
        <v>83</v>
      </c>
      <c r="B48" s="516"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3">
      <c r="A49" s="87" t="s">
        <v>83</v>
      </c>
      <c r="B49" s="516"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3">
      <c r="A50" s="87" t="s">
        <v>83</v>
      </c>
      <c r="B50" s="516"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3">
      <c r="A51" s="87" t="s">
        <v>83</v>
      </c>
      <c r="B51" s="516"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3">
      <c r="A52" s="87" t="s">
        <v>83</v>
      </c>
      <c r="B52" s="516"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3">
      <c r="A53" s="87" t="s">
        <v>83</v>
      </c>
      <c r="B53" s="516"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3">
      <c r="A54" s="87" t="s">
        <v>83</v>
      </c>
      <c r="B54" s="516"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3">
      <c r="A55" s="87" t="s">
        <v>83</v>
      </c>
      <c r="B55" s="516"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3">
      <c r="A56" s="87" t="s">
        <v>83</v>
      </c>
      <c r="B56" s="516"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3">
      <c r="A57" s="87" t="s">
        <v>83</v>
      </c>
      <c r="B57" s="516"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3">
      <c r="A58" s="87" t="s">
        <v>83</v>
      </c>
      <c r="B58" s="516"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3">
      <c r="A59" s="87" t="s">
        <v>83</v>
      </c>
      <c r="B59" s="516"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3">
      <c r="A60" s="87" t="s">
        <v>83</v>
      </c>
      <c r="B60" s="516"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3">
      <c r="A61" s="87" t="s">
        <v>83</v>
      </c>
      <c r="B61" s="516"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3">
      <c r="A62" s="87" t="s">
        <v>83</v>
      </c>
      <c r="B62" s="516"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3">
      <c r="A63" s="87" t="s">
        <v>83</v>
      </c>
      <c r="B63" s="516"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3">
      <c r="A64" s="87" t="s">
        <v>83</v>
      </c>
      <c r="B64" s="516"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3">
      <c r="A65" s="87" t="s">
        <v>83</v>
      </c>
      <c r="B65" s="516"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3">
      <c r="A66" s="87" t="s">
        <v>83</v>
      </c>
      <c r="B66" s="516"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3">
      <c r="A67" s="87" t="s">
        <v>83</v>
      </c>
      <c r="B67" s="516"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3">
      <c r="A68" s="87" t="s">
        <v>83</v>
      </c>
      <c r="B68" s="516"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3">
      <c r="A69" s="87" t="s">
        <v>83</v>
      </c>
      <c r="B69" s="516"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3">
      <c r="A70" s="87" t="s">
        <v>83</v>
      </c>
      <c r="B70" s="516"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3">
      <c r="A71" s="87" t="s">
        <v>83</v>
      </c>
      <c r="B71" s="516"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3">
      <c r="A72" s="87" t="s">
        <v>83</v>
      </c>
      <c r="B72" s="516"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3">
      <c r="A73" s="87" t="s">
        <v>83</v>
      </c>
      <c r="B73" s="516"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3">
      <c r="A74" s="87" t="s">
        <v>83</v>
      </c>
      <c r="B74" s="516"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3">
      <c r="A75" s="87" t="s">
        <v>83</v>
      </c>
      <c r="B75" s="516"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3">
      <c r="A76" s="87" t="s">
        <v>83</v>
      </c>
      <c r="B76" s="516"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3">
      <c r="A77" s="87" t="s">
        <v>83</v>
      </c>
      <c r="B77" s="516"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3">
      <c r="A78" s="87" t="s">
        <v>83</v>
      </c>
      <c r="B78" s="516"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3">
      <c r="A79" s="87" t="s">
        <v>83</v>
      </c>
      <c r="B79" s="516"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3">
      <c r="A80" s="87" t="s">
        <v>83</v>
      </c>
      <c r="B80" s="516"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3">
      <c r="A81" s="87" t="s">
        <v>83</v>
      </c>
      <c r="B81" s="516"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3">
      <c r="A82" s="87" t="s">
        <v>83</v>
      </c>
      <c r="B82" s="516"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3">
      <c r="A83" s="87" t="s">
        <v>83</v>
      </c>
      <c r="B83" s="516"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3">
      <c r="A84" s="87" t="s">
        <v>83</v>
      </c>
      <c r="B84" s="516"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3">
      <c r="A85" s="87" t="s">
        <v>83</v>
      </c>
      <c r="B85" s="516"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3">
      <c r="A86" s="87" t="s">
        <v>83</v>
      </c>
      <c r="B86" s="516"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3">
      <c r="A87" s="87" t="s">
        <v>83</v>
      </c>
      <c r="B87" s="516"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3">
      <c r="A88" s="87" t="s">
        <v>83</v>
      </c>
      <c r="B88" s="516"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3">
      <c r="A89" s="87" t="s">
        <v>83</v>
      </c>
      <c r="B89" s="516"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3">
      <c r="A90" s="87" t="s">
        <v>83</v>
      </c>
      <c r="B90" s="516"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3">
      <c r="A91" s="87" t="s">
        <v>83</v>
      </c>
      <c r="B91" s="516"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3">
      <c r="A92" s="87" t="s">
        <v>83</v>
      </c>
      <c r="B92" s="516"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3">
      <c r="A93" s="87" t="s">
        <v>83</v>
      </c>
      <c r="B93" s="516"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3">
      <c r="A94" s="87" t="s">
        <v>83</v>
      </c>
      <c r="B94" s="516"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3">
      <c r="A95" s="87" t="s">
        <v>83</v>
      </c>
      <c r="B95" s="516"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3">
      <c r="A96" s="87" t="s">
        <v>83</v>
      </c>
      <c r="B96" s="516"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3">
      <c r="A97" s="87" t="s">
        <v>83</v>
      </c>
      <c r="B97" s="516"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3">
      <c r="A98" s="87" t="s">
        <v>83</v>
      </c>
      <c r="B98" s="516"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3">
      <c r="A99" s="87" t="s">
        <v>83</v>
      </c>
      <c r="B99" s="516"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3">
      <c r="A100" s="87" t="s">
        <v>83</v>
      </c>
      <c r="B100" s="516"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3">
      <c r="A101" s="87" t="s">
        <v>83</v>
      </c>
      <c r="B101" s="516"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3">
      <c r="A102" s="87" t="s">
        <v>83</v>
      </c>
      <c r="B102" s="516"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3">
      <c r="A103" s="87" t="s">
        <v>83</v>
      </c>
      <c r="B103" s="516"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3">
      <c r="A104" s="87" t="s">
        <v>83</v>
      </c>
      <c r="B104" s="516"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3">
      <c r="A105" s="87" t="s">
        <v>83</v>
      </c>
      <c r="B105" s="516"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3">
      <c r="A106" s="87" t="s">
        <v>83</v>
      </c>
      <c r="B106" s="516"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3">
      <c r="A107" s="87" t="s">
        <v>83</v>
      </c>
      <c r="B107" s="516"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3">
      <c r="A108" s="87" t="s">
        <v>83</v>
      </c>
      <c r="B108" s="516"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3">
      <c r="A109" s="87" t="s">
        <v>83</v>
      </c>
      <c r="B109" s="516"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3">
      <c r="A110" s="87" t="s">
        <v>83</v>
      </c>
      <c r="B110" s="516"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3">
      <c r="A111" s="87" t="s">
        <v>83</v>
      </c>
      <c r="B111" s="516"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3">
      <c r="A112" s="87" t="s">
        <v>83</v>
      </c>
      <c r="B112" s="516"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3">
      <c r="A113" s="87" t="s">
        <v>83</v>
      </c>
      <c r="B113" s="516"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3">
      <c r="A114" s="87" t="s">
        <v>83</v>
      </c>
      <c r="B114" s="516"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3">
      <c r="A115" s="87" t="s">
        <v>83</v>
      </c>
      <c r="B115" s="516"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3">
      <c r="A116" s="87" t="s">
        <v>83</v>
      </c>
      <c r="B116" s="516"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3">
      <c r="A117" s="87" t="s">
        <v>83</v>
      </c>
      <c r="B117" s="516"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3">
      <c r="A118" s="87" t="s">
        <v>83</v>
      </c>
      <c r="B118" s="516"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3">
      <c r="A119" s="87" t="s">
        <v>83</v>
      </c>
      <c r="B119" s="516"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3">
      <c r="A120" s="87" t="s">
        <v>83</v>
      </c>
      <c r="B120" s="516"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3">
      <c r="A121" s="87" t="s">
        <v>83</v>
      </c>
      <c r="B121" s="516"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3">
      <c r="A122" s="87" t="s">
        <v>83</v>
      </c>
      <c r="B122" s="516"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3">
      <c r="A123" s="87" t="s">
        <v>83</v>
      </c>
      <c r="B123" s="516"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3">
      <c r="A124" s="87" t="s">
        <v>83</v>
      </c>
      <c r="B124" s="516"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3">
      <c r="A125" s="87" t="s">
        <v>83</v>
      </c>
      <c r="B125" s="516"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3">
      <c r="A126" s="87" t="s">
        <v>83</v>
      </c>
      <c r="B126" s="516"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3">
      <c r="A127" s="87" t="s">
        <v>83</v>
      </c>
      <c r="B127" s="516"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3">
      <c r="A128" s="87" t="s">
        <v>83</v>
      </c>
      <c r="B128" s="516"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3">
      <c r="A129" s="87" t="s">
        <v>83</v>
      </c>
      <c r="B129" s="516"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3">
      <c r="A130" s="87" t="s">
        <v>83</v>
      </c>
      <c r="B130" s="516"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3">
      <c r="A131" s="87" t="s">
        <v>83</v>
      </c>
      <c r="B131" s="516"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3">
      <c r="A132" s="87" t="s">
        <v>83</v>
      </c>
      <c r="B132" s="516"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3">
      <c r="A133" s="87" t="s">
        <v>83</v>
      </c>
      <c r="B133" s="516"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3">
      <c r="A134" s="87" t="s">
        <v>83</v>
      </c>
      <c r="B134" s="516"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3">
      <c r="A135" s="113"/>
      <c r="B135" s="517"/>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3">
      <c r="A136" s="54" t="s">
        <v>62</v>
      </c>
      <c r="B136" s="518"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3">
      <c r="A137" s="54" t="s">
        <v>62</v>
      </c>
      <c r="B137" s="519"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3">
      <c r="A138" s="54" t="s">
        <v>62</v>
      </c>
      <c r="B138" s="519"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3">
      <c r="A139" s="54" t="s">
        <v>62</v>
      </c>
      <c r="B139" s="519"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3">
      <c r="A140" s="54" t="s">
        <v>62</v>
      </c>
      <c r="B140" s="519"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3">
      <c r="A141" s="54" t="s">
        <v>62</v>
      </c>
      <c r="B141" s="519"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3">
      <c r="A142" s="55" t="s">
        <v>62</v>
      </c>
      <c r="B142" s="520"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3">
      <c r="A143" s="117"/>
      <c r="B143" s="521"/>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3">
      <c r="A144" s="59" t="s">
        <v>65</v>
      </c>
      <c r="B144" s="518" t="s">
        <v>216</v>
      </c>
      <c r="C144" s="72" t="str">
        <f>CONCATENATE(A144," - ",B144)</f>
        <v>NI – Health and Social Care Trusts - Belfast Health and Social Care Trust</v>
      </c>
      <c r="D144" s="61">
        <f t="shared" ref="D144:E148" si="33">I144</f>
        <v>138553.97738288154</v>
      </c>
      <c r="E144" s="61">
        <f t="shared" si="33"/>
        <v>149546.65719477332</v>
      </c>
      <c r="F144" s="481">
        <f>G144+H144</f>
        <v>364103.61922965694</v>
      </c>
      <c r="G144" s="481">
        <f>SUM(M144:CY144)</f>
        <v>177508.17393508262</v>
      </c>
      <c r="H144" s="62">
        <f>SUM(CZ144:GL144)</f>
        <v>186595.44529457431</v>
      </c>
      <c r="I144" s="62">
        <f>SUM(AE144:CY144)</f>
        <v>138553.97738288154</v>
      </c>
      <c r="J144" s="62">
        <f>SUM(DR144:GL144)</f>
        <v>149546.65719477332</v>
      </c>
      <c r="K144" s="482">
        <f>SUM(M144:AD144)</f>
        <v>38954.196552201036</v>
      </c>
      <c r="L144" s="61">
        <f>SUM(CZ144:DQ144)</f>
        <v>37048.788099800979</v>
      </c>
      <c r="M144" s="482">
        <v>2017.8952120383037</v>
      </c>
      <c r="N144" s="482">
        <v>2031.4154300095463</v>
      </c>
      <c r="O144" s="482">
        <v>2025.5722779004586</v>
      </c>
      <c r="P144" s="482">
        <v>2036.6363244919048</v>
      </c>
      <c r="Q144" s="482">
        <v>2174.8657606103957</v>
      </c>
      <c r="R144" s="482">
        <v>2139.1275684252282</v>
      </c>
      <c r="S144" s="482">
        <v>2269.8788621098379</v>
      </c>
      <c r="T144" s="482">
        <v>2199.8731034482757</v>
      </c>
      <c r="U144" s="482">
        <v>2214.1918960244648</v>
      </c>
      <c r="V144" s="482">
        <v>2323.0202012443356</v>
      </c>
      <c r="W144" s="482">
        <v>2319.2258355916892</v>
      </c>
      <c r="X144" s="482">
        <v>2302.9974595842955</v>
      </c>
      <c r="Y144" s="482">
        <v>2256.5049293083684</v>
      </c>
      <c r="Z144" s="482">
        <v>2212.0418107754977</v>
      </c>
      <c r="AA144" s="482">
        <v>2229.1199141767324</v>
      </c>
      <c r="AB144" s="482">
        <v>2134.8894582108355</v>
      </c>
      <c r="AC144" s="482">
        <v>2012.6591474539725</v>
      </c>
      <c r="AD144" s="482">
        <v>2054.2813607968933</v>
      </c>
      <c r="AE144" s="482">
        <v>2265.0450211864404</v>
      </c>
      <c r="AF144" s="482">
        <v>2804.7232134687529</v>
      </c>
      <c r="AG144" s="482">
        <v>2878.6458486407055</v>
      </c>
      <c r="AH144" s="482">
        <v>2648.2416475163518</v>
      </c>
      <c r="AI144" s="482">
        <v>2812.8031562871206</v>
      </c>
      <c r="AJ144" s="482">
        <v>2819.1729711141679</v>
      </c>
      <c r="AK144" s="482">
        <v>2731.7522704339053</v>
      </c>
      <c r="AL144" s="482">
        <v>2754.8174718956493</v>
      </c>
      <c r="AM144" s="482">
        <v>2792.2450211225105</v>
      </c>
      <c r="AN144" s="482">
        <v>2709.9772329246935</v>
      </c>
      <c r="AO144" s="482">
        <v>2693.0545391183132</v>
      </c>
      <c r="AP144" s="482">
        <v>2739.741847362131</v>
      </c>
      <c r="AQ144" s="482">
        <v>2738.9105892047796</v>
      </c>
      <c r="AR144" s="482">
        <v>2711.0666008067833</v>
      </c>
      <c r="AS144" s="482">
        <v>2782.8070289619263</v>
      </c>
      <c r="AT144" s="482">
        <v>2691.3420944220152</v>
      </c>
      <c r="AU144" s="482">
        <v>2575.2371291098634</v>
      </c>
      <c r="AV144" s="482">
        <v>2616.3572226656024</v>
      </c>
      <c r="AW144" s="482">
        <v>2585.9089460686691</v>
      </c>
      <c r="AX144" s="482">
        <v>2533.264568094025</v>
      </c>
      <c r="AY144" s="482">
        <v>2413.1614349775782</v>
      </c>
      <c r="AZ144" s="482">
        <v>2431.4496314496314</v>
      </c>
      <c r="BA144" s="482">
        <v>2293.8903732491299</v>
      </c>
      <c r="BB144" s="482">
        <v>2344.819097470061</v>
      </c>
      <c r="BC144" s="482">
        <v>2403.7633319021038</v>
      </c>
      <c r="BD144" s="482">
        <v>2239.8626248466794</v>
      </c>
      <c r="BE144" s="482">
        <v>2047.4737312365976</v>
      </c>
      <c r="BF144" s="482">
        <v>2052.8353243075835</v>
      </c>
      <c r="BG144" s="482">
        <v>1984.3233076189651</v>
      </c>
      <c r="BH144" s="482">
        <v>1967.3126347206103</v>
      </c>
      <c r="BI144" s="482">
        <v>1977.5348837209303</v>
      </c>
      <c r="BJ144" s="482">
        <v>2084.857469993683</v>
      </c>
      <c r="BK144" s="482">
        <v>2131.2999446158715</v>
      </c>
      <c r="BL144" s="482">
        <v>2143.6819436775263</v>
      </c>
      <c r="BM144" s="482">
        <v>2073.8563380281689</v>
      </c>
      <c r="BN144" s="482">
        <v>2300.7910402197972</v>
      </c>
      <c r="BO144" s="482">
        <v>2326.6164287385909</v>
      </c>
      <c r="BP144" s="482">
        <v>2307.9060786106033</v>
      </c>
      <c r="BQ144" s="482">
        <v>2344.6145362640732</v>
      </c>
      <c r="BR144" s="482">
        <v>2368.012116504854</v>
      </c>
      <c r="BS144" s="482">
        <v>2252.978437722139</v>
      </c>
      <c r="BT144" s="482">
        <v>2241.3179516972359</v>
      </c>
      <c r="BU144" s="482">
        <v>2297.6054466954502</v>
      </c>
      <c r="BV144" s="482">
        <v>2198.0522088353414</v>
      </c>
      <c r="BW144" s="482">
        <v>2021.5031326614003</v>
      </c>
      <c r="BX144" s="482">
        <v>2002.5265144540601</v>
      </c>
      <c r="BY144" s="482">
        <v>1890.3538506703198</v>
      </c>
      <c r="BZ144" s="482">
        <v>1822.7951142631994</v>
      </c>
      <c r="CA144" s="482">
        <v>1687.8206664564279</v>
      </c>
      <c r="CB144" s="482">
        <v>1588.8602704443015</v>
      </c>
      <c r="CC144" s="482">
        <v>1552.3684032476319</v>
      </c>
      <c r="CD144" s="482">
        <v>1527.1244533743056</v>
      </c>
      <c r="CE144" s="482">
        <v>1273.9034871433603</v>
      </c>
      <c r="CF144" s="482">
        <v>1290.2680573978055</v>
      </c>
      <c r="CG144" s="482">
        <v>1292.323121170439</v>
      </c>
      <c r="CH144" s="482">
        <v>1203.3575933400607</v>
      </c>
      <c r="CI144" s="482">
        <v>1137.5975561687032</v>
      </c>
      <c r="CJ144" s="482">
        <v>1181.2559576345984</v>
      </c>
      <c r="CK144" s="482">
        <v>1033.272138554217</v>
      </c>
      <c r="CL144" s="482">
        <v>966.99722735674675</v>
      </c>
      <c r="CM144" s="482">
        <v>986.02355350742448</v>
      </c>
      <c r="CN144" s="482">
        <v>974.00968523002427</v>
      </c>
      <c r="CO144" s="482">
        <v>796.9</v>
      </c>
      <c r="CP144" s="482">
        <v>696.19117288466236</v>
      </c>
      <c r="CQ144" s="482">
        <v>621.99595857539782</v>
      </c>
      <c r="CR144" s="482">
        <v>600.77992957746471</v>
      </c>
      <c r="CS144" s="482">
        <v>583.85111740635818</v>
      </c>
      <c r="CT144" s="482">
        <v>522.79582712369597</v>
      </c>
      <c r="CU144" s="482">
        <v>452.41860465116281</v>
      </c>
      <c r="CV144" s="482">
        <v>372.84571129707109</v>
      </c>
      <c r="CW144" s="482">
        <v>312.34061135371184</v>
      </c>
      <c r="CX144" s="482">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3">
      <c r="A145" s="59" t="s">
        <v>65</v>
      </c>
      <c r="B145" s="519"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3">
      <c r="A146" s="59" t="s">
        <v>65</v>
      </c>
      <c r="B146" s="519"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3">
      <c r="A147" s="59" t="s">
        <v>65</v>
      </c>
      <c r="B147" s="519"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3">
      <c r="A148" s="63" t="s">
        <v>65</v>
      </c>
      <c r="B148" s="520"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3">
      <c r="A149" s="117"/>
      <c r="B149" s="521"/>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3">
      <c r="A150" s="73" t="s">
        <v>60</v>
      </c>
      <c r="B150" s="522" t="s">
        <v>221</v>
      </c>
      <c r="C150" s="72" t="str">
        <f>CONCATENATE(A150," - ",B150)</f>
        <v>NHSE regions - East of England</v>
      </c>
      <c r="D150" s="61">
        <f t="shared" ref="D150:E156" si="35">I150</f>
        <v>2447757</v>
      </c>
      <c r="E150" s="61">
        <f t="shared" si="35"/>
        <v>2602371</v>
      </c>
      <c r="F150" s="481">
        <f t="shared" ref="F150:F156" si="36">G150+H150</f>
        <v>6398497</v>
      </c>
      <c r="G150" s="481">
        <f t="shared" ref="G150:G156" si="37">SUM(M150:CY150)</f>
        <v>3138914</v>
      </c>
      <c r="H150" s="62">
        <f t="shared" ref="H150:H156" si="38">SUM(CZ150:GL150)</f>
        <v>3259583</v>
      </c>
      <c r="I150" s="62">
        <f t="shared" ref="I150:I156" si="39">SUM(AE150:CY150)</f>
        <v>2447757</v>
      </c>
      <c r="J150" s="62">
        <f t="shared" ref="J150:J156" si="40">SUM(DR150:GL150)</f>
        <v>2602371</v>
      </c>
      <c r="K150" s="482">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3">
      <c r="A151" s="64" t="s">
        <v>60</v>
      </c>
      <c r="B151" s="522"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3">
      <c r="A152" s="64" t="s">
        <v>60</v>
      </c>
      <c r="B152" s="522"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3">
      <c r="A153" s="64" t="s">
        <v>60</v>
      </c>
      <c r="B153" s="522"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3">
      <c r="A154" s="64" t="s">
        <v>60</v>
      </c>
      <c r="B154" s="522"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3">
      <c r="A155" s="64" t="s">
        <v>60</v>
      </c>
      <c r="B155" s="522"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3">
      <c r="A156" s="140" t="s">
        <v>60</v>
      </c>
      <c r="B156" s="522"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3">
      <c r="A157" s="118"/>
      <c r="B157" s="523"/>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c r="AO157" s="480"/>
      <c r="AP157" s="480"/>
      <c r="AQ157" s="480"/>
      <c r="AR157" s="480"/>
      <c r="AS157" s="480"/>
      <c r="AT157" s="480"/>
      <c r="AU157" s="480"/>
      <c r="AV157" s="480"/>
      <c r="AW157" s="480"/>
      <c r="AX157" s="480"/>
      <c r="AY157" s="480"/>
      <c r="AZ157" s="480"/>
      <c r="BA157" s="480"/>
      <c r="BB157" s="480"/>
      <c r="BC157" s="480"/>
      <c r="BD157" s="480"/>
      <c r="BE157" s="480"/>
      <c r="BF157" s="480"/>
      <c r="BG157" s="480"/>
      <c r="BH157" s="480"/>
      <c r="BI157" s="480"/>
      <c r="BJ157" s="480"/>
      <c r="BK157" s="480"/>
      <c r="BL157" s="480"/>
      <c r="BM157" s="480"/>
      <c r="BN157" s="480"/>
      <c r="BO157" s="480"/>
      <c r="BP157" s="480"/>
      <c r="BQ157" s="480"/>
      <c r="BR157" s="480"/>
      <c r="BS157" s="480"/>
      <c r="BT157" s="480"/>
      <c r="BU157" s="480"/>
      <c r="BV157" s="480"/>
      <c r="BW157" s="480"/>
      <c r="BX157" s="480"/>
      <c r="BY157" s="480"/>
      <c r="BZ157" s="480"/>
      <c r="CA157" s="480"/>
      <c r="CB157" s="480"/>
      <c r="CC157" s="480"/>
      <c r="CD157" s="480"/>
      <c r="CE157" s="480"/>
      <c r="CF157" s="480"/>
      <c r="CG157" s="480"/>
      <c r="CH157" s="480"/>
      <c r="CI157" s="480"/>
      <c r="CJ157" s="480"/>
      <c r="CK157" s="480"/>
      <c r="CL157" s="480"/>
      <c r="CM157" s="480"/>
      <c r="CN157" s="480"/>
      <c r="CO157" s="480"/>
      <c r="CP157" s="480"/>
      <c r="CQ157" s="480"/>
      <c r="CR157" s="480"/>
      <c r="CS157" s="480"/>
      <c r="CT157" s="480"/>
      <c r="CU157" s="480"/>
      <c r="CV157" s="480"/>
      <c r="CW157" s="480"/>
      <c r="CX157" s="480"/>
      <c r="CY157" s="77"/>
      <c r="CZ157" s="119"/>
      <c r="DA157" s="480"/>
      <c r="DB157" s="480"/>
      <c r="DC157" s="480"/>
      <c r="DD157" s="480"/>
      <c r="DE157" s="480"/>
      <c r="DF157" s="480"/>
      <c r="DG157" s="480"/>
      <c r="DH157" s="480"/>
      <c r="DI157" s="480"/>
      <c r="DJ157" s="480"/>
      <c r="DK157" s="480"/>
      <c r="DL157" s="480"/>
      <c r="DM157" s="480"/>
      <c r="DN157" s="480"/>
      <c r="DO157" s="480"/>
      <c r="DP157" s="480"/>
      <c r="DQ157" s="480"/>
      <c r="DR157" s="480"/>
      <c r="DS157" s="480"/>
      <c r="DT157" s="480"/>
      <c r="DU157" s="480"/>
      <c r="DV157" s="480"/>
      <c r="DW157" s="480"/>
      <c r="DX157" s="480"/>
      <c r="DY157" s="480"/>
      <c r="DZ157" s="480"/>
      <c r="EA157" s="480"/>
      <c r="EB157" s="480"/>
      <c r="EC157" s="480"/>
      <c r="ED157" s="480"/>
      <c r="EE157" s="480"/>
      <c r="EF157" s="480"/>
      <c r="EG157" s="480"/>
      <c r="EH157" s="480"/>
      <c r="EI157" s="480"/>
      <c r="EJ157" s="480"/>
      <c r="EK157" s="480"/>
      <c r="EL157" s="480"/>
      <c r="EM157" s="480"/>
      <c r="EN157" s="480"/>
      <c r="EO157" s="480"/>
      <c r="EP157" s="480"/>
      <c r="EQ157" s="480"/>
      <c r="ER157" s="480"/>
      <c r="ES157" s="480"/>
      <c r="ET157" s="480"/>
      <c r="EU157" s="480"/>
      <c r="EV157" s="480"/>
      <c r="EW157" s="480"/>
      <c r="EX157" s="480"/>
      <c r="EY157" s="480"/>
      <c r="EZ157" s="480"/>
      <c r="FA157" s="480"/>
      <c r="FB157" s="480"/>
      <c r="FC157" s="480"/>
      <c r="FD157" s="480"/>
      <c r="FE157" s="480"/>
      <c r="FF157" s="480"/>
      <c r="FG157" s="480"/>
      <c r="FH157" s="480"/>
      <c r="FI157" s="480"/>
      <c r="FJ157" s="480"/>
      <c r="FK157" s="480"/>
      <c r="FL157" s="480"/>
      <c r="FM157" s="480"/>
      <c r="FN157" s="480"/>
      <c r="FO157" s="480"/>
      <c r="FP157" s="480"/>
      <c r="FQ157" s="480"/>
      <c r="FR157" s="480"/>
      <c r="FS157" s="480"/>
      <c r="FT157" s="480"/>
      <c r="FU157" s="480"/>
      <c r="FV157" s="480"/>
      <c r="FW157" s="480"/>
      <c r="FX157" s="480"/>
      <c r="FY157" s="480"/>
      <c r="FZ157" s="480"/>
      <c r="GA157" s="480"/>
      <c r="GB157" s="480"/>
      <c r="GC157" s="480"/>
      <c r="GD157" s="480"/>
      <c r="GE157" s="480"/>
      <c r="GF157" s="480"/>
      <c r="GG157" s="480"/>
      <c r="GH157" s="480"/>
      <c r="GI157" s="480"/>
      <c r="GJ157" s="480"/>
      <c r="GK157" s="480"/>
      <c r="GL157" s="77"/>
    </row>
    <row r="158" spans="1:194" s="1" customFormat="1" x14ac:dyDescent="0.3">
      <c r="A158" s="108" t="s">
        <v>52</v>
      </c>
      <c r="B158" s="524" t="s">
        <v>228</v>
      </c>
      <c r="C158" s="483" t="str">
        <f t="shared" si="43"/>
        <v>England ICB - NHS Bath and North East Somerset, Swindon and Wiltshire Integrated Care Board</v>
      </c>
      <c r="D158" s="79">
        <f t="shared" ref="D158:E163" si="45">I158</f>
        <v>372192</v>
      </c>
      <c r="E158" s="79">
        <f t="shared" si="45"/>
        <v>388592</v>
      </c>
      <c r="F158" s="109">
        <f t="shared" ref="F158:F163" si="46">G158+H158</f>
        <v>953852</v>
      </c>
      <c r="G158" s="481">
        <f t="shared" ref="G158:G163" si="47">SUM(M158:CY158)</f>
        <v>470982</v>
      </c>
      <c r="H158" s="62">
        <f t="shared" ref="H158:H163" si="48">SUM(CZ158:GL158)</f>
        <v>482870</v>
      </c>
      <c r="I158" s="481">
        <f t="shared" ref="I158:I163" si="49">SUM(AE158:CY158)</f>
        <v>372192</v>
      </c>
      <c r="J158" s="104">
        <f t="shared" ref="J158:J163" si="50">SUM(DR158:GL158)</f>
        <v>388592</v>
      </c>
      <c r="K158" s="106">
        <f t="shared" ref="K158:K163" si="51">SUM(M158:AD158)</f>
        <v>98790</v>
      </c>
      <c r="L158" s="61">
        <f t="shared" ref="L158:L163" si="52">SUM(CZ158:DQ158)</f>
        <v>94278</v>
      </c>
      <c r="M158" s="106">
        <v>4647</v>
      </c>
      <c r="N158" s="482">
        <v>4706</v>
      </c>
      <c r="O158" s="482">
        <v>4907</v>
      </c>
      <c r="P158" s="482">
        <v>5108</v>
      </c>
      <c r="Q158" s="482">
        <v>5293</v>
      </c>
      <c r="R158" s="482">
        <v>5287</v>
      </c>
      <c r="S158" s="482">
        <v>5628</v>
      </c>
      <c r="T158" s="482">
        <v>5623</v>
      </c>
      <c r="U158" s="482">
        <v>5617</v>
      </c>
      <c r="V158" s="482">
        <v>5799</v>
      </c>
      <c r="W158" s="482">
        <v>6160</v>
      </c>
      <c r="X158" s="482">
        <v>6033</v>
      </c>
      <c r="Y158" s="482">
        <v>5955</v>
      </c>
      <c r="Z158" s="482">
        <v>5803</v>
      </c>
      <c r="AA158" s="482">
        <v>5710</v>
      </c>
      <c r="AB158" s="482">
        <v>5605</v>
      </c>
      <c r="AC158" s="482">
        <v>5496</v>
      </c>
      <c r="AD158" s="482">
        <v>5413</v>
      </c>
      <c r="AE158" s="482">
        <v>5967</v>
      </c>
      <c r="AF158" s="482">
        <v>6678</v>
      </c>
      <c r="AG158" s="482">
        <v>6216</v>
      </c>
      <c r="AH158" s="482">
        <v>5569</v>
      </c>
      <c r="AI158" s="482">
        <v>5932</v>
      </c>
      <c r="AJ158" s="482">
        <v>5961</v>
      </c>
      <c r="AK158" s="482">
        <v>5644</v>
      </c>
      <c r="AL158" s="482">
        <v>5569</v>
      </c>
      <c r="AM158" s="482">
        <v>5603</v>
      </c>
      <c r="AN158" s="482">
        <v>5436</v>
      </c>
      <c r="AO158" s="482">
        <v>5723</v>
      </c>
      <c r="AP158" s="482">
        <v>5509</v>
      </c>
      <c r="AQ158" s="482">
        <v>5906</v>
      </c>
      <c r="AR158" s="482">
        <v>5926</v>
      </c>
      <c r="AS158" s="482">
        <v>5999</v>
      </c>
      <c r="AT158" s="482">
        <v>5968</v>
      </c>
      <c r="AU158" s="482">
        <v>6124</v>
      </c>
      <c r="AV158" s="482">
        <v>6089</v>
      </c>
      <c r="AW158" s="482">
        <v>6037</v>
      </c>
      <c r="AX158" s="482">
        <v>5950</v>
      </c>
      <c r="AY158" s="482">
        <v>6029</v>
      </c>
      <c r="AZ158" s="482">
        <v>5880</v>
      </c>
      <c r="BA158" s="482">
        <v>5821</v>
      </c>
      <c r="BB158" s="482">
        <v>5960</v>
      </c>
      <c r="BC158" s="482">
        <v>6033</v>
      </c>
      <c r="BD158" s="482">
        <v>5922</v>
      </c>
      <c r="BE158" s="482">
        <v>5375</v>
      </c>
      <c r="BF158" s="482">
        <v>5274</v>
      </c>
      <c r="BG158" s="482">
        <v>5437</v>
      </c>
      <c r="BH158" s="482">
        <v>5820</v>
      </c>
      <c r="BI158" s="482">
        <v>5866</v>
      </c>
      <c r="BJ158" s="482">
        <v>6432</v>
      </c>
      <c r="BK158" s="482">
        <v>6631</v>
      </c>
      <c r="BL158" s="482">
        <v>6700</v>
      </c>
      <c r="BM158" s="482">
        <v>6536</v>
      </c>
      <c r="BN158" s="482">
        <v>6527</v>
      </c>
      <c r="BO158" s="482">
        <v>6586</v>
      </c>
      <c r="BP158" s="482">
        <v>6746</v>
      </c>
      <c r="BQ158" s="482">
        <v>6723</v>
      </c>
      <c r="BR158" s="482">
        <v>6887</v>
      </c>
      <c r="BS158" s="482">
        <v>6661</v>
      </c>
      <c r="BT158" s="482">
        <v>6550</v>
      </c>
      <c r="BU158" s="482">
        <v>6440</v>
      </c>
      <c r="BV158" s="482">
        <v>6192</v>
      </c>
      <c r="BW158" s="482">
        <v>5977</v>
      </c>
      <c r="BX158" s="482">
        <v>5691</v>
      </c>
      <c r="BY158" s="482">
        <v>5371</v>
      </c>
      <c r="BZ158" s="482">
        <v>5135</v>
      </c>
      <c r="CA158" s="482">
        <v>4863</v>
      </c>
      <c r="CB158" s="482">
        <v>4730</v>
      </c>
      <c r="CC158" s="482">
        <v>4797</v>
      </c>
      <c r="CD158" s="482">
        <v>4544</v>
      </c>
      <c r="CE158" s="482">
        <v>4485</v>
      </c>
      <c r="CF158" s="482">
        <v>4422</v>
      </c>
      <c r="CG158" s="482">
        <v>4421</v>
      </c>
      <c r="CH158" s="482">
        <v>4529</v>
      </c>
      <c r="CI158" s="482">
        <v>4861</v>
      </c>
      <c r="CJ158" s="482">
        <v>5197</v>
      </c>
      <c r="CK158" s="482">
        <v>3865</v>
      </c>
      <c r="CL158" s="482">
        <v>3773</v>
      </c>
      <c r="CM158" s="482">
        <v>3497</v>
      </c>
      <c r="CN158" s="482">
        <v>3141</v>
      </c>
      <c r="CO158" s="482">
        <v>2804</v>
      </c>
      <c r="CP158" s="482">
        <v>2380</v>
      </c>
      <c r="CQ158" s="482">
        <v>2335</v>
      </c>
      <c r="CR158" s="482">
        <v>2209</v>
      </c>
      <c r="CS158" s="482">
        <v>2008</v>
      </c>
      <c r="CT158" s="482">
        <v>1804</v>
      </c>
      <c r="CU158" s="482">
        <v>1625</v>
      </c>
      <c r="CV158" s="482">
        <v>1368</v>
      </c>
      <c r="CW158" s="482">
        <v>1144</v>
      </c>
      <c r="CX158" s="482">
        <v>1023</v>
      </c>
      <c r="CY158" s="61">
        <v>3359</v>
      </c>
      <c r="CZ158" s="106">
        <v>4395</v>
      </c>
      <c r="DA158" s="482">
        <v>4569</v>
      </c>
      <c r="DB158" s="482">
        <v>4724</v>
      </c>
      <c r="DC158" s="482">
        <v>4830</v>
      </c>
      <c r="DD158" s="482">
        <v>5033</v>
      </c>
      <c r="DE158" s="482">
        <v>5193</v>
      </c>
      <c r="DF158" s="482">
        <v>5362</v>
      </c>
      <c r="DG158" s="482">
        <v>5295</v>
      </c>
      <c r="DH158" s="482">
        <v>5344</v>
      </c>
      <c r="DI158" s="482">
        <v>5565</v>
      </c>
      <c r="DJ158" s="482">
        <v>5551</v>
      </c>
      <c r="DK158" s="482">
        <v>5719</v>
      </c>
      <c r="DL158" s="482">
        <v>5546</v>
      </c>
      <c r="DM158" s="482">
        <v>5549</v>
      </c>
      <c r="DN158" s="482">
        <v>5624</v>
      </c>
      <c r="DO158" s="482">
        <v>5574</v>
      </c>
      <c r="DP158" s="482">
        <v>5184</v>
      </c>
      <c r="DQ158" s="482">
        <v>5221</v>
      </c>
      <c r="DR158" s="482">
        <v>5415</v>
      </c>
      <c r="DS158" s="482">
        <v>5600</v>
      </c>
      <c r="DT158" s="482">
        <v>5189</v>
      </c>
      <c r="DU158" s="482">
        <v>4912</v>
      </c>
      <c r="DV158" s="482">
        <v>5426</v>
      </c>
      <c r="DW158" s="482">
        <v>5137</v>
      </c>
      <c r="DX158" s="482">
        <v>5128</v>
      </c>
      <c r="DY158" s="482">
        <v>5294</v>
      </c>
      <c r="DZ158" s="482">
        <v>5013</v>
      </c>
      <c r="EA158" s="482">
        <v>5302</v>
      </c>
      <c r="EB158" s="482">
        <v>5698</v>
      </c>
      <c r="EC158" s="482">
        <v>5815</v>
      </c>
      <c r="ED158" s="482">
        <v>5939</v>
      </c>
      <c r="EE158" s="482">
        <v>6272</v>
      </c>
      <c r="EF158" s="482">
        <v>6263</v>
      </c>
      <c r="EG158" s="482">
        <v>6313</v>
      </c>
      <c r="EH158" s="482">
        <v>6318</v>
      </c>
      <c r="EI158" s="482">
        <v>6535</v>
      </c>
      <c r="EJ158" s="482">
        <v>6131</v>
      </c>
      <c r="EK158" s="482">
        <v>6244</v>
      </c>
      <c r="EL158" s="482">
        <v>6165</v>
      </c>
      <c r="EM158" s="482">
        <v>5942</v>
      </c>
      <c r="EN158" s="482">
        <v>6211</v>
      </c>
      <c r="EO158" s="482">
        <v>6218</v>
      </c>
      <c r="EP158" s="482">
        <v>6104</v>
      </c>
      <c r="EQ158" s="482">
        <v>5799</v>
      </c>
      <c r="ER158" s="482">
        <v>5574</v>
      </c>
      <c r="ES158" s="482">
        <v>5586</v>
      </c>
      <c r="ET158" s="482">
        <v>5770</v>
      </c>
      <c r="EU158" s="482">
        <v>5831</v>
      </c>
      <c r="EV158" s="482">
        <v>6251</v>
      </c>
      <c r="EW158" s="482">
        <v>6563</v>
      </c>
      <c r="EX158" s="482">
        <v>6923</v>
      </c>
      <c r="EY158" s="482">
        <v>6736</v>
      </c>
      <c r="EZ158" s="482">
        <v>6661</v>
      </c>
      <c r="FA158" s="482">
        <v>6860</v>
      </c>
      <c r="FB158" s="482">
        <v>6795</v>
      </c>
      <c r="FC158" s="482">
        <v>7093</v>
      </c>
      <c r="FD158" s="482">
        <v>7056</v>
      </c>
      <c r="FE158" s="482">
        <v>6890</v>
      </c>
      <c r="FF158" s="482">
        <v>6926</v>
      </c>
      <c r="FG158" s="482">
        <v>6551</v>
      </c>
      <c r="FH158" s="482">
        <v>6513</v>
      </c>
      <c r="FI158" s="482">
        <v>6413</v>
      </c>
      <c r="FJ158" s="482">
        <v>5897</v>
      </c>
      <c r="FK158" s="482">
        <v>5838</v>
      </c>
      <c r="FL158" s="482">
        <v>5643</v>
      </c>
      <c r="FM158" s="482">
        <v>5384</v>
      </c>
      <c r="FN158" s="482">
        <v>5189</v>
      </c>
      <c r="FO158" s="482">
        <v>5034</v>
      </c>
      <c r="FP158" s="482">
        <v>5088</v>
      </c>
      <c r="FQ158" s="482">
        <v>5112</v>
      </c>
      <c r="FR158" s="482">
        <v>4845</v>
      </c>
      <c r="FS158" s="482">
        <v>4831</v>
      </c>
      <c r="FT158" s="482">
        <v>4917</v>
      </c>
      <c r="FU158" s="482">
        <v>5074</v>
      </c>
      <c r="FV158" s="482">
        <v>5409</v>
      </c>
      <c r="FW158" s="482">
        <v>5546</v>
      </c>
      <c r="FX158" s="482">
        <v>4375</v>
      </c>
      <c r="FY158" s="482">
        <v>4296</v>
      </c>
      <c r="FZ158" s="482">
        <v>4189</v>
      </c>
      <c r="GA158" s="482">
        <v>3718</v>
      </c>
      <c r="GB158" s="482">
        <v>3306</v>
      </c>
      <c r="GC158" s="482">
        <v>2846</v>
      </c>
      <c r="GD158" s="482">
        <v>2931</v>
      </c>
      <c r="GE158" s="482">
        <v>2828</v>
      </c>
      <c r="GF158" s="482">
        <v>2632</v>
      </c>
      <c r="GG158" s="482">
        <v>2327</v>
      </c>
      <c r="GH158" s="482">
        <v>2137</v>
      </c>
      <c r="GI158" s="482">
        <v>1982</v>
      </c>
      <c r="GJ158" s="482">
        <v>1693</v>
      </c>
      <c r="GK158" s="482">
        <v>1476</v>
      </c>
      <c r="GL158" s="61">
        <v>6674</v>
      </c>
    </row>
    <row r="159" spans="1:194" s="1" customFormat="1" x14ac:dyDescent="0.3">
      <c r="A159" s="110" t="s">
        <v>52</v>
      </c>
      <c r="B159" s="525"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3">
      <c r="A160" s="110" t="s">
        <v>52</v>
      </c>
      <c r="B160" s="525"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3">
      <c r="A161" s="110" t="s">
        <v>52</v>
      </c>
      <c r="B161" s="525"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3">
      <c r="A162" s="110" t="s">
        <v>52</v>
      </c>
      <c r="B162" s="525"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3">
      <c r="A163" s="110" t="s">
        <v>52</v>
      </c>
      <c r="B163" s="525"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3">
      <c r="A164" s="110" t="s">
        <v>52</v>
      </c>
      <c r="B164" s="525"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3">
      <c r="A165" s="110" t="s">
        <v>52</v>
      </c>
      <c r="B165" s="525"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3">
      <c r="A166" s="110" t="s">
        <v>52</v>
      </c>
      <c r="B166" s="525"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3">
      <c r="A167" s="110" t="s">
        <v>52</v>
      </c>
      <c r="B167" s="525"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3">
      <c r="A168" s="110" t="s">
        <v>52</v>
      </c>
      <c r="B168" s="525"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3">
      <c r="A169" s="110" t="s">
        <v>52</v>
      </c>
      <c r="B169" s="525"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3">
      <c r="A170" s="110" t="s">
        <v>52</v>
      </c>
      <c r="B170" s="525"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3">
      <c r="A171" s="110" t="s">
        <v>52</v>
      </c>
      <c r="B171" s="525"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3">
      <c r="A172" s="110" t="s">
        <v>52</v>
      </c>
      <c r="B172" s="525"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3">
      <c r="A173" s="110" t="s">
        <v>52</v>
      </c>
      <c r="B173" s="525"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3">
      <c r="A174" s="110" t="s">
        <v>52</v>
      </c>
      <c r="B174" s="525"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3">
      <c r="A175" s="110" t="s">
        <v>52</v>
      </c>
      <c r="B175" s="525"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3">
      <c r="A176" s="110" t="s">
        <v>52</v>
      </c>
      <c r="B176" s="525"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3">
      <c r="A177" s="110" t="s">
        <v>52</v>
      </c>
      <c r="B177" s="525"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3">
      <c r="A178" s="110" t="s">
        <v>52</v>
      </c>
      <c r="B178" s="525"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3">
      <c r="A179" s="110" t="s">
        <v>52</v>
      </c>
      <c r="B179" s="525"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3">
      <c r="A180" s="110" t="s">
        <v>52</v>
      </c>
      <c r="B180" s="525"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3">
      <c r="A181" s="110" t="s">
        <v>52</v>
      </c>
      <c r="B181" s="525"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3">
      <c r="A182" s="110" t="s">
        <v>52</v>
      </c>
      <c r="B182" s="525"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3">
      <c r="A183" s="110" t="s">
        <v>52</v>
      </c>
      <c r="B183" s="525"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3">
      <c r="A184" s="110" t="s">
        <v>52</v>
      </c>
      <c r="B184" s="525"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3">
      <c r="A185" s="110" t="s">
        <v>52</v>
      </c>
      <c r="B185" s="525"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3">
      <c r="A186" s="110" t="s">
        <v>52</v>
      </c>
      <c r="B186" s="525"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3">
      <c r="A187" s="110" t="s">
        <v>52</v>
      </c>
      <c r="B187" s="525"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3">
      <c r="A188" s="110" t="s">
        <v>52</v>
      </c>
      <c r="B188" s="525"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3">
      <c r="A189" s="110" t="s">
        <v>52</v>
      </c>
      <c r="B189" s="525"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3">
      <c r="A190" s="110" t="s">
        <v>52</v>
      </c>
      <c r="B190" s="525"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3">
      <c r="A191" s="110" t="s">
        <v>52</v>
      </c>
      <c r="B191" s="525"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3">
      <c r="A192" s="110" t="s">
        <v>52</v>
      </c>
      <c r="B192" s="525"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3">
      <c r="A193" s="110" t="s">
        <v>52</v>
      </c>
      <c r="B193" s="525"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3">
      <c r="A194" s="110" t="s">
        <v>52</v>
      </c>
      <c r="B194" s="525"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3">
      <c r="A195" s="110" t="s">
        <v>52</v>
      </c>
      <c r="B195" s="525"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3">
      <c r="A196" s="110" t="s">
        <v>52</v>
      </c>
      <c r="B196" s="525"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3">
      <c r="A197" s="110" t="s">
        <v>52</v>
      </c>
      <c r="B197" s="525"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3">
      <c r="A198" s="110" t="s">
        <v>52</v>
      </c>
      <c r="B198" s="525"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3">
      <c r="A199" s="110" t="s">
        <v>52</v>
      </c>
      <c r="B199" s="525"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3">
      <c r="A200" s="113"/>
      <c r="B200" s="526"/>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3">
      <c r="A201" s="31" t="s">
        <v>81</v>
      </c>
      <c r="B201" s="1" t="s">
        <v>270</v>
      </c>
      <c r="C201" s="72" t="str">
        <f>CONCATENATE(A201," - ",B201)</f>
        <v>LA England - Adur</v>
      </c>
      <c r="D201" s="61">
        <f t="shared" ref="D201:D265" si="73">I201</f>
        <v>24443</v>
      </c>
      <c r="E201" s="61">
        <f t="shared" ref="E201:E265" si="74">J201</f>
        <v>27108</v>
      </c>
      <c r="F201" s="481">
        <f t="shared" ref="F201:F265" si="75">G201+H201</f>
        <v>64688</v>
      </c>
      <c r="G201" s="481">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3">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3">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3">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3">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3">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3">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3">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3">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3">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3">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3">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3">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3">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3">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3">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3">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3">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3">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3">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3">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3">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3">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3">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3">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3">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3">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3">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3">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3">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3">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3">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3">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3">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3">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3">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3">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3">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3">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3">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3">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3">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3">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3">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3">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3">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3">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3">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3">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3">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3">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3">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3">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3">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3">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3">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3">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3">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3">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3">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3">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3">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3">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3">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3">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3">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3">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3">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3">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3">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3">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3">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3">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3">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3">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3">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3">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3">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3">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3">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3">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3">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3">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3">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3">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3">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3">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3">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3">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3">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3">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3">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3">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3">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3">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3">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3">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3">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3">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3">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3">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3">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3">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3">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3">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3">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3">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3">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3">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3">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3">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3">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3">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3">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3">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3">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3">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3">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3">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3">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3">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3">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3">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3">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3">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3">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3">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3">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3">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3">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3">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3">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3">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3">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3">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3">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3">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3">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3">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3">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3">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3">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3">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3">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3">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3">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3">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3">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3">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3">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3">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3">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3">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3">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3">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3">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3">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3">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3">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3">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3">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3">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3">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3">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3">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3">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3">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3">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3">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3">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3">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3">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3">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3">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3">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3">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3">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3">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3">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3">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3">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3">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3">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3">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3">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3">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3">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3">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3">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3">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3">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3">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3">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3">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3">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3">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3">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3">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3">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3">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3">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3">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3">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3">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3">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3">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3">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3">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3">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3">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3">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3">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3">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3">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3">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3">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3">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3">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3">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3">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3">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3">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3">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3">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3">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3">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3">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3">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3">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3">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3">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3">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3">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3">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3">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3">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3">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3">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3">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3">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3">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3">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3">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3">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3">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3">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3">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3">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3">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3">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3">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3">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3">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3">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3">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3">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3">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3">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3">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3">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3">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3">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3">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3">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3">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3">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3">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3">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3">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3">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3">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3">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3">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3">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3">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3">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3">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3">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3">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3">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3">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3">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3">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3">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3">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3">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3">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3">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3">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3">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3">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3">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3">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3">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3">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3">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3">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3">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11">
        <v>391</v>
      </c>
      <c r="N498" s="511">
        <v>334</v>
      </c>
      <c r="O498" s="511">
        <v>374</v>
      </c>
      <c r="P498" s="511">
        <v>393</v>
      </c>
      <c r="Q498" s="511">
        <v>365</v>
      </c>
      <c r="R498" s="511">
        <v>333</v>
      </c>
      <c r="S498" s="511">
        <v>365</v>
      </c>
      <c r="T498" s="511">
        <v>388</v>
      </c>
      <c r="U498" s="511">
        <v>394</v>
      </c>
      <c r="V498" s="511">
        <v>392</v>
      </c>
      <c r="W498" s="511">
        <v>375</v>
      </c>
      <c r="X498" s="511">
        <v>423</v>
      </c>
      <c r="Y498" s="511">
        <v>403</v>
      </c>
      <c r="Z498" s="511">
        <v>425</v>
      </c>
      <c r="AA498" s="511">
        <v>394</v>
      </c>
      <c r="AB498" s="511">
        <v>319</v>
      </c>
      <c r="AC498" s="511">
        <v>337</v>
      </c>
      <c r="AD498" s="511">
        <v>363</v>
      </c>
      <c r="AE498" s="511">
        <v>363</v>
      </c>
      <c r="AF498" s="511">
        <v>317</v>
      </c>
      <c r="AG498" s="511">
        <v>288</v>
      </c>
      <c r="AH498" s="511">
        <v>332</v>
      </c>
      <c r="AI498" s="511">
        <v>374</v>
      </c>
      <c r="AJ498" s="511">
        <v>338</v>
      </c>
      <c r="AK498" s="511">
        <v>389</v>
      </c>
      <c r="AL498" s="511">
        <v>412</v>
      </c>
      <c r="AM498" s="511">
        <v>367</v>
      </c>
      <c r="AN498" s="511">
        <v>361</v>
      </c>
      <c r="AO498" s="511">
        <v>441</v>
      </c>
      <c r="AP498" s="511">
        <v>438</v>
      </c>
      <c r="AQ498" s="511">
        <v>468</v>
      </c>
      <c r="AR498" s="511">
        <v>465</v>
      </c>
      <c r="AS498" s="511">
        <v>442</v>
      </c>
      <c r="AT498" s="511">
        <v>467</v>
      </c>
      <c r="AU498" s="511">
        <v>398</v>
      </c>
      <c r="AV498" s="511">
        <v>423</v>
      </c>
      <c r="AW498" s="511">
        <v>418</v>
      </c>
      <c r="AX498" s="511">
        <v>449</v>
      </c>
      <c r="AY498" s="511">
        <v>389</v>
      </c>
      <c r="AZ498" s="511">
        <v>409</v>
      </c>
      <c r="BA498" s="511">
        <v>365</v>
      </c>
      <c r="BB498" s="511">
        <v>396</v>
      </c>
      <c r="BC498" s="511">
        <v>373</v>
      </c>
      <c r="BD498" s="511">
        <v>369</v>
      </c>
      <c r="BE498" s="511">
        <v>348</v>
      </c>
      <c r="BF498" s="511">
        <v>299</v>
      </c>
      <c r="BG498" s="511">
        <v>345</v>
      </c>
      <c r="BH498" s="511">
        <v>417</v>
      </c>
      <c r="BI498" s="511">
        <v>386</v>
      </c>
      <c r="BJ498" s="511">
        <v>430</v>
      </c>
      <c r="BK498" s="511">
        <v>495</v>
      </c>
      <c r="BL498" s="511">
        <v>469</v>
      </c>
      <c r="BM498" s="511">
        <v>471</v>
      </c>
      <c r="BN498" s="511">
        <v>521</v>
      </c>
      <c r="BO498" s="511">
        <v>498</v>
      </c>
      <c r="BP498" s="511">
        <v>491</v>
      </c>
      <c r="BQ498" s="511">
        <v>525</v>
      </c>
      <c r="BR498" s="511">
        <v>529</v>
      </c>
      <c r="BS498" s="511">
        <v>512</v>
      </c>
      <c r="BT498" s="511">
        <v>493</v>
      </c>
      <c r="BU498" s="511">
        <v>503</v>
      </c>
      <c r="BV498" s="511">
        <v>432</v>
      </c>
      <c r="BW498" s="511">
        <v>445</v>
      </c>
      <c r="BX498" s="511">
        <v>434</v>
      </c>
      <c r="BY498" s="511">
        <v>364</v>
      </c>
      <c r="BZ498" s="511">
        <v>441</v>
      </c>
      <c r="CA498" s="511">
        <v>389</v>
      </c>
      <c r="CB498" s="511">
        <v>372</v>
      </c>
      <c r="CC498" s="511">
        <v>364</v>
      </c>
      <c r="CD498" s="511">
        <v>375</v>
      </c>
      <c r="CE498" s="511">
        <v>341</v>
      </c>
      <c r="CF498" s="511">
        <v>358</v>
      </c>
      <c r="CG498" s="511">
        <v>351</v>
      </c>
      <c r="CH498" s="511">
        <v>359</v>
      </c>
      <c r="CI498" s="511">
        <v>343</v>
      </c>
      <c r="CJ498" s="511">
        <v>401</v>
      </c>
      <c r="CK498" s="511">
        <v>297</v>
      </c>
      <c r="CL498" s="511">
        <v>262</v>
      </c>
      <c r="CM498" s="511">
        <v>235</v>
      </c>
      <c r="CN498" s="511">
        <v>261</v>
      </c>
      <c r="CO498" s="511">
        <v>210</v>
      </c>
      <c r="CP498" s="511">
        <v>179</v>
      </c>
      <c r="CQ498" s="511">
        <v>155</v>
      </c>
      <c r="CR498" s="511">
        <v>164</v>
      </c>
      <c r="CS498" s="511">
        <v>135</v>
      </c>
      <c r="CT498" s="511">
        <v>101</v>
      </c>
      <c r="CU498" s="511">
        <v>100</v>
      </c>
      <c r="CV498" s="511">
        <v>87</v>
      </c>
      <c r="CW498" s="511">
        <v>55</v>
      </c>
      <c r="CX498" s="511">
        <v>58</v>
      </c>
      <c r="CY498" s="511">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3">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11">
        <v>731</v>
      </c>
      <c r="N499" s="511">
        <v>689</v>
      </c>
      <c r="O499" s="511">
        <v>714</v>
      </c>
      <c r="P499" s="511">
        <v>751</v>
      </c>
      <c r="Q499" s="511">
        <v>788</v>
      </c>
      <c r="R499" s="511">
        <v>823</v>
      </c>
      <c r="S499" s="511">
        <v>811</v>
      </c>
      <c r="T499" s="511">
        <v>852</v>
      </c>
      <c r="U499" s="511">
        <v>862</v>
      </c>
      <c r="V499" s="511">
        <v>879</v>
      </c>
      <c r="W499" s="511">
        <v>884</v>
      </c>
      <c r="X499" s="511">
        <v>978</v>
      </c>
      <c r="Y499" s="511">
        <v>895</v>
      </c>
      <c r="Z499" s="511">
        <v>924</v>
      </c>
      <c r="AA499" s="511">
        <v>890</v>
      </c>
      <c r="AB499" s="511">
        <v>868</v>
      </c>
      <c r="AC499" s="511">
        <v>836</v>
      </c>
      <c r="AD499" s="511">
        <v>905</v>
      </c>
      <c r="AE499" s="511">
        <v>777</v>
      </c>
      <c r="AF499" s="511">
        <v>641</v>
      </c>
      <c r="AG499" s="511">
        <v>674</v>
      </c>
      <c r="AH499" s="511">
        <v>686</v>
      </c>
      <c r="AI499" s="511">
        <v>727</v>
      </c>
      <c r="AJ499" s="511">
        <v>840</v>
      </c>
      <c r="AK499" s="511">
        <v>858</v>
      </c>
      <c r="AL499" s="511">
        <v>945</v>
      </c>
      <c r="AM499" s="511">
        <v>890</v>
      </c>
      <c r="AN499" s="511">
        <v>816</v>
      </c>
      <c r="AO499" s="511">
        <v>944</v>
      </c>
      <c r="AP499" s="511">
        <v>857</v>
      </c>
      <c r="AQ499" s="511">
        <v>968</v>
      </c>
      <c r="AR499" s="511">
        <v>910</v>
      </c>
      <c r="AS499" s="511">
        <v>982</v>
      </c>
      <c r="AT499" s="511">
        <v>986</v>
      </c>
      <c r="AU499" s="511">
        <v>996</v>
      </c>
      <c r="AV499" s="511">
        <v>984</v>
      </c>
      <c r="AW499" s="511">
        <v>944</v>
      </c>
      <c r="AX499" s="511">
        <v>937</v>
      </c>
      <c r="AY499" s="511">
        <v>874</v>
      </c>
      <c r="AZ499" s="511">
        <v>882</v>
      </c>
      <c r="BA499" s="511">
        <v>860</v>
      </c>
      <c r="BB499" s="511">
        <v>916</v>
      </c>
      <c r="BC499" s="511">
        <v>935</v>
      </c>
      <c r="BD499" s="511">
        <v>885</v>
      </c>
      <c r="BE499" s="511">
        <v>798</v>
      </c>
      <c r="BF499" s="511">
        <v>764</v>
      </c>
      <c r="BG499" s="511">
        <v>821</v>
      </c>
      <c r="BH499" s="511">
        <v>816</v>
      </c>
      <c r="BI499" s="511">
        <v>884</v>
      </c>
      <c r="BJ499" s="511">
        <v>901</v>
      </c>
      <c r="BK499" s="511">
        <v>1009</v>
      </c>
      <c r="BL499" s="511">
        <v>1091</v>
      </c>
      <c r="BM499" s="511">
        <v>977</v>
      </c>
      <c r="BN499" s="511">
        <v>1017</v>
      </c>
      <c r="BO499" s="511">
        <v>1078</v>
      </c>
      <c r="BP499" s="511">
        <v>1056</v>
      </c>
      <c r="BQ499" s="511">
        <v>1081</v>
      </c>
      <c r="BR499" s="511">
        <v>1062</v>
      </c>
      <c r="BS499" s="511">
        <v>1067</v>
      </c>
      <c r="BT499" s="511">
        <v>1000</v>
      </c>
      <c r="BU499" s="511">
        <v>1035</v>
      </c>
      <c r="BV499" s="511">
        <v>984</v>
      </c>
      <c r="BW499" s="511">
        <v>918</v>
      </c>
      <c r="BX499" s="511">
        <v>903</v>
      </c>
      <c r="BY499" s="511">
        <v>907</v>
      </c>
      <c r="BZ499" s="511">
        <v>835</v>
      </c>
      <c r="CA499" s="511">
        <v>831</v>
      </c>
      <c r="CB499" s="511">
        <v>766</v>
      </c>
      <c r="CC499" s="511">
        <v>742</v>
      </c>
      <c r="CD499" s="511">
        <v>776</v>
      </c>
      <c r="CE499" s="511">
        <v>736</v>
      </c>
      <c r="CF499" s="511">
        <v>767</v>
      </c>
      <c r="CG499" s="511">
        <v>726</v>
      </c>
      <c r="CH499" s="511">
        <v>780</v>
      </c>
      <c r="CI499" s="511">
        <v>754</v>
      </c>
      <c r="CJ499" s="511">
        <v>809</v>
      </c>
      <c r="CK499" s="511">
        <v>632</v>
      </c>
      <c r="CL499" s="511">
        <v>617</v>
      </c>
      <c r="CM499" s="511">
        <v>572</v>
      </c>
      <c r="CN499" s="511">
        <v>506</v>
      </c>
      <c r="CO499" s="511">
        <v>443</v>
      </c>
      <c r="CP499" s="511">
        <v>449</v>
      </c>
      <c r="CQ499" s="511">
        <v>367</v>
      </c>
      <c r="CR499" s="511">
        <v>336</v>
      </c>
      <c r="CS499" s="511">
        <v>314</v>
      </c>
      <c r="CT499" s="511">
        <v>257</v>
      </c>
      <c r="CU499" s="511">
        <v>226</v>
      </c>
      <c r="CV499" s="511">
        <v>223</v>
      </c>
      <c r="CW499" s="511">
        <v>154</v>
      </c>
      <c r="CX499" s="511">
        <v>144</v>
      </c>
      <c r="CY499" s="511">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3">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11">
        <v>834</v>
      </c>
      <c r="N500" s="511">
        <v>824</v>
      </c>
      <c r="O500" s="511">
        <v>908</v>
      </c>
      <c r="P500" s="511">
        <v>935</v>
      </c>
      <c r="Q500" s="511">
        <v>1007</v>
      </c>
      <c r="R500" s="511">
        <v>996</v>
      </c>
      <c r="S500" s="511">
        <v>1029</v>
      </c>
      <c r="T500" s="511">
        <v>1072</v>
      </c>
      <c r="U500" s="511">
        <v>1068</v>
      </c>
      <c r="V500" s="511">
        <v>1056</v>
      </c>
      <c r="W500" s="511">
        <v>1069</v>
      </c>
      <c r="X500" s="511">
        <v>1095</v>
      </c>
      <c r="Y500" s="511">
        <v>1148</v>
      </c>
      <c r="Z500" s="511">
        <v>1126</v>
      </c>
      <c r="AA500" s="511">
        <v>1141</v>
      </c>
      <c r="AB500" s="511">
        <v>1053</v>
      </c>
      <c r="AC500" s="511">
        <v>1026</v>
      </c>
      <c r="AD500" s="511">
        <v>1028</v>
      </c>
      <c r="AE500" s="511">
        <v>1108</v>
      </c>
      <c r="AF500" s="511">
        <v>875</v>
      </c>
      <c r="AG500" s="511">
        <v>817</v>
      </c>
      <c r="AH500" s="511">
        <v>888</v>
      </c>
      <c r="AI500" s="511">
        <v>942</v>
      </c>
      <c r="AJ500" s="511">
        <v>891</v>
      </c>
      <c r="AK500" s="511">
        <v>901</v>
      </c>
      <c r="AL500" s="511">
        <v>1103</v>
      </c>
      <c r="AM500" s="511">
        <v>1005</v>
      </c>
      <c r="AN500" s="511">
        <v>987</v>
      </c>
      <c r="AO500" s="511">
        <v>1032</v>
      </c>
      <c r="AP500" s="511">
        <v>1030</v>
      </c>
      <c r="AQ500" s="511">
        <v>1074</v>
      </c>
      <c r="AR500" s="511">
        <v>1182</v>
      </c>
      <c r="AS500" s="511">
        <v>1115</v>
      </c>
      <c r="AT500" s="511">
        <v>1132</v>
      </c>
      <c r="AU500" s="511">
        <v>1167</v>
      </c>
      <c r="AV500" s="511">
        <v>1071</v>
      </c>
      <c r="AW500" s="511">
        <v>1140</v>
      </c>
      <c r="AX500" s="511">
        <v>1077</v>
      </c>
      <c r="AY500" s="511">
        <v>1079</v>
      </c>
      <c r="AZ500" s="511">
        <v>1060</v>
      </c>
      <c r="BA500" s="511">
        <v>1012</v>
      </c>
      <c r="BB500" s="511">
        <v>1070</v>
      </c>
      <c r="BC500" s="511">
        <v>1085</v>
      </c>
      <c r="BD500" s="511">
        <v>1002</v>
      </c>
      <c r="BE500" s="511">
        <v>958</v>
      </c>
      <c r="BF500" s="511">
        <v>997</v>
      </c>
      <c r="BG500" s="511">
        <v>992</v>
      </c>
      <c r="BH500" s="511">
        <v>988</v>
      </c>
      <c r="BI500" s="511">
        <v>1077</v>
      </c>
      <c r="BJ500" s="511">
        <v>1113</v>
      </c>
      <c r="BK500" s="511">
        <v>1157</v>
      </c>
      <c r="BL500" s="511">
        <v>1232</v>
      </c>
      <c r="BM500" s="511">
        <v>1129</v>
      </c>
      <c r="BN500" s="511">
        <v>1299</v>
      </c>
      <c r="BO500" s="511">
        <v>1259</v>
      </c>
      <c r="BP500" s="511">
        <v>1214</v>
      </c>
      <c r="BQ500" s="511">
        <v>1265</v>
      </c>
      <c r="BR500" s="511">
        <v>1277</v>
      </c>
      <c r="BS500" s="511">
        <v>1255</v>
      </c>
      <c r="BT500" s="511">
        <v>1273</v>
      </c>
      <c r="BU500" s="511">
        <v>1181</v>
      </c>
      <c r="BV500" s="511">
        <v>1146</v>
      </c>
      <c r="BW500" s="511">
        <v>1118</v>
      </c>
      <c r="BX500" s="511">
        <v>1064</v>
      </c>
      <c r="BY500" s="511">
        <v>1058</v>
      </c>
      <c r="BZ500" s="511">
        <v>1029</v>
      </c>
      <c r="CA500" s="511">
        <v>925</v>
      </c>
      <c r="CB500" s="511">
        <v>870</v>
      </c>
      <c r="CC500" s="511">
        <v>989</v>
      </c>
      <c r="CD500" s="511">
        <v>948</v>
      </c>
      <c r="CE500" s="511">
        <v>880</v>
      </c>
      <c r="CF500" s="511">
        <v>910</v>
      </c>
      <c r="CG500" s="511">
        <v>938</v>
      </c>
      <c r="CH500" s="511">
        <v>837</v>
      </c>
      <c r="CI500" s="511">
        <v>970</v>
      </c>
      <c r="CJ500" s="511">
        <v>989</v>
      </c>
      <c r="CK500" s="511">
        <v>740</v>
      </c>
      <c r="CL500" s="511">
        <v>691</v>
      </c>
      <c r="CM500" s="511">
        <v>645</v>
      </c>
      <c r="CN500" s="511">
        <v>570</v>
      </c>
      <c r="CO500" s="511">
        <v>578</v>
      </c>
      <c r="CP500" s="511">
        <v>442</v>
      </c>
      <c r="CQ500" s="511">
        <v>426</v>
      </c>
      <c r="CR500" s="511">
        <v>410</v>
      </c>
      <c r="CS500" s="511">
        <v>355</v>
      </c>
      <c r="CT500" s="511">
        <v>296</v>
      </c>
      <c r="CU500" s="511">
        <v>259</v>
      </c>
      <c r="CV500" s="511">
        <v>215</v>
      </c>
      <c r="CW500" s="511">
        <v>176</v>
      </c>
      <c r="CX500" s="511">
        <v>150</v>
      </c>
      <c r="CY500" s="511">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3">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11">
        <v>1950</v>
      </c>
      <c r="N501" s="511">
        <v>1875</v>
      </c>
      <c r="O501" s="511">
        <v>1880</v>
      </c>
      <c r="P501" s="511">
        <v>1977</v>
      </c>
      <c r="Q501" s="511">
        <v>2035</v>
      </c>
      <c r="R501" s="511">
        <v>2099</v>
      </c>
      <c r="S501" s="511">
        <v>2234</v>
      </c>
      <c r="T501" s="511">
        <v>2194</v>
      </c>
      <c r="U501" s="511">
        <v>2213</v>
      </c>
      <c r="V501" s="511">
        <v>2181</v>
      </c>
      <c r="W501" s="511">
        <v>2303</v>
      </c>
      <c r="X501" s="511">
        <v>2380</v>
      </c>
      <c r="Y501" s="511">
        <v>2271</v>
      </c>
      <c r="Z501" s="511">
        <v>2188</v>
      </c>
      <c r="AA501" s="511">
        <v>2173</v>
      </c>
      <c r="AB501" s="511">
        <v>2117</v>
      </c>
      <c r="AC501" s="511">
        <v>2130</v>
      </c>
      <c r="AD501" s="511">
        <v>2130</v>
      </c>
      <c r="AE501" s="511">
        <v>2327</v>
      </c>
      <c r="AF501" s="511">
        <v>4164</v>
      </c>
      <c r="AG501" s="511">
        <v>4565</v>
      </c>
      <c r="AH501" s="511">
        <v>4249</v>
      </c>
      <c r="AI501" s="511">
        <v>3797</v>
      </c>
      <c r="AJ501" s="511">
        <v>3628</v>
      </c>
      <c r="AK501" s="511">
        <v>3513</v>
      </c>
      <c r="AL501" s="511">
        <v>3439</v>
      </c>
      <c r="AM501" s="511">
        <v>3420</v>
      </c>
      <c r="AN501" s="511">
        <v>3228</v>
      </c>
      <c r="AO501" s="511">
        <v>3077</v>
      </c>
      <c r="AP501" s="511">
        <v>2999</v>
      </c>
      <c r="AQ501" s="511">
        <v>2824</v>
      </c>
      <c r="AR501" s="511">
        <v>2846</v>
      </c>
      <c r="AS501" s="511">
        <v>2776</v>
      </c>
      <c r="AT501" s="511">
        <v>2588</v>
      </c>
      <c r="AU501" s="511">
        <v>2705</v>
      </c>
      <c r="AV501" s="511">
        <v>2608</v>
      </c>
      <c r="AW501" s="511">
        <v>2669</v>
      </c>
      <c r="AX501" s="511">
        <v>2467</v>
      </c>
      <c r="AY501" s="511">
        <v>2494</v>
      </c>
      <c r="AZ501" s="511">
        <v>2498</v>
      </c>
      <c r="BA501" s="511">
        <v>2343</v>
      </c>
      <c r="BB501" s="511">
        <v>2361</v>
      </c>
      <c r="BC501" s="511">
        <v>2324</v>
      </c>
      <c r="BD501" s="511">
        <v>2260</v>
      </c>
      <c r="BE501" s="511">
        <v>2022</v>
      </c>
      <c r="BF501" s="511">
        <v>2128</v>
      </c>
      <c r="BG501" s="511">
        <v>2019</v>
      </c>
      <c r="BH501" s="511">
        <v>2027</v>
      </c>
      <c r="BI501" s="511">
        <v>2070</v>
      </c>
      <c r="BJ501" s="511">
        <v>1928</v>
      </c>
      <c r="BK501" s="511">
        <v>1966</v>
      </c>
      <c r="BL501" s="511">
        <v>2100</v>
      </c>
      <c r="BM501" s="511">
        <v>2061</v>
      </c>
      <c r="BN501" s="511">
        <v>2078</v>
      </c>
      <c r="BO501" s="511">
        <v>1992</v>
      </c>
      <c r="BP501" s="511">
        <v>2070</v>
      </c>
      <c r="BQ501" s="511">
        <v>1888</v>
      </c>
      <c r="BR501" s="511">
        <v>2027</v>
      </c>
      <c r="BS501" s="511">
        <v>1976</v>
      </c>
      <c r="BT501" s="511">
        <v>1918</v>
      </c>
      <c r="BU501" s="511">
        <v>1994</v>
      </c>
      <c r="BV501" s="511">
        <v>1814</v>
      </c>
      <c r="BW501" s="511">
        <v>1830</v>
      </c>
      <c r="BX501" s="511">
        <v>1808</v>
      </c>
      <c r="BY501" s="511">
        <v>1654</v>
      </c>
      <c r="BZ501" s="511">
        <v>1666</v>
      </c>
      <c r="CA501" s="511">
        <v>1538</v>
      </c>
      <c r="CB501" s="511">
        <v>1449</v>
      </c>
      <c r="CC501" s="511">
        <v>1467</v>
      </c>
      <c r="CD501" s="511">
        <v>1364</v>
      </c>
      <c r="CE501" s="511">
        <v>1286</v>
      </c>
      <c r="CF501" s="511">
        <v>1359</v>
      </c>
      <c r="CG501" s="511">
        <v>1353</v>
      </c>
      <c r="CH501" s="511">
        <v>1306</v>
      </c>
      <c r="CI501" s="511">
        <v>1244</v>
      </c>
      <c r="CJ501" s="511">
        <v>1342</v>
      </c>
      <c r="CK501" s="511">
        <v>991</v>
      </c>
      <c r="CL501" s="511">
        <v>942</v>
      </c>
      <c r="CM501" s="511">
        <v>905</v>
      </c>
      <c r="CN501" s="511">
        <v>742</v>
      </c>
      <c r="CO501" s="511">
        <v>691</v>
      </c>
      <c r="CP501" s="511">
        <v>611</v>
      </c>
      <c r="CQ501" s="511">
        <v>589</v>
      </c>
      <c r="CR501" s="511">
        <v>538</v>
      </c>
      <c r="CS501" s="511">
        <v>490</v>
      </c>
      <c r="CT501" s="511">
        <v>446</v>
      </c>
      <c r="CU501" s="511">
        <v>394</v>
      </c>
      <c r="CV501" s="511">
        <v>368</v>
      </c>
      <c r="CW501" s="511">
        <v>281</v>
      </c>
      <c r="CX501" s="511">
        <v>249</v>
      </c>
      <c r="CY501" s="511">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3">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11">
        <v>856</v>
      </c>
      <c r="N502" s="511">
        <v>866</v>
      </c>
      <c r="O502" s="511">
        <v>854</v>
      </c>
      <c r="P502" s="511">
        <v>934</v>
      </c>
      <c r="Q502" s="511">
        <v>976</v>
      </c>
      <c r="R502" s="511">
        <v>1016</v>
      </c>
      <c r="S502" s="511">
        <v>1068</v>
      </c>
      <c r="T502" s="511">
        <v>1057</v>
      </c>
      <c r="U502" s="511">
        <v>1032</v>
      </c>
      <c r="V502" s="511">
        <v>1077</v>
      </c>
      <c r="W502" s="511">
        <v>1158</v>
      </c>
      <c r="X502" s="511">
        <v>1168</v>
      </c>
      <c r="Y502" s="511">
        <v>1148</v>
      </c>
      <c r="Z502" s="511">
        <v>1099</v>
      </c>
      <c r="AA502" s="511">
        <v>1137</v>
      </c>
      <c r="AB502" s="511">
        <v>1146</v>
      </c>
      <c r="AC502" s="511">
        <v>1150</v>
      </c>
      <c r="AD502" s="511">
        <v>1098</v>
      </c>
      <c r="AE502" s="511">
        <v>1071</v>
      </c>
      <c r="AF502" s="511">
        <v>898</v>
      </c>
      <c r="AG502" s="511">
        <v>829</v>
      </c>
      <c r="AH502" s="511">
        <v>834</v>
      </c>
      <c r="AI502" s="511">
        <v>847</v>
      </c>
      <c r="AJ502" s="511">
        <v>907</v>
      </c>
      <c r="AK502" s="511">
        <v>957</v>
      </c>
      <c r="AL502" s="511">
        <v>1013</v>
      </c>
      <c r="AM502" s="511">
        <v>1000</v>
      </c>
      <c r="AN502" s="511">
        <v>923</v>
      </c>
      <c r="AO502" s="511">
        <v>977</v>
      </c>
      <c r="AP502" s="511">
        <v>975</v>
      </c>
      <c r="AQ502" s="511">
        <v>1005</v>
      </c>
      <c r="AR502" s="511">
        <v>1049</v>
      </c>
      <c r="AS502" s="511">
        <v>1077</v>
      </c>
      <c r="AT502" s="511">
        <v>1035</v>
      </c>
      <c r="AU502" s="511">
        <v>1116</v>
      </c>
      <c r="AV502" s="511">
        <v>1060</v>
      </c>
      <c r="AW502" s="511">
        <v>1050</v>
      </c>
      <c r="AX502" s="511">
        <v>991</v>
      </c>
      <c r="AY502" s="511">
        <v>1021</v>
      </c>
      <c r="AZ502" s="511">
        <v>1015</v>
      </c>
      <c r="BA502" s="511">
        <v>996</v>
      </c>
      <c r="BB502" s="511">
        <v>1033</v>
      </c>
      <c r="BC502" s="511">
        <v>1042</v>
      </c>
      <c r="BD502" s="511">
        <v>1003</v>
      </c>
      <c r="BE502" s="511">
        <v>929</v>
      </c>
      <c r="BF502" s="511">
        <v>918</v>
      </c>
      <c r="BG502" s="511">
        <v>1008</v>
      </c>
      <c r="BH502" s="511">
        <v>1037</v>
      </c>
      <c r="BI502" s="511">
        <v>1074</v>
      </c>
      <c r="BJ502" s="511">
        <v>1130</v>
      </c>
      <c r="BK502" s="511">
        <v>1203</v>
      </c>
      <c r="BL502" s="511">
        <v>1281</v>
      </c>
      <c r="BM502" s="511">
        <v>1243</v>
      </c>
      <c r="BN502" s="511">
        <v>1231</v>
      </c>
      <c r="BO502" s="511">
        <v>1260</v>
      </c>
      <c r="BP502" s="511">
        <v>1356</v>
      </c>
      <c r="BQ502" s="511">
        <v>1372</v>
      </c>
      <c r="BR502" s="511">
        <v>1413</v>
      </c>
      <c r="BS502" s="511">
        <v>1455</v>
      </c>
      <c r="BT502" s="511">
        <v>1317</v>
      </c>
      <c r="BU502" s="511">
        <v>1416</v>
      </c>
      <c r="BV502" s="511">
        <v>1373</v>
      </c>
      <c r="BW502" s="511">
        <v>1349</v>
      </c>
      <c r="BX502" s="511">
        <v>1279</v>
      </c>
      <c r="BY502" s="511">
        <v>1311</v>
      </c>
      <c r="BZ502" s="511">
        <v>1261</v>
      </c>
      <c r="CA502" s="511">
        <v>1172</v>
      </c>
      <c r="CB502" s="511">
        <v>1270</v>
      </c>
      <c r="CC502" s="511">
        <v>1212</v>
      </c>
      <c r="CD502" s="511">
        <v>1197</v>
      </c>
      <c r="CE502" s="511">
        <v>1164</v>
      </c>
      <c r="CF502" s="511">
        <v>1112</v>
      </c>
      <c r="CG502" s="511">
        <v>1141</v>
      </c>
      <c r="CH502" s="511">
        <v>1175</v>
      </c>
      <c r="CI502" s="511">
        <v>1186</v>
      </c>
      <c r="CJ502" s="511">
        <v>1175</v>
      </c>
      <c r="CK502" s="511">
        <v>999</v>
      </c>
      <c r="CL502" s="511">
        <v>920</v>
      </c>
      <c r="CM502" s="511">
        <v>863</v>
      </c>
      <c r="CN502" s="511">
        <v>789</v>
      </c>
      <c r="CO502" s="511">
        <v>736</v>
      </c>
      <c r="CP502" s="511">
        <v>619</v>
      </c>
      <c r="CQ502" s="511">
        <v>561</v>
      </c>
      <c r="CR502" s="511">
        <v>506</v>
      </c>
      <c r="CS502" s="511">
        <v>445</v>
      </c>
      <c r="CT502" s="511">
        <v>454</v>
      </c>
      <c r="CU502" s="511">
        <v>361</v>
      </c>
      <c r="CV502" s="511">
        <v>330</v>
      </c>
      <c r="CW502" s="511">
        <v>265</v>
      </c>
      <c r="CX502" s="511">
        <v>198</v>
      </c>
      <c r="CY502" s="511">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3">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11">
        <v>276</v>
      </c>
      <c r="N503" s="511">
        <v>237</v>
      </c>
      <c r="O503" s="511">
        <v>271</v>
      </c>
      <c r="P503" s="511">
        <v>294</v>
      </c>
      <c r="Q503" s="511">
        <v>285</v>
      </c>
      <c r="R503" s="511">
        <v>312</v>
      </c>
      <c r="S503" s="511">
        <v>341</v>
      </c>
      <c r="T503" s="511">
        <v>317</v>
      </c>
      <c r="U503" s="511">
        <v>309</v>
      </c>
      <c r="V503" s="511">
        <v>360</v>
      </c>
      <c r="W503" s="511">
        <v>360</v>
      </c>
      <c r="X503" s="511">
        <v>370</v>
      </c>
      <c r="Y503" s="511">
        <v>368</v>
      </c>
      <c r="Z503" s="511">
        <v>326</v>
      </c>
      <c r="AA503" s="511">
        <v>334</v>
      </c>
      <c r="AB503" s="511">
        <v>346</v>
      </c>
      <c r="AC503" s="511">
        <v>355</v>
      </c>
      <c r="AD503" s="511">
        <v>378</v>
      </c>
      <c r="AE503" s="511">
        <v>435</v>
      </c>
      <c r="AF503" s="511">
        <v>855</v>
      </c>
      <c r="AG503" s="511">
        <v>809</v>
      </c>
      <c r="AH503" s="511">
        <v>767</v>
      </c>
      <c r="AI503" s="511">
        <v>615</v>
      </c>
      <c r="AJ503" s="511">
        <v>548</v>
      </c>
      <c r="AK503" s="511">
        <v>432</v>
      </c>
      <c r="AL503" s="511">
        <v>350</v>
      </c>
      <c r="AM503" s="511">
        <v>336</v>
      </c>
      <c r="AN503" s="511">
        <v>361</v>
      </c>
      <c r="AO503" s="511">
        <v>363</v>
      </c>
      <c r="AP503" s="511">
        <v>307</v>
      </c>
      <c r="AQ503" s="511">
        <v>338</v>
      </c>
      <c r="AR503" s="511">
        <v>347</v>
      </c>
      <c r="AS503" s="511">
        <v>354</v>
      </c>
      <c r="AT503" s="511">
        <v>356</v>
      </c>
      <c r="AU503" s="511">
        <v>352</v>
      </c>
      <c r="AV503" s="511">
        <v>311</v>
      </c>
      <c r="AW503" s="511">
        <v>316</v>
      </c>
      <c r="AX503" s="511">
        <v>334</v>
      </c>
      <c r="AY503" s="511">
        <v>320</v>
      </c>
      <c r="AZ503" s="511">
        <v>335</v>
      </c>
      <c r="BA503" s="511">
        <v>353</v>
      </c>
      <c r="BB503" s="511">
        <v>347</v>
      </c>
      <c r="BC503" s="511">
        <v>316</v>
      </c>
      <c r="BD503" s="511">
        <v>308</v>
      </c>
      <c r="BE503" s="511">
        <v>280</v>
      </c>
      <c r="BF503" s="511">
        <v>309</v>
      </c>
      <c r="BG503" s="511">
        <v>342</v>
      </c>
      <c r="BH503" s="511">
        <v>348</v>
      </c>
      <c r="BI503" s="511">
        <v>356</v>
      </c>
      <c r="BJ503" s="511">
        <v>339</v>
      </c>
      <c r="BK503" s="511">
        <v>402</v>
      </c>
      <c r="BL503" s="511">
        <v>431</v>
      </c>
      <c r="BM503" s="511">
        <v>435</v>
      </c>
      <c r="BN503" s="511">
        <v>504</v>
      </c>
      <c r="BO503" s="511">
        <v>475</v>
      </c>
      <c r="BP503" s="511">
        <v>496</v>
      </c>
      <c r="BQ503" s="511">
        <v>511</v>
      </c>
      <c r="BR503" s="511">
        <v>501</v>
      </c>
      <c r="BS503" s="511">
        <v>541</v>
      </c>
      <c r="BT503" s="511">
        <v>553</v>
      </c>
      <c r="BU503" s="511">
        <v>538</v>
      </c>
      <c r="BV503" s="511">
        <v>517</v>
      </c>
      <c r="BW503" s="511">
        <v>495</v>
      </c>
      <c r="BX503" s="511">
        <v>529</v>
      </c>
      <c r="BY503" s="511">
        <v>518</v>
      </c>
      <c r="BZ503" s="511">
        <v>495</v>
      </c>
      <c r="CA503" s="511">
        <v>519</v>
      </c>
      <c r="CB503" s="511">
        <v>491</v>
      </c>
      <c r="CC503" s="511">
        <v>490</v>
      </c>
      <c r="CD503" s="511">
        <v>448</v>
      </c>
      <c r="CE503" s="511">
        <v>472</v>
      </c>
      <c r="CF503" s="511">
        <v>453</v>
      </c>
      <c r="CG503" s="511">
        <v>454</v>
      </c>
      <c r="CH503" s="511">
        <v>509</v>
      </c>
      <c r="CI503" s="511">
        <v>531</v>
      </c>
      <c r="CJ503" s="511">
        <v>500</v>
      </c>
      <c r="CK503" s="511">
        <v>376</v>
      </c>
      <c r="CL503" s="511">
        <v>376</v>
      </c>
      <c r="CM503" s="511">
        <v>354</v>
      </c>
      <c r="CN503" s="511">
        <v>347</v>
      </c>
      <c r="CO503" s="511">
        <v>289</v>
      </c>
      <c r="CP503" s="511">
        <v>213</v>
      </c>
      <c r="CQ503" s="511">
        <v>241</v>
      </c>
      <c r="CR503" s="511">
        <v>198</v>
      </c>
      <c r="CS503" s="511">
        <v>175</v>
      </c>
      <c r="CT503" s="511">
        <v>168</v>
      </c>
      <c r="CU503" s="511">
        <v>134</v>
      </c>
      <c r="CV503" s="511">
        <v>115</v>
      </c>
      <c r="CW503" s="511">
        <v>97</v>
      </c>
      <c r="CX503" s="511">
        <v>84</v>
      </c>
      <c r="CY503" s="511">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3">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11">
        <v>483</v>
      </c>
      <c r="N504" s="511">
        <v>469</v>
      </c>
      <c r="O504" s="511">
        <v>522</v>
      </c>
      <c r="P504" s="511">
        <v>523</v>
      </c>
      <c r="Q504" s="511">
        <v>549</v>
      </c>
      <c r="R504" s="511">
        <v>540</v>
      </c>
      <c r="S504" s="511">
        <v>563</v>
      </c>
      <c r="T504" s="511">
        <v>620</v>
      </c>
      <c r="U504" s="511">
        <v>583</v>
      </c>
      <c r="V504" s="511">
        <v>622</v>
      </c>
      <c r="W504" s="511">
        <v>611</v>
      </c>
      <c r="X504" s="511">
        <v>686</v>
      </c>
      <c r="Y504" s="511">
        <v>621</v>
      </c>
      <c r="Z504" s="511">
        <v>634</v>
      </c>
      <c r="AA504" s="511">
        <v>601</v>
      </c>
      <c r="AB504" s="511">
        <v>642</v>
      </c>
      <c r="AC504" s="511">
        <v>627</v>
      </c>
      <c r="AD504" s="511">
        <v>641</v>
      </c>
      <c r="AE504" s="511">
        <v>613</v>
      </c>
      <c r="AF504" s="511">
        <v>404</v>
      </c>
      <c r="AG504" s="511">
        <v>422</v>
      </c>
      <c r="AH504" s="511">
        <v>441</v>
      </c>
      <c r="AI504" s="511">
        <v>543</v>
      </c>
      <c r="AJ504" s="511">
        <v>525</v>
      </c>
      <c r="AK504" s="511">
        <v>583</v>
      </c>
      <c r="AL504" s="511">
        <v>572</v>
      </c>
      <c r="AM504" s="511">
        <v>471</v>
      </c>
      <c r="AN504" s="511">
        <v>561</v>
      </c>
      <c r="AO504" s="511">
        <v>538</v>
      </c>
      <c r="AP504" s="511">
        <v>526</v>
      </c>
      <c r="AQ504" s="511">
        <v>576</v>
      </c>
      <c r="AR504" s="511">
        <v>623</v>
      </c>
      <c r="AS504" s="511">
        <v>576</v>
      </c>
      <c r="AT504" s="511">
        <v>615</v>
      </c>
      <c r="AU504" s="511">
        <v>597</v>
      </c>
      <c r="AV504" s="511">
        <v>594</v>
      </c>
      <c r="AW504" s="511">
        <v>552</v>
      </c>
      <c r="AX504" s="511">
        <v>589</v>
      </c>
      <c r="AY504" s="511">
        <v>559</v>
      </c>
      <c r="AZ504" s="511">
        <v>543</v>
      </c>
      <c r="BA504" s="511">
        <v>551</v>
      </c>
      <c r="BB504" s="511">
        <v>596</v>
      </c>
      <c r="BC504" s="511">
        <v>626</v>
      </c>
      <c r="BD504" s="511">
        <v>555</v>
      </c>
      <c r="BE504" s="511">
        <v>470</v>
      </c>
      <c r="BF504" s="511">
        <v>555</v>
      </c>
      <c r="BG504" s="511">
        <v>559</v>
      </c>
      <c r="BH504" s="511">
        <v>569</v>
      </c>
      <c r="BI504" s="511">
        <v>603</v>
      </c>
      <c r="BJ504" s="511">
        <v>679</v>
      </c>
      <c r="BK504" s="511">
        <v>788</v>
      </c>
      <c r="BL504" s="511">
        <v>775</v>
      </c>
      <c r="BM504" s="511">
        <v>750</v>
      </c>
      <c r="BN504" s="511">
        <v>805</v>
      </c>
      <c r="BO504" s="511">
        <v>775</v>
      </c>
      <c r="BP504" s="511">
        <v>819</v>
      </c>
      <c r="BQ504" s="511">
        <v>862</v>
      </c>
      <c r="BR504" s="511">
        <v>890</v>
      </c>
      <c r="BS504" s="511">
        <v>870</v>
      </c>
      <c r="BT504" s="511">
        <v>881</v>
      </c>
      <c r="BU504" s="511">
        <v>879</v>
      </c>
      <c r="BV504" s="511">
        <v>894</v>
      </c>
      <c r="BW504" s="511">
        <v>876</v>
      </c>
      <c r="BX504" s="511">
        <v>830</v>
      </c>
      <c r="BY504" s="511">
        <v>792</v>
      </c>
      <c r="BZ504" s="511">
        <v>785</v>
      </c>
      <c r="CA504" s="511">
        <v>740</v>
      </c>
      <c r="CB504" s="511">
        <v>717</v>
      </c>
      <c r="CC504" s="511">
        <v>789</v>
      </c>
      <c r="CD504" s="511">
        <v>744</v>
      </c>
      <c r="CE504" s="511">
        <v>734</v>
      </c>
      <c r="CF504" s="511">
        <v>780</v>
      </c>
      <c r="CG504" s="511">
        <v>723</v>
      </c>
      <c r="CH504" s="511">
        <v>809</v>
      </c>
      <c r="CI504" s="511">
        <v>853</v>
      </c>
      <c r="CJ504" s="511">
        <v>851</v>
      </c>
      <c r="CK504" s="511">
        <v>673</v>
      </c>
      <c r="CL504" s="511">
        <v>628</v>
      </c>
      <c r="CM504" s="511">
        <v>602</v>
      </c>
      <c r="CN504" s="511">
        <v>548</v>
      </c>
      <c r="CO504" s="511">
        <v>479</v>
      </c>
      <c r="CP504" s="511">
        <v>400</v>
      </c>
      <c r="CQ504" s="511">
        <v>367</v>
      </c>
      <c r="CR504" s="511">
        <v>373</v>
      </c>
      <c r="CS504" s="511">
        <v>296</v>
      </c>
      <c r="CT504" s="511">
        <v>289</v>
      </c>
      <c r="CU504" s="511">
        <v>267</v>
      </c>
      <c r="CV504" s="511">
        <v>251</v>
      </c>
      <c r="CW504" s="511">
        <v>195</v>
      </c>
      <c r="CX504" s="511">
        <v>194</v>
      </c>
      <c r="CY504" s="511">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3">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11">
        <v>457</v>
      </c>
      <c r="N505" s="511">
        <v>493</v>
      </c>
      <c r="O505" s="511">
        <v>520</v>
      </c>
      <c r="P505" s="511">
        <v>480</v>
      </c>
      <c r="Q505" s="511">
        <v>486</v>
      </c>
      <c r="R505" s="511">
        <v>551</v>
      </c>
      <c r="S505" s="511">
        <v>523</v>
      </c>
      <c r="T505" s="511">
        <v>558</v>
      </c>
      <c r="U505" s="511">
        <v>524</v>
      </c>
      <c r="V505" s="511">
        <v>561</v>
      </c>
      <c r="W505" s="511">
        <v>567</v>
      </c>
      <c r="X505" s="511">
        <v>592</v>
      </c>
      <c r="Y505" s="511">
        <v>615</v>
      </c>
      <c r="Z505" s="511">
        <v>593</v>
      </c>
      <c r="AA505" s="511">
        <v>609</v>
      </c>
      <c r="AB505" s="511">
        <v>587</v>
      </c>
      <c r="AC505" s="511">
        <v>587</v>
      </c>
      <c r="AD505" s="511">
        <v>627</v>
      </c>
      <c r="AE505" s="511">
        <v>551</v>
      </c>
      <c r="AF505" s="511">
        <v>439</v>
      </c>
      <c r="AG505" s="511">
        <v>422</v>
      </c>
      <c r="AH505" s="511">
        <v>434</v>
      </c>
      <c r="AI505" s="511">
        <v>423</v>
      </c>
      <c r="AJ505" s="511">
        <v>470</v>
      </c>
      <c r="AK505" s="511">
        <v>490</v>
      </c>
      <c r="AL505" s="511">
        <v>482</v>
      </c>
      <c r="AM505" s="511">
        <v>514</v>
      </c>
      <c r="AN505" s="511">
        <v>470</v>
      </c>
      <c r="AO505" s="511">
        <v>500</v>
      </c>
      <c r="AP505" s="511">
        <v>483</v>
      </c>
      <c r="AQ505" s="511">
        <v>507</v>
      </c>
      <c r="AR505" s="511">
        <v>516</v>
      </c>
      <c r="AS505" s="511">
        <v>511</v>
      </c>
      <c r="AT505" s="511">
        <v>471</v>
      </c>
      <c r="AU505" s="511">
        <v>530</v>
      </c>
      <c r="AV505" s="511">
        <v>513</v>
      </c>
      <c r="AW505" s="511">
        <v>510</v>
      </c>
      <c r="AX505" s="511">
        <v>477</v>
      </c>
      <c r="AY505" s="511">
        <v>509</v>
      </c>
      <c r="AZ505" s="511">
        <v>424</v>
      </c>
      <c r="BA505" s="511">
        <v>488</v>
      </c>
      <c r="BB505" s="511">
        <v>496</v>
      </c>
      <c r="BC505" s="511">
        <v>500</v>
      </c>
      <c r="BD505" s="511">
        <v>478</v>
      </c>
      <c r="BE505" s="511">
        <v>422</v>
      </c>
      <c r="BF505" s="511">
        <v>464</v>
      </c>
      <c r="BG505" s="511">
        <v>515</v>
      </c>
      <c r="BH505" s="511">
        <v>516</v>
      </c>
      <c r="BI505" s="511">
        <v>525</v>
      </c>
      <c r="BJ505" s="511">
        <v>532</v>
      </c>
      <c r="BK505" s="511">
        <v>646</v>
      </c>
      <c r="BL505" s="511">
        <v>654</v>
      </c>
      <c r="BM505" s="511">
        <v>645</v>
      </c>
      <c r="BN505" s="511">
        <v>662</v>
      </c>
      <c r="BO505" s="511">
        <v>643</v>
      </c>
      <c r="BP505" s="511">
        <v>715</v>
      </c>
      <c r="BQ505" s="511">
        <v>681</v>
      </c>
      <c r="BR505" s="511">
        <v>758</v>
      </c>
      <c r="BS505" s="511">
        <v>746</v>
      </c>
      <c r="BT505" s="511">
        <v>697</v>
      </c>
      <c r="BU505" s="511">
        <v>737</v>
      </c>
      <c r="BV505" s="511">
        <v>654</v>
      </c>
      <c r="BW505" s="511">
        <v>713</v>
      </c>
      <c r="BX505" s="511">
        <v>665</v>
      </c>
      <c r="BY505" s="511">
        <v>635</v>
      </c>
      <c r="BZ505" s="511">
        <v>637</v>
      </c>
      <c r="CA505" s="511">
        <v>603</v>
      </c>
      <c r="CB505" s="511">
        <v>603</v>
      </c>
      <c r="CC505" s="511">
        <v>596</v>
      </c>
      <c r="CD505" s="511">
        <v>599</v>
      </c>
      <c r="CE505" s="511">
        <v>543</v>
      </c>
      <c r="CF505" s="511">
        <v>547</v>
      </c>
      <c r="CG505" s="511">
        <v>614</v>
      </c>
      <c r="CH505" s="511">
        <v>653</v>
      </c>
      <c r="CI505" s="511">
        <v>674</v>
      </c>
      <c r="CJ505" s="511">
        <v>666</v>
      </c>
      <c r="CK505" s="511">
        <v>469</v>
      </c>
      <c r="CL505" s="511">
        <v>446</v>
      </c>
      <c r="CM505" s="511">
        <v>473</v>
      </c>
      <c r="CN505" s="511">
        <v>443</v>
      </c>
      <c r="CO505" s="511">
        <v>359</v>
      </c>
      <c r="CP505" s="511">
        <v>328</v>
      </c>
      <c r="CQ505" s="511">
        <v>290</v>
      </c>
      <c r="CR505" s="511">
        <v>259</v>
      </c>
      <c r="CS505" s="511">
        <v>236</v>
      </c>
      <c r="CT505" s="511">
        <v>224</v>
      </c>
      <c r="CU505" s="511">
        <v>181</v>
      </c>
      <c r="CV505" s="511">
        <v>162</v>
      </c>
      <c r="CW505" s="511">
        <v>127</v>
      </c>
      <c r="CX505" s="511">
        <v>108</v>
      </c>
      <c r="CY505" s="511">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3">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11">
        <v>701</v>
      </c>
      <c r="N506" s="511">
        <v>780</v>
      </c>
      <c r="O506" s="511">
        <v>775</v>
      </c>
      <c r="P506" s="511">
        <v>770</v>
      </c>
      <c r="Q506" s="511">
        <v>817</v>
      </c>
      <c r="R506" s="511">
        <v>825</v>
      </c>
      <c r="S506" s="511">
        <v>849</v>
      </c>
      <c r="T506" s="511">
        <v>888</v>
      </c>
      <c r="U506" s="511">
        <v>904</v>
      </c>
      <c r="V506" s="511">
        <v>899</v>
      </c>
      <c r="W506" s="511">
        <v>971</v>
      </c>
      <c r="X506" s="511">
        <v>933</v>
      </c>
      <c r="Y506" s="511">
        <v>1008</v>
      </c>
      <c r="Z506" s="511">
        <v>933</v>
      </c>
      <c r="AA506" s="511">
        <v>1033</v>
      </c>
      <c r="AB506" s="511">
        <v>950</v>
      </c>
      <c r="AC506" s="511">
        <v>903</v>
      </c>
      <c r="AD506" s="511">
        <v>944</v>
      </c>
      <c r="AE506" s="511">
        <v>881</v>
      </c>
      <c r="AF506" s="511">
        <v>661</v>
      </c>
      <c r="AG506" s="511">
        <v>648</v>
      </c>
      <c r="AH506" s="511">
        <v>673</v>
      </c>
      <c r="AI506" s="511">
        <v>728</v>
      </c>
      <c r="AJ506" s="511">
        <v>844</v>
      </c>
      <c r="AK506" s="511">
        <v>853</v>
      </c>
      <c r="AL506" s="511">
        <v>829</v>
      </c>
      <c r="AM506" s="511">
        <v>799</v>
      </c>
      <c r="AN506" s="511">
        <v>822</v>
      </c>
      <c r="AO506" s="511">
        <v>837</v>
      </c>
      <c r="AP506" s="511">
        <v>879</v>
      </c>
      <c r="AQ506" s="511">
        <v>1004</v>
      </c>
      <c r="AR506" s="511">
        <v>928</v>
      </c>
      <c r="AS506" s="511">
        <v>919</v>
      </c>
      <c r="AT506" s="511">
        <v>961</v>
      </c>
      <c r="AU506" s="511">
        <v>970</v>
      </c>
      <c r="AV506" s="511">
        <v>947</v>
      </c>
      <c r="AW506" s="511">
        <v>978</v>
      </c>
      <c r="AX506" s="511">
        <v>903</v>
      </c>
      <c r="AY506" s="511">
        <v>860</v>
      </c>
      <c r="AZ506" s="511">
        <v>889</v>
      </c>
      <c r="BA506" s="511">
        <v>925</v>
      </c>
      <c r="BB506" s="511">
        <v>916</v>
      </c>
      <c r="BC506" s="511">
        <v>930</v>
      </c>
      <c r="BD506" s="511">
        <v>875</v>
      </c>
      <c r="BE506" s="511">
        <v>855</v>
      </c>
      <c r="BF506" s="511">
        <v>802</v>
      </c>
      <c r="BG506" s="511">
        <v>825</v>
      </c>
      <c r="BH506" s="511">
        <v>925</v>
      </c>
      <c r="BI506" s="511">
        <v>970</v>
      </c>
      <c r="BJ506" s="511">
        <v>989</v>
      </c>
      <c r="BK506" s="511">
        <v>1124</v>
      </c>
      <c r="BL506" s="511">
        <v>1159</v>
      </c>
      <c r="BM506" s="511">
        <v>1172</v>
      </c>
      <c r="BN506" s="511">
        <v>1222</v>
      </c>
      <c r="BO506" s="511">
        <v>1193</v>
      </c>
      <c r="BP506" s="511">
        <v>1115</v>
      </c>
      <c r="BQ506" s="511">
        <v>1116</v>
      </c>
      <c r="BR506" s="511">
        <v>1156</v>
      </c>
      <c r="BS506" s="511">
        <v>1196</v>
      </c>
      <c r="BT506" s="511">
        <v>1096</v>
      </c>
      <c r="BU506" s="511">
        <v>1149</v>
      </c>
      <c r="BV506" s="511">
        <v>1060</v>
      </c>
      <c r="BW506" s="511">
        <v>1024</v>
      </c>
      <c r="BX506" s="511">
        <v>1036</v>
      </c>
      <c r="BY506" s="511">
        <v>912</v>
      </c>
      <c r="BZ506" s="511">
        <v>883</v>
      </c>
      <c r="CA506" s="511">
        <v>867</v>
      </c>
      <c r="CB506" s="511">
        <v>793</v>
      </c>
      <c r="CC506" s="511">
        <v>812</v>
      </c>
      <c r="CD506" s="511">
        <v>850</v>
      </c>
      <c r="CE506" s="511">
        <v>761</v>
      </c>
      <c r="CF506" s="511">
        <v>877</v>
      </c>
      <c r="CG506" s="511">
        <v>832</v>
      </c>
      <c r="CH506" s="511">
        <v>891</v>
      </c>
      <c r="CI506" s="511">
        <v>922</v>
      </c>
      <c r="CJ506" s="511">
        <v>1006</v>
      </c>
      <c r="CK506" s="511">
        <v>637</v>
      </c>
      <c r="CL506" s="511">
        <v>646</v>
      </c>
      <c r="CM506" s="511">
        <v>660</v>
      </c>
      <c r="CN506" s="511">
        <v>553</v>
      </c>
      <c r="CO506" s="511">
        <v>481</v>
      </c>
      <c r="CP506" s="511">
        <v>430</v>
      </c>
      <c r="CQ506" s="511">
        <v>426</v>
      </c>
      <c r="CR506" s="511">
        <v>354</v>
      </c>
      <c r="CS506" s="511">
        <v>350</v>
      </c>
      <c r="CT506" s="511">
        <v>287</v>
      </c>
      <c r="CU506" s="511">
        <v>257</v>
      </c>
      <c r="CV506" s="511">
        <v>212</v>
      </c>
      <c r="CW506" s="511">
        <v>170</v>
      </c>
      <c r="CX506" s="511">
        <v>138</v>
      </c>
      <c r="CY506" s="511">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3">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11">
        <v>554</v>
      </c>
      <c r="N507" s="511">
        <v>518</v>
      </c>
      <c r="O507" s="511">
        <v>550</v>
      </c>
      <c r="P507" s="511">
        <v>548</v>
      </c>
      <c r="Q507" s="511">
        <v>593</v>
      </c>
      <c r="R507" s="511">
        <v>563</v>
      </c>
      <c r="S507" s="511">
        <v>656</v>
      </c>
      <c r="T507" s="511">
        <v>596</v>
      </c>
      <c r="U507" s="511">
        <v>662</v>
      </c>
      <c r="V507" s="511">
        <v>660</v>
      </c>
      <c r="W507" s="511">
        <v>664</v>
      </c>
      <c r="X507" s="511">
        <v>666</v>
      </c>
      <c r="Y507" s="511">
        <v>714</v>
      </c>
      <c r="Z507" s="511">
        <v>665</v>
      </c>
      <c r="AA507" s="511">
        <v>674</v>
      </c>
      <c r="AB507" s="511">
        <v>671</v>
      </c>
      <c r="AC507" s="511">
        <v>653</v>
      </c>
      <c r="AD507" s="511">
        <v>618</v>
      </c>
      <c r="AE507" s="511">
        <v>660</v>
      </c>
      <c r="AF507" s="511">
        <v>869</v>
      </c>
      <c r="AG507" s="511">
        <v>893</v>
      </c>
      <c r="AH507" s="511">
        <v>930</v>
      </c>
      <c r="AI507" s="511">
        <v>871</v>
      </c>
      <c r="AJ507" s="511">
        <v>777</v>
      </c>
      <c r="AK507" s="511">
        <v>709</v>
      </c>
      <c r="AL507" s="511">
        <v>648</v>
      </c>
      <c r="AM507" s="511">
        <v>637</v>
      </c>
      <c r="AN507" s="511">
        <v>635</v>
      </c>
      <c r="AO507" s="511">
        <v>676</v>
      </c>
      <c r="AP507" s="511">
        <v>659</v>
      </c>
      <c r="AQ507" s="511">
        <v>661</v>
      </c>
      <c r="AR507" s="511">
        <v>643</v>
      </c>
      <c r="AS507" s="511">
        <v>663</v>
      </c>
      <c r="AT507" s="511">
        <v>677</v>
      </c>
      <c r="AU507" s="511">
        <v>680</v>
      </c>
      <c r="AV507" s="511">
        <v>704</v>
      </c>
      <c r="AW507" s="511">
        <v>572</v>
      </c>
      <c r="AX507" s="511">
        <v>595</v>
      </c>
      <c r="AY507" s="511">
        <v>582</v>
      </c>
      <c r="AZ507" s="511">
        <v>586</v>
      </c>
      <c r="BA507" s="511">
        <v>589</v>
      </c>
      <c r="BB507" s="511">
        <v>603</v>
      </c>
      <c r="BC507" s="511">
        <v>613</v>
      </c>
      <c r="BD507" s="511">
        <v>569</v>
      </c>
      <c r="BE507" s="511">
        <v>557</v>
      </c>
      <c r="BF507" s="511">
        <v>575</v>
      </c>
      <c r="BG507" s="511">
        <v>581</v>
      </c>
      <c r="BH507" s="511">
        <v>606</v>
      </c>
      <c r="BI507" s="511">
        <v>678</v>
      </c>
      <c r="BJ507" s="511">
        <v>722</v>
      </c>
      <c r="BK507" s="511">
        <v>767</v>
      </c>
      <c r="BL507" s="511">
        <v>811</v>
      </c>
      <c r="BM507" s="511">
        <v>804</v>
      </c>
      <c r="BN507" s="511">
        <v>775</v>
      </c>
      <c r="BO507" s="511">
        <v>801</v>
      </c>
      <c r="BP507" s="511">
        <v>799</v>
      </c>
      <c r="BQ507" s="511">
        <v>858</v>
      </c>
      <c r="BR507" s="511">
        <v>866</v>
      </c>
      <c r="BS507" s="511">
        <v>874</v>
      </c>
      <c r="BT507" s="511">
        <v>888</v>
      </c>
      <c r="BU507" s="511">
        <v>867</v>
      </c>
      <c r="BV507" s="511">
        <v>849</v>
      </c>
      <c r="BW507" s="511">
        <v>771</v>
      </c>
      <c r="BX507" s="511">
        <v>768</v>
      </c>
      <c r="BY507" s="511">
        <v>811</v>
      </c>
      <c r="BZ507" s="511">
        <v>756</v>
      </c>
      <c r="CA507" s="511">
        <v>711</v>
      </c>
      <c r="CB507" s="511">
        <v>727</v>
      </c>
      <c r="CC507" s="511">
        <v>675</v>
      </c>
      <c r="CD507" s="511">
        <v>709</v>
      </c>
      <c r="CE507" s="511">
        <v>650</v>
      </c>
      <c r="CF507" s="511">
        <v>649</v>
      </c>
      <c r="CG507" s="511">
        <v>649</v>
      </c>
      <c r="CH507" s="511">
        <v>729</v>
      </c>
      <c r="CI507" s="511">
        <v>764</v>
      </c>
      <c r="CJ507" s="511">
        <v>736</v>
      </c>
      <c r="CK507" s="511">
        <v>589</v>
      </c>
      <c r="CL507" s="511">
        <v>522</v>
      </c>
      <c r="CM507" s="511">
        <v>521</v>
      </c>
      <c r="CN507" s="511">
        <v>483</v>
      </c>
      <c r="CO507" s="511">
        <v>379</v>
      </c>
      <c r="CP507" s="511">
        <v>308</v>
      </c>
      <c r="CQ507" s="511">
        <v>331</v>
      </c>
      <c r="CR507" s="511">
        <v>327</v>
      </c>
      <c r="CS507" s="511">
        <v>274</v>
      </c>
      <c r="CT507" s="511">
        <v>248</v>
      </c>
      <c r="CU507" s="511">
        <v>221</v>
      </c>
      <c r="CV507" s="511">
        <v>181</v>
      </c>
      <c r="CW507" s="511">
        <v>162</v>
      </c>
      <c r="CX507" s="511">
        <v>135</v>
      </c>
      <c r="CY507" s="511">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3">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11">
        <v>273</v>
      </c>
      <c r="N508" s="511">
        <v>322</v>
      </c>
      <c r="O508" s="511">
        <v>305</v>
      </c>
      <c r="P508" s="511">
        <v>320</v>
      </c>
      <c r="Q508" s="511">
        <v>334</v>
      </c>
      <c r="R508" s="511">
        <v>383</v>
      </c>
      <c r="S508" s="511">
        <v>383</v>
      </c>
      <c r="T508" s="511">
        <v>361</v>
      </c>
      <c r="U508" s="511">
        <v>383</v>
      </c>
      <c r="V508" s="511">
        <v>411</v>
      </c>
      <c r="W508" s="511">
        <v>394</v>
      </c>
      <c r="X508" s="511">
        <v>440</v>
      </c>
      <c r="Y508" s="511">
        <v>405</v>
      </c>
      <c r="Z508" s="511">
        <v>438</v>
      </c>
      <c r="AA508" s="511">
        <v>385</v>
      </c>
      <c r="AB508" s="511">
        <v>392</v>
      </c>
      <c r="AC508" s="511">
        <v>391</v>
      </c>
      <c r="AD508" s="511">
        <v>389</v>
      </c>
      <c r="AE508" s="511">
        <v>348</v>
      </c>
      <c r="AF508" s="511">
        <v>299</v>
      </c>
      <c r="AG508" s="511">
        <v>302</v>
      </c>
      <c r="AH508" s="511">
        <v>273</v>
      </c>
      <c r="AI508" s="511">
        <v>297</v>
      </c>
      <c r="AJ508" s="511">
        <v>367</v>
      </c>
      <c r="AK508" s="511">
        <v>299</v>
      </c>
      <c r="AL508" s="511">
        <v>316</v>
      </c>
      <c r="AM508" s="511">
        <v>341</v>
      </c>
      <c r="AN508" s="511">
        <v>319</v>
      </c>
      <c r="AO508" s="511">
        <v>363</v>
      </c>
      <c r="AP508" s="511">
        <v>338</v>
      </c>
      <c r="AQ508" s="511">
        <v>332</v>
      </c>
      <c r="AR508" s="511">
        <v>349</v>
      </c>
      <c r="AS508" s="511">
        <v>346</v>
      </c>
      <c r="AT508" s="511">
        <v>349</v>
      </c>
      <c r="AU508" s="511">
        <v>381</v>
      </c>
      <c r="AV508" s="511">
        <v>373</v>
      </c>
      <c r="AW508" s="511">
        <v>310</v>
      </c>
      <c r="AX508" s="511">
        <v>347</v>
      </c>
      <c r="AY508" s="511">
        <v>371</v>
      </c>
      <c r="AZ508" s="511">
        <v>328</v>
      </c>
      <c r="BA508" s="511">
        <v>331</v>
      </c>
      <c r="BB508" s="511">
        <v>346</v>
      </c>
      <c r="BC508" s="511">
        <v>345</v>
      </c>
      <c r="BD508" s="511">
        <v>373</v>
      </c>
      <c r="BE508" s="511">
        <v>321</v>
      </c>
      <c r="BF508" s="511">
        <v>306</v>
      </c>
      <c r="BG508" s="511">
        <v>326</v>
      </c>
      <c r="BH508" s="511">
        <v>357</v>
      </c>
      <c r="BI508" s="511">
        <v>373</v>
      </c>
      <c r="BJ508" s="511">
        <v>436</v>
      </c>
      <c r="BK508" s="511">
        <v>448</v>
      </c>
      <c r="BL508" s="511">
        <v>493</v>
      </c>
      <c r="BM508" s="511">
        <v>440</v>
      </c>
      <c r="BN508" s="511">
        <v>466</v>
      </c>
      <c r="BO508" s="511">
        <v>481</v>
      </c>
      <c r="BP508" s="511">
        <v>523</v>
      </c>
      <c r="BQ508" s="511">
        <v>490</v>
      </c>
      <c r="BR508" s="511">
        <v>546</v>
      </c>
      <c r="BS508" s="511">
        <v>515</v>
      </c>
      <c r="BT508" s="511">
        <v>563</v>
      </c>
      <c r="BU508" s="511">
        <v>503</v>
      </c>
      <c r="BV508" s="511">
        <v>511</v>
      </c>
      <c r="BW508" s="511">
        <v>539</v>
      </c>
      <c r="BX508" s="511">
        <v>521</v>
      </c>
      <c r="BY508" s="511">
        <v>482</v>
      </c>
      <c r="BZ508" s="511">
        <v>468</v>
      </c>
      <c r="CA508" s="511">
        <v>489</v>
      </c>
      <c r="CB508" s="511">
        <v>476</v>
      </c>
      <c r="CC508" s="511">
        <v>458</v>
      </c>
      <c r="CD508" s="511">
        <v>460</v>
      </c>
      <c r="CE508" s="511">
        <v>458</v>
      </c>
      <c r="CF508" s="511">
        <v>438</v>
      </c>
      <c r="CG508" s="511">
        <v>468</v>
      </c>
      <c r="CH508" s="511">
        <v>490</v>
      </c>
      <c r="CI508" s="511">
        <v>504</v>
      </c>
      <c r="CJ508" s="511">
        <v>484</v>
      </c>
      <c r="CK508" s="511">
        <v>343</v>
      </c>
      <c r="CL508" s="511">
        <v>365</v>
      </c>
      <c r="CM508" s="511">
        <v>374</v>
      </c>
      <c r="CN508" s="511">
        <v>344</v>
      </c>
      <c r="CO508" s="511">
        <v>273</v>
      </c>
      <c r="CP508" s="511">
        <v>244</v>
      </c>
      <c r="CQ508" s="511">
        <v>233</v>
      </c>
      <c r="CR508" s="511">
        <v>249</v>
      </c>
      <c r="CS508" s="511">
        <v>194</v>
      </c>
      <c r="CT508" s="511">
        <v>174</v>
      </c>
      <c r="CU508" s="511">
        <v>143</v>
      </c>
      <c r="CV508" s="511">
        <v>115</v>
      </c>
      <c r="CW508" s="511">
        <v>82</v>
      </c>
      <c r="CX508" s="511">
        <v>77</v>
      </c>
      <c r="CY508" s="511">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3">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11">
        <v>322</v>
      </c>
      <c r="N509" s="511">
        <v>325</v>
      </c>
      <c r="O509" s="511">
        <v>329</v>
      </c>
      <c r="P509" s="511">
        <v>309</v>
      </c>
      <c r="Q509" s="511">
        <v>371</v>
      </c>
      <c r="R509" s="511">
        <v>402</v>
      </c>
      <c r="S509" s="511">
        <v>381</v>
      </c>
      <c r="T509" s="511">
        <v>384</v>
      </c>
      <c r="U509" s="511">
        <v>350</v>
      </c>
      <c r="V509" s="511">
        <v>355</v>
      </c>
      <c r="W509" s="511">
        <v>378</v>
      </c>
      <c r="X509" s="511">
        <v>405</v>
      </c>
      <c r="Y509" s="511">
        <v>360</v>
      </c>
      <c r="Z509" s="511">
        <v>363</v>
      </c>
      <c r="AA509" s="511">
        <v>375</v>
      </c>
      <c r="AB509" s="511">
        <v>379</v>
      </c>
      <c r="AC509" s="511">
        <v>337</v>
      </c>
      <c r="AD509" s="511">
        <v>307</v>
      </c>
      <c r="AE509" s="511">
        <v>319</v>
      </c>
      <c r="AF509" s="511">
        <v>333</v>
      </c>
      <c r="AG509" s="511">
        <v>297</v>
      </c>
      <c r="AH509" s="511">
        <v>289</v>
      </c>
      <c r="AI509" s="511">
        <v>333</v>
      </c>
      <c r="AJ509" s="511">
        <v>329</v>
      </c>
      <c r="AK509" s="511">
        <v>314</v>
      </c>
      <c r="AL509" s="511">
        <v>356</v>
      </c>
      <c r="AM509" s="511">
        <v>342</v>
      </c>
      <c r="AN509" s="511">
        <v>329</v>
      </c>
      <c r="AO509" s="511">
        <v>375</v>
      </c>
      <c r="AP509" s="511">
        <v>373</v>
      </c>
      <c r="AQ509" s="511">
        <v>362</v>
      </c>
      <c r="AR509" s="511">
        <v>382</v>
      </c>
      <c r="AS509" s="511">
        <v>390</v>
      </c>
      <c r="AT509" s="511">
        <v>371</v>
      </c>
      <c r="AU509" s="511">
        <v>386</v>
      </c>
      <c r="AV509" s="511">
        <v>397</v>
      </c>
      <c r="AW509" s="511">
        <v>396</v>
      </c>
      <c r="AX509" s="511">
        <v>417</v>
      </c>
      <c r="AY509" s="511">
        <v>405</v>
      </c>
      <c r="AZ509" s="511">
        <v>353</v>
      </c>
      <c r="BA509" s="511">
        <v>345</v>
      </c>
      <c r="BB509" s="511">
        <v>368</v>
      </c>
      <c r="BC509" s="511">
        <v>386</v>
      </c>
      <c r="BD509" s="511">
        <v>340</v>
      </c>
      <c r="BE509" s="511">
        <v>284</v>
      </c>
      <c r="BF509" s="511">
        <v>280</v>
      </c>
      <c r="BG509" s="511">
        <v>319</v>
      </c>
      <c r="BH509" s="511">
        <v>331</v>
      </c>
      <c r="BI509" s="511">
        <v>303</v>
      </c>
      <c r="BJ509" s="511">
        <v>340</v>
      </c>
      <c r="BK509" s="511">
        <v>362</v>
      </c>
      <c r="BL509" s="511">
        <v>394</v>
      </c>
      <c r="BM509" s="511">
        <v>378</v>
      </c>
      <c r="BN509" s="511">
        <v>423</v>
      </c>
      <c r="BO509" s="511">
        <v>387</v>
      </c>
      <c r="BP509" s="511">
        <v>385</v>
      </c>
      <c r="BQ509" s="511">
        <v>419</v>
      </c>
      <c r="BR509" s="511">
        <v>416</v>
      </c>
      <c r="BS509" s="511">
        <v>421</v>
      </c>
      <c r="BT509" s="511">
        <v>381</v>
      </c>
      <c r="BU509" s="511">
        <v>405</v>
      </c>
      <c r="BV509" s="511">
        <v>379</v>
      </c>
      <c r="BW509" s="511">
        <v>383</v>
      </c>
      <c r="BX509" s="511">
        <v>405</v>
      </c>
      <c r="BY509" s="511">
        <v>393</v>
      </c>
      <c r="BZ509" s="511">
        <v>324</v>
      </c>
      <c r="CA509" s="511">
        <v>306</v>
      </c>
      <c r="CB509" s="511">
        <v>295</v>
      </c>
      <c r="CC509" s="511">
        <v>323</v>
      </c>
      <c r="CD509" s="511">
        <v>301</v>
      </c>
      <c r="CE509" s="511">
        <v>295</v>
      </c>
      <c r="CF509" s="511">
        <v>300</v>
      </c>
      <c r="CG509" s="511">
        <v>276</v>
      </c>
      <c r="CH509" s="511">
        <v>314</v>
      </c>
      <c r="CI509" s="511">
        <v>295</v>
      </c>
      <c r="CJ509" s="511">
        <v>264</v>
      </c>
      <c r="CK509" s="511">
        <v>208</v>
      </c>
      <c r="CL509" s="511">
        <v>225</v>
      </c>
      <c r="CM509" s="511">
        <v>219</v>
      </c>
      <c r="CN509" s="511">
        <v>190</v>
      </c>
      <c r="CO509" s="511">
        <v>177</v>
      </c>
      <c r="CP509" s="511">
        <v>123</v>
      </c>
      <c r="CQ509" s="511">
        <v>131</v>
      </c>
      <c r="CR509" s="511">
        <v>119</v>
      </c>
      <c r="CS509" s="511">
        <v>109</v>
      </c>
      <c r="CT509" s="511">
        <v>95</v>
      </c>
      <c r="CU509" s="511">
        <v>84</v>
      </c>
      <c r="CV509" s="511">
        <v>76</v>
      </c>
      <c r="CW509" s="511">
        <v>50</v>
      </c>
      <c r="CX509" s="511">
        <v>44</v>
      </c>
      <c r="CY509" s="511">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3">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11">
        <v>377</v>
      </c>
      <c r="N510" s="511">
        <v>383</v>
      </c>
      <c r="O510" s="511">
        <v>404</v>
      </c>
      <c r="P510" s="511">
        <v>394</v>
      </c>
      <c r="Q510" s="511">
        <v>447</v>
      </c>
      <c r="R510" s="511">
        <v>478</v>
      </c>
      <c r="S510" s="511">
        <v>490</v>
      </c>
      <c r="T510" s="511">
        <v>485</v>
      </c>
      <c r="U510" s="511">
        <v>489</v>
      </c>
      <c r="V510" s="511">
        <v>501</v>
      </c>
      <c r="W510" s="511">
        <v>531</v>
      </c>
      <c r="X510" s="511">
        <v>542</v>
      </c>
      <c r="Y510" s="511">
        <v>515</v>
      </c>
      <c r="Z510" s="511">
        <v>563</v>
      </c>
      <c r="AA510" s="511">
        <v>550</v>
      </c>
      <c r="AB510" s="511">
        <v>559</v>
      </c>
      <c r="AC510" s="511">
        <v>524</v>
      </c>
      <c r="AD510" s="511">
        <v>545</v>
      </c>
      <c r="AE510" s="511">
        <v>490</v>
      </c>
      <c r="AF510" s="511">
        <v>319</v>
      </c>
      <c r="AG510" s="511">
        <v>335</v>
      </c>
      <c r="AH510" s="511">
        <v>372</v>
      </c>
      <c r="AI510" s="511">
        <v>418</v>
      </c>
      <c r="AJ510" s="511">
        <v>441</v>
      </c>
      <c r="AK510" s="511">
        <v>398</v>
      </c>
      <c r="AL510" s="511">
        <v>495</v>
      </c>
      <c r="AM510" s="511">
        <v>449</v>
      </c>
      <c r="AN510" s="511">
        <v>462</v>
      </c>
      <c r="AO510" s="511">
        <v>457</v>
      </c>
      <c r="AP510" s="511">
        <v>442</v>
      </c>
      <c r="AQ510" s="511">
        <v>500</v>
      </c>
      <c r="AR510" s="511">
        <v>537</v>
      </c>
      <c r="AS510" s="511">
        <v>477</v>
      </c>
      <c r="AT510" s="511">
        <v>516</v>
      </c>
      <c r="AU510" s="511">
        <v>453</v>
      </c>
      <c r="AV510" s="511">
        <v>485</v>
      </c>
      <c r="AW510" s="511">
        <v>490</v>
      </c>
      <c r="AX510" s="511">
        <v>484</v>
      </c>
      <c r="AY510" s="511">
        <v>482</v>
      </c>
      <c r="AZ510" s="511">
        <v>486</v>
      </c>
      <c r="BA510" s="511">
        <v>499</v>
      </c>
      <c r="BB510" s="511">
        <v>471</v>
      </c>
      <c r="BC510" s="511">
        <v>509</v>
      </c>
      <c r="BD510" s="511">
        <v>520</v>
      </c>
      <c r="BE510" s="511">
        <v>463</v>
      </c>
      <c r="BF510" s="511">
        <v>519</v>
      </c>
      <c r="BG510" s="511">
        <v>496</v>
      </c>
      <c r="BH510" s="511">
        <v>549</v>
      </c>
      <c r="BI510" s="511">
        <v>538</v>
      </c>
      <c r="BJ510" s="511">
        <v>592</v>
      </c>
      <c r="BK510" s="511">
        <v>667</v>
      </c>
      <c r="BL510" s="511">
        <v>708</v>
      </c>
      <c r="BM510" s="511">
        <v>648</v>
      </c>
      <c r="BN510" s="511">
        <v>693</v>
      </c>
      <c r="BO510" s="511">
        <v>749</v>
      </c>
      <c r="BP510" s="511">
        <v>752</v>
      </c>
      <c r="BQ510" s="511">
        <v>784</v>
      </c>
      <c r="BR510" s="511">
        <v>766</v>
      </c>
      <c r="BS510" s="511">
        <v>756</v>
      </c>
      <c r="BT510" s="511">
        <v>782</v>
      </c>
      <c r="BU510" s="511">
        <v>721</v>
      </c>
      <c r="BV510" s="511">
        <v>717</v>
      </c>
      <c r="BW510" s="511">
        <v>665</v>
      </c>
      <c r="BX510" s="511">
        <v>635</v>
      </c>
      <c r="BY510" s="511">
        <v>685</v>
      </c>
      <c r="BZ510" s="511">
        <v>628</v>
      </c>
      <c r="CA510" s="511">
        <v>575</v>
      </c>
      <c r="CB510" s="511">
        <v>602</v>
      </c>
      <c r="CC510" s="511">
        <v>554</v>
      </c>
      <c r="CD510" s="511">
        <v>603</v>
      </c>
      <c r="CE510" s="511">
        <v>611</v>
      </c>
      <c r="CF510" s="511">
        <v>578</v>
      </c>
      <c r="CG510" s="511">
        <v>625</v>
      </c>
      <c r="CH510" s="511">
        <v>605</v>
      </c>
      <c r="CI510" s="511">
        <v>606</v>
      </c>
      <c r="CJ510" s="511">
        <v>658</v>
      </c>
      <c r="CK510" s="511">
        <v>487</v>
      </c>
      <c r="CL510" s="511">
        <v>470</v>
      </c>
      <c r="CM510" s="511">
        <v>490</v>
      </c>
      <c r="CN510" s="511">
        <v>437</v>
      </c>
      <c r="CO510" s="511">
        <v>368</v>
      </c>
      <c r="CP510" s="511">
        <v>310</v>
      </c>
      <c r="CQ510" s="511">
        <v>342</v>
      </c>
      <c r="CR510" s="511">
        <v>275</v>
      </c>
      <c r="CS510" s="511">
        <v>241</v>
      </c>
      <c r="CT510" s="511">
        <v>224</v>
      </c>
      <c r="CU510" s="511">
        <v>217</v>
      </c>
      <c r="CV510" s="511">
        <v>168</v>
      </c>
      <c r="CW510" s="511">
        <v>170</v>
      </c>
      <c r="CX510" s="511">
        <v>145</v>
      </c>
      <c r="CY510" s="511">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3">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11">
        <v>636</v>
      </c>
      <c r="N511" s="511">
        <v>642</v>
      </c>
      <c r="O511" s="511">
        <v>647</v>
      </c>
      <c r="P511" s="511">
        <v>707</v>
      </c>
      <c r="Q511" s="511">
        <v>762</v>
      </c>
      <c r="R511" s="511">
        <v>761</v>
      </c>
      <c r="S511" s="511">
        <v>825</v>
      </c>
      <c r="T511" s="511">
        <v>811</v>
      </c>
      <c r="U511" s="511">
        <v>818</v>
      </c>
      <c r="V511" s="511">
        <v>783</v>
      </c>
      <c r="W511" s="511">
        <v>915</v>
      </c>
      <c r="X511" s="511">
        <v>922</v>
      </c>
      <c r="Y511" s="511">
        <v>869</v>
      </c>
      <c r="Z511" s="511">
        <v>864</v>
      </c>
      <c r="AA511" s="511">
        <v>873</v>
      </c>
      <c r="AB511" s="511">
        <v>854</v>
      </c>
      <c r="AC511" s="511">
        <v>858</v>
      </c>
      <c r="AD511" s="511">
        <v>823</v>
      </c>
      <c r="AE511" s="511">
        <v>958</v>
      </c>
      <c r="AF511" s="511">
        <v>1502</v>
      </c>
      <c r="AG511" s="511">
        <v>878</v>
      </c>
      <c r="AH511" s="511">
        <v>667</v>
      </c>
      <c r="AI511" s="511">
        <v>607</v>
      </c>
      <c r="AJ511" s="511">
        <v>701</v>
      </c>
      <c r="AK511" s="511">
        <v>688</v>
      </c>
      <c r="AL511" s="511">
        <v>776</v>
      </c>
      <c r="AM511" s="511">
        <v>789</v>
      </c>
      <c r="AN511" s="511">
        <v>806</v>
      </c>
      <c r="AO511" s="511">
        <v>797</v>
      </c>
      <c r="AP511" s="511">
        <v>829</v>
      </c>
      <c r="AQ511" s="511">
        <v>904</v>
      </c>
      <c r="AR511" s="511">
        <v>851</v>
      </c>
      <c r="AS511" s="511">
        <v>855</v>
      </c>
      <c r="AT511" s="511">
        <v>855</v>
      </c>
      <c r="AU511" s="511">
        <v>825</v>
      </c>
      <c r="AV511" s="511">
        <v>845</v>
      </c>
      <c r="AW511" s="511">
        <v>903</v>
      </c>
      <c r="AX511" s="511">
        <v>859</v>
      </c>
      <c r="AY511" s="511">
        <v>868</v>
      </c>
      <c r="AZ511" s="511">
        <v>830</v>
      </c>
      <c r="BA511" s="511">
        <v>830</v>
      </c>
      <c r="BB511" s="511">
        <v>850</v>
      </c>
      <c r="BC511" s="511">
        <v>826</v>
      </c>
      <c r="BD511" s="511">
        <v>853</v>
      </c>
      <c r="BE511" s="511">
        <v>809</v>
      </c>
      <c r="BF511" s="511">
        <v>756</v>
      </c>
      <c r="BG511" s="511">
        <v>746</v>
      </c>
      <c r="BH511" s="511">
        <v>825</v>
      </c>
      <c r="BI511" s="511">
        <v>777</v>
      </c>
      <c r="BJ511" s="511">
        <v>849</v>
      </c>
      <c r="BK511" s="511">
        <v>862</v>
      </c>
      <c r="BL511" s="511">
        <v>954</v>
      </c>
      <c r="BM511" s="511">
        <v>904</v>
      </c>
      <c r="BN511" s="511">
        <v>948</v>
      </c>
      <c r="BO511" s="511">
        <v>1003</v>
      </c>
      <c r="BP511" s="511">
        <v>945</v>
      </c>
      <c r="BQ511" s="511">
        <v>984</v>
      </c>
      <c r="BR511" s="511">
        <v>991</v>
      </c>
      <c r="BS511" s="511">
        <v>1043</v>
      </c>
      <c r="BT511" s="511">
        <v>992</v>
      </c>
      <c r="BU511" s="511">
        <v>975</v>
      </c>
      <c r="BV511" s="511">
        <v>943</v>
      </c>
      <c r="BW511" s="511">
        <v>960</v>
      </c>
      <c r="BX511" s="511">
        <v>888</v>
      </c>
      <c r="BY511" s="511">
        <v>1006</v>
      </c>
      <c r="BZ511" s="511">
        <v>870</v>
      </c>
      <c r="CA511" s="511">
        <v>796</v>
      </c>
      <c r="CB511" s="511">
        <v>802</v>
      </c>
      <c r="CC511" s="511">
        <v>793</v>
      </c>
      <c r="CD511" s="511">
        <v>815</v>
      </c>
      <c r="CE511" s="511">
        <v>772</v>
      </c>
      <c r="CF511" s="511">
        <v>725</v>
      </c>
      <c r="CG511" s="511">
        <v>778</v>
      </c>
      <c r="CH511" s="511">
        <v>746</v>
      </c>
      <c r="CI511" s="511">
        <v>847</v>
      </c>
      <c r="CJ511" s="511">
        <v>799</v>
      </c>
      <c r="CK511" s="511">
        <v>579</v>
      </c>
      <c r="CL511" s="511">
        <v>577</v>
      </c>
      <c r="CM511" s="511">
        <v>556</v>
      </c>
      <c r="CN511" s="511">
        <v>505</v>
      </c>
      <c r="CO511" s="511">
        <v>452</v>
      </c>
      <c r="CP511" s="511">
        <v>360</v>
      </c>
      <c r="CQ511" s="511">
        <v>384</v>
      </c>
      <c r="CR511" s="511">
        <v>318</v>
      </c>
      <c r="CS511" s="511">
        <v>294</v>
      </c>
      <c r="CT511" s="511">
        <v>260</v>
      </c>
      <c r="CU511" s="511">
        <v>226</v>
      </c>
      <c r="CV511" s="511">
        <v>183</v>
      </c>
      <c r="CW511" s="511">
        <v>177</v>
      </c>
      <c r="CX511" s="511">
        <v>127</v>
      </c>
      <c r="CY511" s="511">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3">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11">
        <v>1002</v>
      </c>
      <c r="N512" s="511">
        <v>958</v>
      </c>
      <c r="O512" s="511">
        <v>993</v>
      </c>
      <c r="P512" s="511">
        <v>1033</v>
      </c>
      <c r="Q512" s="511">
        <v>1002</v>
      </c>
      <c r="R512" s="511">
        <v>1014</v>
      </c>
      <c r="S512" s="511">
        <v>1196</v>
      </c>
      <c r="T512" s="511">
        <v>1083</v>
      </c>
      <c r="U512" s="511">
        <v>1043</v>
      </c>
      <c r="V512" s="511">
        <v>1089</v>
      </c>
      <c r="W512" s="511">
        <v>1039</v>
      </c>
      <c r="X512" s="511">
        <v>1059</v>
      </c>
      <c r="Y512" s="511">
        <v>1048</v>
      </c>
      <c r="Z512" s="511">
        <v>1123</v>
      </c>
      <c r="AA512" s="511">
        <v>1128</v>
      </c>
      <c r="AB512" s="511">
        <v>945</v>
      </c>
      <c r="AC512" s="511">
        <v>940</v>
      </c>
      <c r="AD512" s="511">
        <v>952</v>
      </c>
      <c r="AE512" s="511">
        <v>969</v>
      </c>
      <c r="AF512" s="511">
        <v>782</v>
      </c>
      <c r="AG512" s="511">
        <v>699</v>
      </c>
      <c r="AH512" s="511">
        <v>774</v>
      </c>
      <c r="AI512" s="511">
        <v>881</v>
      </c>
      <c r="AJ512" s="511">
        <v>985</v>
      </c>
      <c r="AK512" s="511">
        <v>959</v>
      </c>
      <c r="AL512" s="511">
        <v>1027</v>
      </c>
      <c r="AM512" s="511">
        <v>1005</v>
      </c>
      <c r="AN512" s="511">
        <v>1020</v>
      </c>
      <c r="AO512" s="511">
        <v>1076</v>
      </c>
      <c r="AP512" s="511">
        <v>1245</v>
      </c>
      <c r="AQ512" s="511">
        <v>1220</v>
      </c>
      <c r="AR512" s="511">
        <v>1265</v>
      </c>
      <c r="AS512" s="511">
        <v>1169</v>
      </c>
      <c r="AT512" s="511">
        <v>1279</v>
      </c>
      <c r="AU512" s="511">
        <v>1332</v>
      </c>
      <c r="AV512" s="511">
        <v>1215</v>
      </c>
      <c r="AW512" s="511">
        <v>1185</v>
      </c>
      <c r="AX512" s="511">
        <v>1259</v>
      </c>
      <c r="AY512" s="511">
        <v>1143</v>
      </c>
      <c r="AZ512" s="511">
        <v>1017</v>
      </c>
      <c r="BA512" s="511">
        <v>1038</v>
      </c>
      <c r="BB512" s="511">
        <v>1044</v>
      </c>
      <c r="BC512" s="511">
        <v>1120</v>
      </c>
      <c r="BD512" s="511">
        <v>1055</v>
      </c>
      <c r="BE512" s="511">
        <v>942</v>
      </c>
      <c r="BF512" s="511">
        <v>907</v>
      </c>
      <c r="BG512" s="511">
        <v>917</v>
      </c>
      <c r="BH512" s="511">
        <v>953</v>
      </c>
      <c r="BI512" s="511">
        <v>944</v>
      </c>
      <c r="BJ512" s="511">
        <v>996</v>
      </c>
      <c r="BK512" s="511">
        <v>980</v>
      </c>
      <c r="BL512" s="511">
        <v>1095</v>
      </c>
      <c r="BM512" s="511">
        <v>1067</v>
      </c>
      <c r="BN512" s="511">
        <v>1100</v>
      </c>
      <c r="BO512" s="511">
        <v>948</v>
      </c>
      <c r="BP512" s="511">
        <v>1070</v>
      </c>
      <c r="BQ512" s="511">
        <v>1067</v>
      </c>
      <c r="BR512" s="511">
        <v>1053</v>
      </c>
      <c r="BS512" s="511">
        <v>1041</v>
      </c>
      <c r="BT512" s="511">
        <v>1021</v>
      </c>
      <c r="BU512" s="511">
        <v>935</v>
      </c>
      <c r="BV512" s="511">
        <v>982</v>
      </c>
      <c r="BW512" s="511">
        <v>893</v>
      </c>
      <c r="BX512" s="511">
        <v>964</v>
      </c>
      <c r="BY512" s="511">
        <v>829</v>
      </c>
      <c r="BZ512" s="511">
        <v>800</v>
      </c>
      <c r="CA512" s="511">
        <v>680</v>
      </c>
      <c r="CB512" s="511">
        <v>675</v>
      </c>
      <c r="CC512" s="511">
        <v>724</v>
      </c>
      <c r="CD512" s="511">
        <v>751</v>
      </c>
      <c r="CE512" s="511">
        <v>678</v>
      </c>
      <c r="CF512" s="511">
        <v>607</v>
      </c>
      <c r="CG512" s="511">
        <v>654</v>
      </c>
      <c r="CH512" s="511">
        <v>620</v>
      </c>
      <c r="CI512" s="511">
        <v>701</v>
      </c>
      <c r="CJ512" s="511">
        <v>753</v>
      </c>
      <c r="CK512" s="511">
        <v>517</v>
      </c>
      <c r="CL512" s="511">
        <v>519</v>
      </c>
      <c r="CM512" s="511">
        <v>492</v>
      </c>
      <c r="CN512" s="511">
        <v>470</v>
      </c>
      <c r="CO512" s="511">
        <v>374</v>
      </c>
      <c r="CP512" s="511">
        <v>319</v>
      </c>
      <c r="CQ512" s="511">
        <v>324</v>
      </c>
      <c r="CR512" s="511">
        <v>314</v>
      </c>
      <c r="CS512" s="511">
        <v>256</v>
      </c>
      <c r="CT512" s="511">
        <v>240</v>
      </c>
      <c r="CU512" s="511">
        <v>230</v>
      </c>
      <c r="CV512" s="511">
        <v>172</v>
      </c>
      <c r="CW512" s="511">
        <v>142</v>
      </c>
      <c r="CX512" s="511">
        <v>117</v>
      </c>
      <c r="CY512" s="511">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3">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11">
        <v>547</v>
      </c>
      <c r="N513" s="511">
        <v>541</v>
      </c>
      <c r="O513" s="511">
        <v>560</v>
      </c>
      <c r="P513" s="511">
        <v>587</v>
      </c>
      <c r="Q513" s="511">
        <v>646</v>
      </c>
      <c r="R513" s="511">
        <v>630</v>
      </c>
      <c r="S513" s="511">
        <v>657</v>
      </c>
      <c r="T513" s="511">
        <v>695</v>
      </c>
      <c r="U513" s="511">
        <v>700</v>
      </c>
      <c r="V513" s="511">
        <v>693</v>
      </c>
      <c r="W513" s="511">
        <v>704</v>
      </c>
      <c r="X513" s="511">
        <v>745</v>
      </c>
      <c r="Y513" s="511">
        <v>723</v>
      </c>
      <c r="Z513" s="511">
        <v>691</v>
      </c>
      <c r="AA513" s="511">
        <v>785</v>
      </c>
      <c r="AB513" s="511">
        <v>690</v>
      </c>
      <c r="AC513" s="511">
        <v>779</v>
      </c>
      <c r="AD513" s="511">
        <v>726</v>
      </c>
      <c r="AE513" s="511">
        <v>659</v>
      </c>
      <c r="AF513" s="511">
        <v>545</v>
      </c>
      <c r="AG513" s="511">
        <v>505</v>
      </c>
      <c r="AH513" s="511">
        <v>573</v>
      </c>
      <c r="AI513" s="511">
        <v>608</v>
      </c>
      <c r="AJ513" s="511">
        <v>603</v>
      </c>
      <c r="AK513" s="511">
        <v>650</v>
      </c>
      <c r="AL513" s="511">
        <v>681</v>
      </c>
      <c r="AM513" s="511">
        <v>604</v>
      </c>
      <c r="AN513" s="511">
        <v>539</v>
      </c>
      <c r="AO513" s="511">
        <v>615</v>
      </c>
      <c r="AP513" s="511">
        <v>649</v>
      </c>
      <c r="AQ513" s="511">
        <v>715</v>
      </c>
      <c r="AR513" s="511">
        <v>687</v>
      </c>
      <c r="AS513" s="511">
        <v>631</v>
      </c>
      <c r="AT513" s="511">
        <v>601</v>
      </c>
      <c r="AU513" s="511">
        <v>686</v>
      </c>
      <c r="AV513" s="511">
        <v>659</v>
      </c>
      <c r="AW513" s="511">
        <v>623</v>
      </c>
      <c r="AX513" s="511">
        <v>623</v>
      </c>
      <c r="AY513" s="511">
        <v>614</v>
      </c>
      <c r="AZ513" s="511">
        <v>608</v>
      </c>
      <c r="BA513" s="511">
        <v>609</v>
      </c>
      <c r="BB513" s="511">
        <v>629</v>
      </c>
      <c r="BC513" s="511">
        <v>647</v>
      </c>
      <c r="BD513" s="511">
        <v>626</v>
      </c>
      <c r="BE513" s="511">
        <v>583</v>
      </c>
      <c r="BF513" s="511">
        <v>542</v>
      </c>
      <c r="BG513" s="511">
        <v>580</v>
      </c>
      <c r="BH513" s="511">
        <v>603</v>
      </c>
      <c r="BI513" s="511">
        <v>639</v>
      </c>
      <c r="BJ513" s="511">
        <v>703</v>
      </c>
      <c r="BK513" s="511">
        <v>754</v>
      </c>
      <c r="BL513" s="511">
        <v>757</v>
      </c>
      <c r="BM513" s="511">
        <v>818</v>
      </c>
      <c r="BN513" s="511">
        <v>808</v>
      </c>
      <c r="BO513" s="511">
        <v>855</v>
      </c>
      <c r="BP513" s="511">
        <v>905</v>
      </c>
      <c r="BQ513" s="511">
        <v>926</v>
      </c>
      <c r="BR513" s="511">
        <v>915</v>
      </c>
      <c r="BS513" s="511">
        <v>887</v>
      </c>
      <c r="BT513" s="511">
        <v>1009</v>
      </c>
      <c r="BU513" s="511">
        <v>967</v>
      </c>
      <c r="BV513" s="511">
        <v>914</v>
      </c>
      <c r="BW513" s="511">
        <v>904</v>
      </c>
      <c r="BX513" s="511">
        <v>952</v>
      </c>
      <c r="BY513" s="511">
        <v>893</v>
      </c>
      <c r="BZ513" s="511">
        <v>866</v>
      </c>
      <c r="CA513" s="511">
        <v>855</v>
      </c>
      <c r="CB513" s="511">
        <v>857</v>
      </c>
      <c r="CC513" s="511">
        <v>882</v>
      </c>
      <c r="CD513" s="511">
        <v>875</v>
      </c>
      <c r="CE513" s="511">
        <v>807</v>
      </c>
      <c r="CF513" s="511">
        <v>838</v>
      </c>
      <c r="CG513" s="511">
        <v>832</v>
      </c>
      <c r="CH513" s="511">
        <v>800</v>
      </c>
      <c r="CI513" s="511">
        <v>838</v>
      </c>
      <c r="CJ513" s="511">
        <v>882</v>
      </c>
      <c r="CK513" s="511">
        <v>614</v>
      </c>
      <c r="CL513" s="511">
        <v>659</v>
      </c>
      <c r="CM513" s="511">
        <v>627</v>
      </c>
      <c r="CN513" s="511">
        <v>545</v>
      </c>
      <c r="CO513" s="511">
        <v>490</v>
      </c>
      <c r="CP513" s="511">
        <v>469</v>
      </c>
      <c r="CQ513" s="511">
        <v>418</v>
      </c>
      <c r="CR513" s="511">
        <v>376</v>
      </c>
      <c r="CS513" s="511">
        <v>328</v>
      </c>
      <c r="CT513" s="511">
        <v>268</v>
      </c>
      <c r="CU513" s="511">
        <v>254</v>
      </c>
      <c r="CV513" s="511">
        <v>224</v>
      </c>
      <c r="CW513" s="511">
        <v>142</v>
      </c>
      <c r="CX513" s="511">
        <v>181</v>
      </c>
      <c r="CY513" s="511">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3">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11">
        <v>542</v>
      </c>
      <c r="N514" s="511">
        <v>558</v>
      </c>
      <c r="O514" s="511">
        <v>557</v>
      </c>
      <c r="P514" s="511">
        <v>623</v>
      </c>
      <c r="Q514" s="511">
        <v>680</v>
      </c>
      <c r="R514" s="511">
        <v>640</v>
      </c>
      <c r="S514" s="511">
        <v>636</v>
      </c>
      <c r="T514" s="511">
        <v>702</v>
      </c>
      <c r="U514" s="511">
        <v>710</v>
      </c>
      <c r="V514" s="511">
        <v>708</v>
      </c>
      <c r="W514" s="511">
        <v>684</v>
      </c>
      <c r="X514" s="511">
        <v>699</v>
      </c>
      <c r="Y514" s="511">
        <v>687</v>
      </c>
      <c r="Z514" s="511">
        <v>724</v>
      </c>
      <c r="AA514" s="511">
        <v>813</v>
      </c>
      <c r="AB514" s="511">
        <v>726</v>
      </c>
      <c r="AC514" s="511">
        <v>720</v>
      </c>
      <c r="AD514" s="511">
        <v>759</v>
      </c>
      <c r="AE514" s="511">
        <v>677</v>
      </c>
      <c r="AF514" s="511">
        <v>546</v>
      </c>
      <c r="AG514" s="511">
        <v>497</v>
      </c>
      <c r="AH514" s="511">
        <v>540</v>
      </c>
      <c r="AI514" s="511">
        <v>576</v>
      </c>
      <c r="AJ514" s="511">
        <v>708</v>
      </c>
      <c r="AK514" s="511">
        <v>659</v>
      </c>
      <c r="AL514" s="511">
        <v>640</v>
      </c>
      <c r="AM514" s="511">
        <v>700</v>
      </c>
      <c r="AN514" s="511">
        <v>643</v>
      </c>
      <c r="AO514" s="511">
        <v>676</v>
      </c>
      <c r="AP514" s="511">
        <v>655</v>
      </c>
      <c r="AQ514" s="511">
        <v>689</v>
      </c>
      <c r="AR514" s="511">
        <v>681</v>
      </c>
      <c r="AS514" s="511">
        <v>678</v>
      </c>
      <c r="AT514" s="511">
        <v>691</v>
      </c>
      <c r="AU514" s="511">
        <v>706</v>
      </c>
      <c r="AV514" s="511">
        <v>621</v>
      </c>
      <c r="AW514" s="511">
        <v>641</v>
      </c>
      <c r="AX514" s="511">
        <v>683</v>
      </c>
      <c r="AY514" s="511">
        <v>629</v>
      </c>
      <c r="AZ514" s="511">
        <v>628</v>
      </c>
      <c r="BA514" s="511">
        <v>668</v>
      </c>
      <c r="BB514" s="511">
        <v>643</v>
      </c>
      <c r="BC514" s="511">
        <v>674</v>
      </c>
      <c r="BD514" s="511">
        <v>652</v>
      </c>
      <c r="BE514" s="511">
        <v>622</v>
      </c>
      <c r="BF514" s="511">
        <v>638</v>
      </c>
      <c r="BG514" s="511">
        <v>646</v>
      </c>
      <c r="BH514" s="511">
        <v>721</v>
      </c>
      <c r="BI514" s="511">
        <v>733</v>
      </c>
      <c r="BJ514" s="511">
        <v>732</v>
      </c>
      <c r="BK514" s="511">
        <v>904</v>
      </c>
      <c r="BL514" s="511">
        <v>916</v>
      </c>
      <c r="BM514" s="511">
        <v>874</v>
      </c>
      <c r="BN514" s="511">
        <v>967</v>
      </c>
      <c r="BO514" s="511">
        <v>918</v>
      </c>
      <c r="BP514" s="511">
        <v>1049</v>
      </c>
      <c r="BQ514" s="511">
        <v>1027</v>
      </c>
      <c r="BR514" s="511">
        <v>1085</v>
      </c>
      <c r="BS514" s="511">
        <v>1055</v>
      </c>
      <c r="BT514" s="511">
        <v>1079</v>
      </c>
      <c r="BU514" s="511">
        <v>1083</v>
      </c>
      <c r="BV514" s="511">
        <v>1072</v>
      </c>
      <c r="BW514" s="511">
        <v>1062</v>
      </c>
      <c r="BX514" s="511">
        <v>1068</v>
      </c>
      <c r="BY514" s="511">
        <v>970</v>
      </c>
      <c r="BZ514" s="511">
        <v>1004</v>
      </c>
      <c r="CA514" s="511">
        <v>1048</v>
      </c>
      <c r="CB514" s="511">
        <v>920</v>
      </c>
      <c r="CC514" s="511">
        <v>981</v>
      </c>
      <c r="CD514" s="511">
        <v>986</v>
      </c>
      <c r="CE514" s="511">
        <v>946</v>
      </c>
      <c r="CF514" s="511">
        <v>909</v>
      </c>
      <c r="CG514" s="511">
        <v>957</v>
      </c>
      <c r="CH514" s="511">
        <v>966</v>
      </c>
      <c r="CI514" s="511">
        <v>1053</v>
      </c>
      <c r="CJ514" s="511">
        <v>1016</v>
      </c>
      <c r="CK514" s="511">
        <v>762</v>
      </c>
      <c r="CL514" s="511">
        <v>697</v>
      </c>
      <c r="CM514" s="511">
        <v>815</v>
      </c>
      <c r="CN514" s="511">
        <v>676</v>
      </c>
      <c r="CO514" s="511">
        <v>565</v>
      </c>
      <c r="CP514" s="511">
        <v>480</v>
      </c>
      <c r="CQ514" s="511">
        <v>484</v>
      </c>
      <c r="CR514" s="511">
        <v>421</v>
      </c>
      <c r="CS514" s="511">
        <v>402</v>
      </c>
      <c r="CT514" s="511">
        <v>348</v>
      </c>
      <c r="CU514" s="511">
        <v>295</v>
      </c>
      <c r="CV514" s="511">
        <v>283</v>
      </c>
      <c r="CW514" s="511">
        <v>234</v>
      </c>
      <c r="CX514" s="511">
        <v>151</v>
      </c>
      <c r="CY514" s="511">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3">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11">
        <v>1182</v>
      </c>
      <c r="N515" s="511">
        <v>1192</v>
      </c>
      <c r="O515" s="511">
        <v>1246</v>
      </c>
      <c r="P515" s="511">
        <v>1330</v>
      </c>
      <c r="Q515" s="511">
        <v>1390</v>
      </c>
      <c r="R515" s="511">
        <v>1335</v>
      </c>
      <c r="S515" s="511">
        <v>1349</v>
      </c>
      <c r="T515" s="511">
        <v>1424</v>
      </c>
      <c r="U515" s="511">
        <v>1454</v>
      </c>
      <c r="V515" s="511">
        <v>1448</v>
      </c>
      <c r="W515" s="511">
        <v>1470</v>
      </c>
      <c r="X515" s="511">
        <v>1500</v>
      </c>
      <c r="Y515" s="511">
        <v>1414</v>
      </c>
      <c r="Z515" s="511">
        <v>1599</v>
      </c>
      <c r="AA515" s="511">
        <v>1471</v>
      </c>
      <c r="AB515" s="511">
        <v>1487</v>
      </c>
      <c r="AC515" s="511">
        <v>1400</v>
      </c>
      <c r="AD515" s="511">
        <v>1425</v>
      </c>
      <c r="AE515" s="511">
        <v>1383</v>
      </c>
      <c r="AF515" s="511">
        <v>1430</v>
      </c>
      <c r="AG515" s="511">
        <v>1361</v>
      </c>
      <c r="AH515" s="511">
        <v>1470</v>
      </c>
      <c r="AI515" s="511">
        <v>1333</v>
      </c>
      <c r="AJ515" s="511">
        <v>1508</v>
      </c>
      <c r="AK515" s="511">
        <v>1349</v>
      </c>
      <c r="AL515" s="511">
        <v>1510</v>
      </c>
      <c r="AM515" s="511">
        <v>1397</v>
      </c>
      <c r="AN515" s="511">
        <v>1501</v>
      </c>
      <c r="AO515" s="511">
        <v>1440</v>
      </c>
      <c r="AP515" s="511">
        <v>1561</v>
      </c>
      <c r="AQ515" s="511">
        <v>1531</v>
      </c>
      <c r="AR515" s="511">
        <v>1507</v>
      </c>
      <c r="AS515" s="511">
        <v>1666</v>
      </c>
      <c r="AT515" s="511">
        <v>1646</v>
      </c>
      <c r="AU515" s="511">
        <v>1508</v>
      </c>
      <c r="AV515" s="511">
        <v>1576</v>
      </c>
      <c r="AW515" s="511">
        <v>1511</v>
      </c>
      <c r="AX515" s="511">
        <v>1573</v>
      </c>
      <c r="AY515" s="511">
        <v>1526</v>
      </c>
      <c r="AZ515" s="511">
        <v>1487</v>
      </c>
      <c r="BA515" s="511">
        <v>1448</v>
      </c>
      <c r="BB515" s="511">
        <v>1387</v>
      </c>
      <c r="BC515" s="511">
        <v>1473</v>
      </c>
      <c r="BD515" s="511">
        <v>1436</v>
      </c>
      <c r="BE515" s="511">
        <v>1292</v>
      </c>
      <c r="BF515" s="511">
        <v>1234</v>
      </c>
      <c r="BG515" s="511">
        <v>1228</v>
      </c>
      <c r="BH515" s="511">
        <v>1344</v>
      </c>
      <c r="BI515" s="511">
        <v>1265</v>
      </c>
      <c r="BJ515" s="511">
        <v>1525</v>
      </c>
      <c r="BK515" s="511">
        <v>1616</v>
      </c>
      <c r="BL515" s="511">
        <v>1695</v>
      </c>
      <c r="BM515" s="511">
        <v>1558</v>
      </c>
      <c r="BN515" s="511">
        <v>1611</v>
      </c>
      <c r="BO515" s="511">
        <v>1667</v>
      </c>
      <c r="BP515" s="511">
        <v>1659</v>
      </c>
      <c r="BQ515" s="511">
        <v>1692</v>
      </c>
      <c r="BR515" s="511">
        <v>1734</v>
      </c>
      <c r="BS515" s="511">
        <v>1649</v>
      </c>
      <c r="BT515" s="511">
        <v>1594</v>
      </c>
      <c r="BU515" s="511">
        <v>1607</v>
      </c>
      <c r="BV515" s="511">
        <v>1496</v>
      </c>
      <c r="BW515" s="511">
        <v>1364</v>
      </c>
      <c r="BX515" s="511">
        <v>1434</v>
      </c>
      <c r="BY515" s="511">
        <v>1372</v>
      </c>
      <c r="BZ515" s="511">
        <v>1354</v>
      </c>
      <c r="CA515" s="511">
        <v>1261</v>
      </c>
      <c r="CB515" s="511">
        <v>1184</v>
      </c>
      <c r="CC515" s="511">
        <v>1223</v>
      </c>
      <c r="CD515" s="511">
        <v>1163</v>
      </c>
      <c r="CE515" s="511">
        <v>1238</v>
      </c>
      <c r="CF515" s="511">
        <v>1171</v>
      </c>
      <c r="CG515" s="511">
        <v>1232</v>
      </c>
      <c r="CH515" s="511">
        <v>1244</v>
      </c>
      <c r="CI515" s="511">
        <v>1280</v>
      </c>
      <c r="CJ515" s="511">
        <v>1272</v>
      </c>
      <c r="CK515" s="511">
        <v>1071</v>
      </c>
      <c r="CL515" s="511">
        <v>988</v>
      </c>
      <c r="CM515" s="511">
        <v>843</v>
      </c>
      <c r="CN515" s="511">
        <v>708</v>
      </c>
      <c r="CO515" s="511">
        <v>680</v>
      </c>
      <c r="CP515" s="511">
        <v>591</v>
      </c>
      <c r="CQ515" s="511">
        <v>536</v>
      </c>
      <c r="CR515" s="511">
        <v>480</v>
      </c>
      <c r="CS515" s="511">
        <v>454</v>
      </c>
      <c r="CT515" s="511">
        <v>366</v>
      </c>
      <c r="CU515" s="511">
        <v>342</v>
      </c>
      <c r="CV515" s="511">
        <v>288</v>
      </c>
      <c r="CW515" s="511">
        <v>231</v>
      </c>
      <c r="CX515" s="511">
        <v>183</v>
      </c>
      <c r="CY515" s="511">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3">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11">
        <v>1134</v>
      </c>
      <c r="N516" s="511">
        <v>1063</v>
      </c>
      <c r="O516" s="511">
        <v>1133</v>
      </c>
      <c r="P516" s="511">
        <v>1224</v>
      </c>
      <c r="Q516" s="511">
        <v>1266</v>
      </c>
      <c r="R516" s="511">
        <v>1252</v>
      </c>
      <c r="S516" s="511">
        <v>1374</v>
      </c>
      <c r="T516" s="511">
        <v>1363</v>
      </c>
      <c r="U516" s="511">
        <v>1342</v>
      </c>
      <c r="V516" s="511">
        <v>1419</v>
      </c>
      <c r="W516" s="511">
        <v>1459</v>
      </c>
      <c r="X516" s="511">
        <v>1510</v>
      </c>
      <c r="Y516" s="511">
        <v>1407</v>
      </c>
      <c r="Z516" s="511">
        <v>1464</v>
      </c>
      <c r="AA516" s="511">
        <v>1527</v>
      </c>
      <c r="AB516" s="511">
        <v>1392</v>
      </c>
      <c r="AC516" s="511">
        <v>1385</v>
      </c>
      <c r="AD516" s="511">
        <v>1426</v>
      </c>
      <c r="AE516" s="511">
        <v>1459</v>
      </c>
      <c r="AF516" s="511">
        <v>1896</v>
      </c>
      <c r="AG516" s="511">
        <v>2522</v>
      </c>
      <c r="AH516" s="511">
        <v>2615</v>
      </c>
      <c r="AI516" s="511">
        <v>2280</v>
      </c>
      <c r="AJ516" s="511">
        <v>1910</v>
      </c>
      <c r="AK516" s="511">
        <v>1501</v>
      </c>
      <c r="AL516" s="511">
        <v>1507</v>
      </c>
      <c r="AM516" s="511">
        <v>1486</v>
      </c>
      <c r="AN516" s="511">
        <v>1351</v>
      </c>
      <c r="AO516" s="511">
        <v>1422</v>
      </c>
      <c r="AP516" s="511">
        <v>1448</v>
      </c>
      <c r="AQ516" s="511">
        <v>1520</v>
      </c>
      <c r="AR516" s="511">
        <v>1551</v>
      </c>
      <c r="AS516" s="511">
        <v>1644</v>
      </c>
      <c r="AT516" s="511">
        <v>1442</v>
      </c>
      <c r="AU516" s="511">
        <v>1501</v>
      </c>
      <c r="AV516" s="511">
        <v>1514</v>
      </c>
      <c r="AW516" s="511">
        <v>1498</v>
      </c>
      <c r="AX516" s="511">
        <v>1597</v>
      </c>
      <c r="AY516" s="511">
        <v>1396</v>
      </c>
      <c r="AZ516" s="511">
        <v>1455</v>
      </c>
      <c r="BA516" s="511">
        <v>1397</v>
      </c>
      <c r="BB516" s="511">
        <v>1417</v>
      </c>
      <c r="BC516" s="511">
        <v>1584</v>
      </c>
      <c r="BD516" s="511">
        <v>1343</v>
      </c>
      <c r="BE516" s="511">
        <v>1273</v>
      </c>
      <c r="BF516" s="511">
        <v>1289</v>
      </c>
      <c r="BG516" s="511">
        <v>1339</v>
      </c>
      <c r="BH516" s="511">
        <v>1379</v>
      </c>
      <c r="BI516" s="511">
        <v>1335</v>
      </c>
      <c r="BJ516" s="511">
        <v>1336</v>
      </c>
      <c r="BK516" s="511">
        <v>1462</v>
      </c>
      <c r="BL516" s="511">
        <v>1510</v>
      </c>
      <c r="BM516" s="511">
        <v>1509</v>
      </c>
      <c r="BN516" s="511">
        <v>1691</v>
      </c>
      <c r="BO516" s="511">
        <v>1552</v>
      </c>
      <c r="BP516" s="511">
        <v>1528</v>
      </c>
      <c r="BQ516" s="511">
        <v>1522</v>
      </c>
      <c r="BR516" s="511">
        <v>1665</v>
      </c>
      <c r="BS516" s="511">
        <v>1640</v>
      </c>
      <c r="BT516" s="511">
        <v>1484</v>
      </c>
      <c r="BU516" s="511">
        <v>1519</v>
      </c>
      <c r="BV516" s="511">
        <v>1456</v>
      </c>
      <c r="BW516" s="511">
        <v>1447</v>
      </c>
      <c r="BX516" s="511">
        <v>1394</v>
      </c>
      <c r="BY516" s="511">
        <v>1349</v>
      </c>
      <c r="BZ516" s="511">
        <v>1273</v>
      </c>
      <c r="CA516" s="511">
        <v>1240</v>
      </c>
      <c r="CB516" s="511">
        <v>1189</v>
      </c>
      <c r="CC516" s="511">
        <v>1181</v>
      </c>
      <c r="CD516" s="511">
        <v>1218</v>
      </c>
      <c r="CE516" s="511">
        <v>1171</v>
      </c>
      <c r="CF516" s="511">
        <v>1093</v>
      </c>
      <c r="CG516" s="511">
        <v>1212</v>
      </c>
      <c r="CH516" s="511">
        <v>1187</v>
      </c>
      <c r="CI516" s="511">
        <v>1233</v>
      </c>
      <c r="CJ516" s="511">
        <v>1340</v>
      </c>
      <c r="CK516" s="511">
        <v>889</v>
      </c>
      <c r="CL516" s="511">
        <v>905</v>
      </c>
      <c r="CM516" s="511">
        <v>899</v>
      </c>
      <c r="CN516" s="511">
        <v>852</v>
      </c>
      <c r="CO516" s="511">
        <v>748</v>
      </c>
      <c r="CP516" s="511">
        <v>612</v>
      </c>
      <c r="CQ516" s="511">
        <v>591</v>
      </c>
      <c r="CR516" s="511">
        <v>524</v>
      </c>
      <c r="CS516" s="511">
        <v>525</v>
      </c>
      <c r="CT516" s="511">
        <v>455</v>
      </c>
      <c r="CU516" s="511">
        <v>393</v>
      </c>
      <c r="CV516" s="511">
        <v>348</v>
      </c>
      <c r="CW516" s="511">
        <v>276</v>
      </c>
      <c r="CX516" s="511">
        <v>244</v>
      </c>
      <c r="CY516" s="511">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3">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11">
        <v>514</v>
      </c>
      <c r="N517" s="511">
        <v>466</v>
      </c>
      <c r="O517" s="511">
        <v>537</v>
      </c>
      <c r="P517" s="511">
        <v>540</v>
      </c>
      <c r="Q517" s="511">
        <v>516</v>
      </c>
      <c r="R517" s="511">
        <v>556</v>
      </c>
      <c r="S517" s="511">
        <v>581</v>
      </c>
      <c r="T517" s="511">
        <v>514</v>
      </c>
      <c r="U517" s="511">
        <v>551</v>
      </c>
      <c r="V517" s="511">
        <v>551</v>
      </c>
      <c r="W517" s="511">
        <v>588</v>
      </c>
      <c r="X517" s="511">
        <v>600</v>
      </c>
      <c r="Y517" s="511">
        <v>586</v>
      </c>
      <c r="Z517" s="511">
        <v>625</v>
      </c>
      <c r="AA517" s="511">
        <v>581</v>
      </c>
      <c r="AB517" s="511">
        <v>557</v>
      </c>
      <c r="AC517" s="511">
        <v>592</v>
      </c>
      <c r="AD517" s="511">
        <v>585</v>
      </c>
      <c r="AE517" s="511">
        <v>488</v>
      </c>
      <c r="AF517" s="511">
        <v>425</v>
      </c>
      <c r="AG517" s="511">
        <v>404</v>
      </c>
      <c r="AH517" s="511">
        <v>418</v>
      </c>
      <c r="AI517" s="511">
        <v>438</v>
      </c>
      <c r="AJ517" s="511">
        <v>462</v>
      </c>
      <c r="AK517" s="511">
        <v>507</v>
      </c>
      <c r="AL517" s="511">
        <v>598</v>
      </c>
      <c r="AM517" s="511">
        <v>533</v>
      </c>
      <c r="AN517" s="511">
        <v>576</v>
      </c>
      <c r="AO517" s="511">
        <v>555</v>
      </c>
      <c r="AP517" s="511">
        <v>540</v>
      </c>
      <c r="AQ517" s="511">
        <v>596</v>
      </c>
      <c r="AR517" s="511">
        <v>615</v>
      </c>
      <c r="AS517" s="511">
        <v>622</v>
      </c>
      <c r="AT517" s="511">
        <v>617</v>
      </c>
      <c r="AU517" s="511">
        <v>553</v>
      </c>
      <c r="AV517" s="511">
        <v>586</v>
      </c>
      <c r="AW517" s="511">
        <v>593</v>
      </c>
      <c r="AX517" s="511">
        <v>574</v>
      </c>
      <c r="AY517" s="511">
        <v>532</v>
      </c>
      <c r="AZ517" s="511">
        <v>548</v>
      </c>
      <c r="BA517" s="511">
        <v>555</v>
      </c>
      <c r="BB517" s="511">
        <v>493</v>
      </c>
      <c r="BC517" s="511">
        <v>523</v>
      </c>
      <c r="BD517" s="511">
        <v>539</v>
      </c>
      <c r="BE517" s="511">
        <v>428</v>
      </c>
      <c r="BF517" s="511">
        <v>504</v>
      </c>
      <c r="BG517" s="511">
        <v>432</v>
      </c>
      <c r="BH517" s="511">
        <v>497</v>
      </c>
      <c r="BI517" s="511">
        <v>493</v>
      </c>
      <c r="BJ517" s="511">
        <v>561</v>
      </c>
      <c r="BK517" s="511">
        <v>569</v>
      </c>
      <c r="BL517" s="511">
        <v>636</v>
      </c>
      <c r="BM517" s="511">
        <v>634</v>
      </c>
      <c r="BN517" s="511">
        <v>601</v>
      </c>
      <c r="BO517" s="511">
        <v>597</v>
      </c>
      <c r="BP517" s="511">
        <v>623</v>
      </c>
      <c r="BQ517" s="511">
        <v>631</v>
      </c>
      <c r="BR517" s="511">
        <v>707</v>
      </c>
      <c r="BS517" s="511">
        <v>646</v>
      </c>
      <c r="BT517" s="511">
        <v>672</v>
      </c>
      <c r="BU517" s="511">
        <v>661</v>
      </c>
      <c r="BV517" s="511">
        <v>655</v>
      </c>
      <c r="BW517" s="511">
        <v>574</v>
      </c>
      <c r="BX517" s="511">
        <v>580</v>
      </c>
      <c r="BY517" s="511">
        <v>594</v>
      </c>
      <c r="BZ517" s="511">
        <v>511</v>
      </c>
      <c r="CA517" s="511">
        <v>490</v>
      </c>
      <c r="CB517" s="511">
        <v>470</v>
      </c>
      <c r="CC517" s="511">
        <v>535</v>
      </c>
      <c r="CD517" s="511">
        <v>469</v>
      </c>
      <c r="CE517" s="511">
        <v>488</v>
      </c>
      <c r="CF517" s="511">
        <v>479</v>
      </c>
      <c r="CG517" s="511">
        <v>457</v>
      </c>
      <c r="CH517" s="511">
        <v>484</v>
      </c>
      <c r="CI517" s="511">
        <v>455</v>
      </c>
      <c r="CJ517" s="511">
        <v>541</v>
      </c>
      <c r="CK517" s="511">
        <v>404</v>
      </c>
      <c r="CL517" s="511">
        <v>398</v>
      </c>
      <c r="CM517" s="511">
        <v>348</v>
      </c>
      <c r="CN517" s="511">
        <v>298</v>
      </c>
      <c r="CO517" s="511">
        <v>266</v>
      </c>
      <c r="CP517" s="511">
        <v>246</v>
      </c>
      <c r="CQ517" s="511">
        <v>224</v>
      </c>
      <c r="CR517" s="511">
        <v>223</v>
      </c>
      <c r="CS517" s="511">
        <v>187</v>
      </c>
      <c r="CT517" s="511">
        <v>157</v>
      </c>
      <c r="CU517" s="511">
        <v>143</v>
      </c>
      <c r="CV517" s="511">
        <v>129</v>
      </c>
      <c r="CW517" s="511">
        <v>118</v>
      </c>
      <c r="CX517" s="511">
        <v>110</v>
      </c>
      <c r="CY517" s="511">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3">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11">
        <v>642</v>
      </c>
      <c r="N518" s="511">
        <v>670</v>
      </c>
      <c r="O518" s="511">
        <v>666</v>
      </c>
      <c r="P518" s="511">
        <v>745</v>
      </c>
      <c r="Q518" s="511">
        <v>708</v>
      </c>
      <c r="R518" s="511">
        <v>814</v>
      </c>
      <c r="S518" s="511">
        <v>772</v>
      </c>
      <c r="T518" s="511">
        <v>756</v>
      </c>
      <c r="U518" s="511">
        <v>790</v>
      </c>
      <c r="V518" s="511">
        <v>869</v>
      </c>
      <c r="W518" s="511">
        <v>878</v>
      </c>
      <c r="X518" s="511">
        <v>861</v>
      </c>
      <c r="Y518" s="511">
        <v>888</v>
      </c>
      <c r="Z518" s="511">
        <v>889</v>
      </c>
      <c r="AA518" s="511">
        <v>863</v>
      </c>
      <c r="AB518" s="511">
        <v>841</v>
      </c>
      <c r="AC518" s="511">
        <v>775</v>
      </c>
      <c r="AD518" s="511">
        <v>759</v>
      </c>
      <c r="AE518" s="511">
        <v>728</v>
      </c>
      <c r="AF518" s="511">
        <v>587</v>
      </c>
      <c r="AG518" s="511">
        <v>503</v>
      </c>
      <c r="AH518" s="511">
        <v>620</v>
      </c>
      <c r="AI518" s="511">
        <v>676</v>
      </c>
      <c r="AJ518" s="511">
        <v>666</v>
      </c>
      <c r="AK518" s="511">
        <v>621</v>
      </c>
      <c r="AL518" s="511">
        <v>702</v>
      </c>
      <c r="AM518" s="511">
        <v>663</v>
      </c>
      <c r="AN518" s="511">
        <v>711</v>
      </c>
      <c r="AO518" s="511">
        <v>738</v>
      </c>
      <c r="AP518" s="511">
        <v>687</v>
      </c>
      <c r="AQ518" s="511">
        <v>701</v>
      </c>
      <c r="AR518" s="511">
        <v>728</v>
      </c>
      <c r="AS518" s="511">
        <v>706</v>
      </c>
      <c r="AT518" s="511">
        <v>774</v>
      </c>
      <c r="AU518" s="511">
        <v>806</v>
      </c>
      <c r="AV518" s="511">
        <v>800</v>
      </c>
      <c r="AW518" s="511">
        <v>846</v>
      </c>
      <c r="AX518" s="511">
        <v>741</v>
      </c>
      <c r="AY518" s="511">
        <v>762</v>
      </c>
      <c r="AZ518" s="511">
        <v>802</v>
      </c>
      <c r="BA518" s="511">
        <v>818</v>
      </c>
      <c r="BB518" s="511">
        <v>893</v>
      </c>
      <c r="BC518" s="511">
        <v>884</v>
      </c>
      <c r="BD518" s="511">
        <v>832</v>
      </c>
      <c r="BE518" s="511">
        <v>669</v>
      </c>
      <c r="BF518" s="511">
        <v>732</v>
      </c>
      <c r="BG518" s="511">
        <v>722</v>
      </c>
      <c r="BH518" s="511">
        <v>807</v>
      </c>
      <c r="BI518" s="511">
        <v>781</v>
      </c>
      <c r="BJ518" s="511">
        <v>815</v>
      </c>
      <c r="BK518" s="511">
        <v>842</v>
      </c>
      <c r="BL518" s="511">
        <v>880</v>
      </c>
      <c r="BM518" s="511">
        <v>853</v>
      </c>
      <c r="BN518" s="511">
        <v>916</v>
      </c>
      <c r="BO518" s="511">
        <v>871</v>
      </c>
      <c r="BP518" s="511">
        <v>920</v>
      </c>
      <c r="BQ518" s="511">
        <v>867</v>
      </c>
      <c r="BR518" s="511">
        <v>906</v>
      </c>
      <c r="BS518" s="511">
        <v>932</v>
      </c>
      <c r="BT518" s="511">
        <v>907</v>
      </c>
      <c r="BU518" s="511">
        <v>934</v>
      </c>
      <c r="BV518" s="511">
        <v>904</v>
      </c>
      <c r="BW518" s="511">
        <v>828</v>
      </c>
      <c r="BX518" s="511">
        <v>857</v>
      </c>
      <c r="BY518" s="511">
        <v>763</v>
      </c>
      <c r="BZ518" s="511">
        <v>786</v>
      </c>
      <c r="CA518" s="511">
        <v>761</v>
      </c>
      <c r="CB518" s="511">
        <v>745</v>
      </c>
      <c r="CC518" s="511">
        <v>753</v>
      </c>
      <c r="CD518" s="511">
        <v>754</v>
      </c>
      <c r="CE518" s="511">
        <v>696</v>
      </c>
      <c r="CF518" s="511">
        <v>706</v>
      </c>
      <c r="CG518" s="511">
        <v>707</v>
      </c>
      <c r="CH518" s="511">
        <v>714</v>
      </c>
      <c r="CI518" s="511">
        <v>737</v>
      </c>
      <c r="CJ518" s="511">
        <v>775</v>
      </c>
      <c r="CK518" s="511">
        <v>562</v>
      </c>
      <c r="CL518" s="511">
        <v>555</v>
      </c>
      <c r="CM518" s="511">
        <v>563</v>
      </c>
      <c r="CN518" s="511">
        <v>468</v>
      </c>
      <c r="CO518" s="511">
        <v>410</v>
      </c>
      <c r="CP518" s="511">
        <v>391</v>
      </c>
      <c r="CQ518" s="511">
        <v>349</v>
      </c>
      <c r="CR518" s="511">
        <v>336</v>
      </c>
      <c r="CS518" s="511">
        <v>307</v>
      </c>
      <c r="CT518" s="511">
        <v>239</v>
      </c>
      <c r="CU518" s="511">
        <v>231</v>
      </c>
      <c r="CV518" s="511">
        <v>180</v>
      </c>
      <c r="CW518" s="511">
        <v>170</v>
      </c>
      <c r="CX518" s="511">
        <v>135</v>
      </c>
      <c r="CY518" s="511">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3">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11">
        <v>673</v>
      </c>
      <c r="N519" s="511">
        <v>647</v>
      </c>
      <c r="O519" s="511">
        <v>740</v>
      </c>
      <c r="P519" s="511">
        <v>723</v>
      </c>
      <c r="Q519" s="511">
        <v>730</v>
      </c>
      <c r="R519" s="511">
        <v>761</v>
      </c>
      <c r="S519" s="511">
        <v>793</v>
      </c>
      <c r="T519" s="511">
        <v>761</v>
      </c>
      <c r="U519" s="511">
        <v>814</v>
      </c>
      <c r="V519" s="511">
        <v>862</v>
      </c>
      <c r="W519" s="511">
        <v>831</v>
      </c>
      <c r="X519" s="511">
        <v>858</v>
      </c>
      <c r="Y519" s="511">
        <v>859</v>
      </c>
      <c r="Z519" s="511">
        <v>879</v>
      </c>
      <c r="AA519" s="511">
        <v>845</v>
      </c>
      <c r="AB519" s="511">
        <v>853</v>
      </c>
      <c r="AC519" s="511">
        <v>831</v>
      </c>
      <c r="AD519" s="511">
        <v>839</v>
      </c>
      <c r="AE519" s="511">
        <v>753</v>
      </c>
      <c r="AF519" s="511">
        <v>630</v>
      </c>
      <c r="AG519" s="511">
        <v>619</v>
      </c>
      <c r="AH519" s="511">
        <v>629</v>
      </c>
      <c r="AI519" s="511">
        <v>670</v>
      </c>
      <c r="AJ519" s="511">
        <v>758</v>
      </c>
      <c r="AK519" s="511">
        <v>790</v>
      </c>
      <c r="AL519" s="511">
        <v>832</v>
      </c>
      <c r="AM519" s="511">
        <v>753</v>
      </c>
      <c r="AN519" s="511">
        <v>823</v>
      </c>
      <c r="AO519" s="511">
        <v>819</v>
      </c>
      <c r="AP519" s="511">
        <v>821</v>
      </c>
      <c r="AQ519" s="511">
        <v>786</v>
      </c>
      <c r="AR519" s="511">
        <v>853</v>
      </c>
      <c r="AS519" s="511">
        <v>859</v>
      </c>
      <c r="AT519" s="511">
        <v>835</v>
      </c>
      <c r="AU519" s="511">
        <v>874</v>
      </c>
      <c r="AV519" s="511">
        <v>850</v>
      </c>
      <c r="AW519" s="511">
        <v>902</v>
      </c>
      <c r="AX519" s="511">
        <v>921</v>
      </c>
      <c r="AY519" s="511">
        <v>825</v>
      </c>
      <c r="AZ519" s="511">
        <v>847</v>
      </c>
      <c r="BA519" s="511">
        <v>842</v>
      </c>
      <c r="BB519" s="511">
        <v>901</v>
      </c>
      <c r="BC519" s="511">
        <v>918</v>
      </c>
      <c r="BD519" s="511">
        <v>874</v>
      </c>
      <c r="BE519" s="511">
        <v>746</v>
      </c>
      <c r="BF519" s="511">
        <v>759</v>
      </c>
      <c r="BG519" s="511">
        <v>795</v>
      </c>
      <c r="BH519" s="511">
        <v>790</v>
      </c>
      <c r="BI519" s="511">
        <v>799</v>
      </c>
      <c r="BJ519" s="511">
        <v>915</v>
      </c>
      <c r="BK519" s="511">
        <v>955</v>
      </c>
      <c r="BL519" s="511">
        <v>1013</v>
      </c>
      <c r="BM519" s="511">
        <v>995</v>
      </c>
      <c r="BN519" s="511">
        <v>1003</v>
      </c>
      <c r="BO519" s="511">
        <v>969</v>
      </c>
      <c r="BP519" s="511">
        <v>960</v>
      </c>
      <c r="BQ519" s="511">
        <v>1007</v>
      </c>
      <c r="BR519" s="511">
        <v>986</v>
      </c>
      <c r="BS519" s="511">
        <v>968</v>
      </c>
      <c r="BT519" s="511">
        <v>965</v>
      </c>
      <c r="BU519" s="511">
        <v>916</v>
      </c>
      <c r="BV519" s="511">
        <v>884</v>
      </c>
      <c r="BW519" s="511">
        <v>833</v>
      </c>
      <c r="BX519" s="511">
        <v>743</v>
      </c>
      <c r="BY519" s="511">
        <v>790</v>
      </c>
      <c r="BZ519" s="511">
        <v>795</v>
      </c>
      <c r="CA519" s="511">
        <v>774</v>
      </c>
      <c r="CB519" s="511">
        <v>688</v>
      </c>
      <c r="CC519" s="511">
        <v>698</v>
      </c>
      <c r="CD519" s="511">
        <v>716</v>
      </c>
      <c r="CE519" s="511">
        <v>688</v>
      </c>
      <c r="CF519" s="511">
        <v>667</v>
      </c>
      <c r="CG519" s="511">
        <v>680</v>
      </c>
      <c r="CH519" s="511">
        <v>708</v>
      </c>
      <c r="CI519" s="511">
        <v>706</v>
      </c>
      <c r="CJ519" s="511">
        <v>754</v>
      </c>
      <c r="CK519" s="511">
        <v>572</v>
      </c>
      <c r="CL519" s="511">
        <v>512</v>
      </c>
      <c r="CM519" s="511">
        <v>519</v>
      </c>
      <c r="CN519" s="511">
        <v>494</v>
      </c>
      <c r="CO519" s="511">
        <v>429</v>
      </c>
      <c r="CP519" s="511">
        <v>357</v>
      </c>
      <c r="CQ519" s="511">
        <v>308</v>
      </c>
      <c r="CR519" s="511">
        <v>275</v>
      </c>
      <c r="CS519" s="511">
        <v>281</v>
      </c>
      <c r="CT519" s="511">
        <v>235</v>
      </c>
      <c r="CU519" s="511">
        <v>217</v>
      </c>
      <c r="CV519" s="511">
        <v>176</v>
      </c>
      <c r="CW519" s="511">
        <v>132</v>
      </c>
      <c r="CX519" s="511">
        <v>132</v>
      </c>
      <c r="CY519" s="511">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3">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3">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3">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3">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3">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3">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3">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3">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3">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3">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3">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3">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3">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3">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3">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3">
      <c r="A535" s="531" t="s">
        <v>600</v>
      </c>
      <c r="B535" s="532"/>
      <c r="C535" s="533"/>
      <c r="D535" s="534"/>
      <c r="E535" s="534"/>
      <c r="F535" s="534"/>
      <c r="G535" s="535"/>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3">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3">
      <c r="C537" s="11"/>
      <c r="D537" s="536" t="s">
        <v>601</v>
      </c>
      <c r="E537" s="537" t="s">
        <v>602</v>
      </c>
      <c r="F537" s="536"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x14ac:dyDescent="0.35">
      <c r="C538" s="11"/>
      <c r="D538" s="538" t="s">
        <v>604</v>
      </c>
      <c r="E538" s="539" t="s">
        <v>605</v>
      </c>
      <c r="F538" s="538"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x14ac:dyDescent="0.35">
      <c r="C539" s="11"/>
      <c r="D539" s="538" t="s">
        <v>607</v>
      </c>
      <c r="E539" s="539" t="s">
        <v>608</v>
      </c>
      <c r="F539" s="538"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x14ac:dyDescent="0.35">
      <c r="C540" s="1" t="s">
        <v>610</v>
      </c>
      <c r="D540" s="540">
        <v>60238038</v>
      </c>
      <c r="E540" s="541"/>
      <c r="F540" s="542"/>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x14ac:dyDescent="0.35">
      <c r="C541" s="543" t="s">
        <v>611</v>
      </c>
      <c r="D541" s="544"/>
      <c r="E541" s="545">
        <v>60856434</v>
      </c>
      <c r="F541" s="540">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x14ac:dyDescent="0.35">
      <c r="C542" s="543" t="s">
        <v>612</v>
      </c>
      <c r="D542" s="544"/>
      <c r="E542" s="546">
        <f>(E541-D540)/D540</f>
        <v>1.0265872205200309E-2</v>
      </c>
      <c r="F542" s="547">
        <f>(F541-D540)/D540</f>
        <v>2.0553358660187437E-2</v>
      </c>
      <c r="G542" s="548">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x14ac:dyDescent="0.35">
      <c r="C543" s="543" t="s">
        <v>613</v>
      </c>
      <c r="D543" s="544"/>
      <c r="E543" s="549"/>
      <c r="F543" s="540">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x14ac:dyDescent="0.35">
      <c r="C544" s="543" t="s">
        <v>614</v>
      </c>
      <c r="D544" s="544"/>
      <c r="E544" s="549"/>
      <c r="F544" s="540">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3">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3">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3">
      <c r="A547" s="527"/>
      <c r="B547" s="528"/>
      <c r="C547" s="21" t="s">
        <v>615</v>
      </c>
      <c r="D547" s="139" t="s">
        <v>616</v>
      </c>
      <c r="E547" s="139" t="s">
        <v>617</v>
      </c>
      <c r="F547" s="139" t="s">
        <v>618</v>
      </c>
      <c r="G547" s="139" t="s">
        <v>619</v>
      </c>
      <c r="H547" s="139" t="s">
        <v>620</v>
      </c>
      <c r="I547" s="139" t="s">
        <v>621</v>
      </c>
      <c r="J547" s="462" t="s">
        <v>622</v>
      </c>
      <c r="K547" s="465" t="s">
        <v>623</v>
      </c>
      <c r="L547" s="321"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3">
      <c r="A548" s="529" t="s">
        <v>625</v>
      </c>
      <c r="C548" s="21" t="s">
        <v>626</v>
      </c>
      <c r="D548" s="797" t="s">
        <v>627</v>
      </c>
      <c r="E548" s="798"/>
      <c r="F548" s="798"/>
      <c r="G548" s="798"/>
      <c r="H548" s="798"/>
      <c r="I548" s="799"/>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3">
      <c r="A549" s="529"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3">
      <c r="A550" s="529" t="s">
        <v>625</v>
      </c>
      <c r="B550" s="11">
        <v>1</v>
      </c>
      <c r="C550" s="138" t="s">
        <v>629</v>
      </c>
      <c r="D550" s="142"/>
      <c r="E550" s="142">
        <v>1.0090702843828887</v>
      </c>
      <c r="F550" s="142">
        <v>1.0170393771683619</v>
      </c>
      <c r="G550" s="142">
        <v>1.0238793000184203</v>
      </c>
      <c r="H550" s="142">
        <v>1.0295635385778663</v>
      </c>
      <c r="I550" s="142">
        <v>1.0351195322438309</v>
      </c>
      <c r="J550" s="463">
        <f>(I550-100%)/5</f>
        <v>7.0239064487661821E-3</v>
      </c>
      <c r="K550" s="466">
        <f t="shared" ref="K550:K563" si="144">(I550/100%)^(1/5)-1</f>
        <v>6.9272652964273984E-3</v>
      </c>
      <c r="L550" s="461">
        <v>6.9272652964273984E-3</v>
      </c>
      <c r="M550" s="457"/>
      <c r="N550" s="457"/>
      <c r="O550" s="458"/>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3">
      <c r="A551" s="529" t="s">
        <v>625</v>
      </c>
      <c r="B551" s="11">
        <v>2</v>
      </c>
      <c r="C551" s="138" t="s">
        <v>630</v>
      </c>
      <c r="D551" s="142"/>
      <c r="E551" s="142">
        <v>0.96173452499784384</v>
      </c>
      <c r="F551" s="142">
        <v>0.949547172001034</v>
      </c>
      <c r="G551" s="142">
        <v>0.93849673400054612</v>
      </c>
      <c r="H551" s="142">
        <v>0.92766778564091124</v>
      </c>
      <c r="I551" s="142">
        <v>0.91680012001884892</v>
      </c>
      <c r="J551" s="463">
        <f t="shared" ref="J551:J563" si="145">(I551-100%)/5</f>
        <v>-1.6639975996230218E-2</v>
      </c>
      <c r="K551" s="466">
        <f t="shared" si="144"/>
        <v>-1.7223117235316776E-2</v>
      </c>
      <c r="L551" s="461">
        <v>-1.7223117235316776E-2</v>
      </c>
      <c r="M551" s="457"/>
      <c r="N551" s="457"/>
      <c r="O551" s="458"/>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3">
      <c r="A552" s="529" t="s">
        <v>625</v>
      </c>
      <c r="B552" s="11">
        <v>3</v>
      </c>
      <c r="C552" s="138" t="s">
        <v>631</v>
      </c>
      <c r="D552" s="142"/>
      <c r="E552" s="142">
        <v>1.0707061745580608</v>
      </c>
      <c r="F552" s="142">
        <v>1.0961797739954167</v>
      </c>
      <c r="G552" s="142">
        <v>1.1120352164720533</v>
      </c>
      <c r="H552" s="142">
        <v>1.1172916519636134</v>
      </c>
      <c r="I552" s="142">
        <v>1.1228072524832799</v>
      </c>
      <c r="J552" s="463">
        <f t="shared" si="145"/>
        <v>2.4561450496655989E-2</v>
      </c>
      <c r="K552" s="466">
        <f t="shared" si="144"/>
        <v>2.3436830336478032E-2</v>
      </c>
      <c r="L552" s="461">
        <v>2.3436830336478032E-2</v>
      </c>
      <c r="M552" s="457"/>
      <c r="N552" s="457"/>
      <c r="O552" s="458"/>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3">
      <c r="A553" s="529" t="s">
        <v>625</v>
      </c>
      <c r="B553" s="11">
        <v>4</v>
      </c>
      <c r="C553" s="138" t="s">
        <v>632</v>
      </c>
      <c r="D553" s="142"/>
      <c r="E553" s="142">
        <v>0.99704312080608826</v>
      </c>
      <c r="F553" s="142">
        <v>0.99705853203848904</v>
      </c>
      <c r="G553" s="142">
        <v>0.99472603914083957</v>
      </c>
      <c r="H553" s="142">
        <v>0.9891090180954597</v>
      </c>
      <c r="I553" s="142">
        <v>0.98354979851924307</v>
      </c>
      <c r="J553" s="463">
        <f t="shared" si="145"/>
        <v>-3.2900402961513866E-3</v>
      </c>
      <c r="K553" s="466">
        <f t="shared" si="144"/>
        <v>-3.3119051937137156E-3</v>
      </c>
      <c r="L553" s="461">
        <v>-3.3119051937137156E-3</v>
      </c>
      <c r="M553" s="457"/>
      <c r="N553" s="457"/>
      <c r="O553" s="458"/>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3">
      <c r="A554" s="529" t="s">
        <v>625</v>
      </c>
      <c r="B554" s="11">
        <v>5</v>
      </c>
      <c r="C554" s="138" t="s">
        <v>633</v>
      </c>
      <c r="D554" s="142"/>
      <c r="E554" s="142">
        <v>0.99263087643060499</v>
      </c>
      <c r="F554" s="142">
        <v>0.99530151668079492</v>
      </c>
      <c r="G554" s="142">
        <v>0.99708461172748208</v>
      </c>
      <c r="H554" s="142">
        <v>0.99857946574262668</v>
      </c>
      <c r="I554" s="142">
        <v>1.0006058081967233</v>
      </c>
      <c r="J554" s="463">
        <f t="shared" si="145"/>
        <v>1.2116163934465796E-4</v>
      </c>
      <c r="K554" s="466">
        <f t="shared" si="144"/>
        <v>1.2113228972654433E-4</v>
      </c>
      <c r="L554" s="461">
        <v>1.2113228972654433E-4</v>
      </c>
      <c r="M554" s="457"/>
      <c r="N554" s="457"/>
      <c r="O554" s="458"/>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3">
      <c r="A555" s="529" t="s">
        <v>625</v>
      </c>
      <c r="B555" s="11">
        <v>6</v>
      </c>
      <c r="C555" s="455" t="s">
        <v>634</v>
      </c>
      <c r="D555" s="456"/>
      <c r="E555" s="456">
        <v>1.0123419501207302</v>
      </c>
      <c r="F555" s="456">
        <v>1.0224746276334522</v>
      </c>
      <c r="G555" s="456">
        <v>1.0318096590054313</v>
      </c>
      <c r="H555" s="456">
        <v>1.040568100689119</v>
      </c>
      <c r="I555" s="456">
        <v>1.0491476885800255</v>
      </c>
      <c r="J555" s="470">
        <f t="shared" si="145"/>
        <v>9.8295377160050983E-3</v>
      </c>
      <c r="K555" s="471">
        <f t="shared" si="144"/>
        <v>9.641807463928842E-3</v>
      </c>
      <c r="L555" s="530">
        <v>9.6418074639288403E-3</v>
      </c>
      <c r="M555" s="457"/>
      <c r="N555" s="457"/>
      <c r="O555" s="458"/>
      <c r="P555" s="13"/>
      <c r="Q555" s="459"/>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3">
      <c r="A556" s="529" t="s">
        <v>625</v>
      </c>
      <c r="B556" s="11">
        <v>7</v>
      </c>
      <c r="C556" s="138" t="s">
        <v>635</v>
      </c>
      <c r="D556" s="142"/>
      <c r="E556" s="142">
        <v>1.0234861902526262</v>
      </c>
      <c r="F556" s="142">
        <v>1.0362595252458171</v>
      </c>
      <c r="G556" s="142">
        <v>1.0484007089616401</v>
      </c>
      <c r="H556" s="142">
        <v>1.0594741481215733</v>
      </c>
      <c r="I556" s="142">
        <v>1.0705464348984648</v>
      </c>
      <c r="J556" s="463">
        <f t="shared" si="145"/>
        <v>1.4109286979692959E-2</v>
      </c>
      <c r="K556" s="466">
        <f t="shared" si="144"/>
        <v>1.372720562144969E-2</v>
      </c>
      <c r="L556" s="461">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3">
      <c r="A557" s="529" t="s">
        <v>625</v>
      </c>
      <c r="B557" s="11">
        <v>8</v>
      </c>
      <c r="C557" s="138" t="s">
        <v>636</v>
      </c>
      <c r="D557" s="142"/>
      <c r="E557" s="142">
        <v>1.0327181385810218</v>
      </c>
      <c r="F557" s="142">
        <v>1.0462000918268668</v>
      </c>
      <c r="G557" s="142">
        <v>1.0579618766687933</v>
      </c>
      <c r="H557" s="142">
        <v>1.0679645783102321</v>
      </c>
      <c r="I557" s="142">
        <v>1.0772361012999514</v>
      </c>
      <c r="J557" s="463">
        <f t="shared" si="145"/>
        <v>1.544722025999028E-2</v>
      </c>
      <c r="K557" s="466">
        <f t="shared" si="144"/>
        <v>1.4990973227517745E-2</v>
      </c>
      <c r="L557" s="461">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3">
      <c r="A558" s="529" t="s">
        <v>625</v>
      </c>
      <c r="B558" s="11">
        <v>9</v>
      </c>
      <c r="C558" s="138" t="s">
        <v>637</v>
      </c>
      <c r="D558" s="142"/>
      <c r="E558" s="142">
        <v>1.0231841082591016</v>
      </c>
      <c r="F558" s="142">
        <v>1.0358890289056439</v>
      </c>
      <c r="G558" s="142">
        <v>1.0481652070229122</v>
      </c>
      <c r="H558" s="142">
        <v>1.0592891805745575</v>
      </c>
      <c r="I558" s="142">
        <v>1.069681907109314</v>
      </c>
      <c r="J558" s="463">
        <f t="shared" si="145"/>
        <v>1.3936381421862798E-2</v>
      </c>
      <c r="K558" s="466">
        <f t="shared" si="144"/>
        <v>1.3563424108683053E-2</v>
      </c>
      <c r="L558" s="461">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3">
      <c r="A559" s="529" t="s">
        <v>625</v>
      </c>
      <c r="B559" s="11">
        <v>10</v>
      </c>
      <c r="C559" s="138" t="s">
        <v>638</v>
      </c>
      <c r="D559" s="142"/>
      <c r="E559" s="142">
        <v>1.0341666734322146</v>
      </c>
      <c r="F559" s="142">
        <v>1.0480179725760268</v>
      </c>
      <c r="G559" s="142">
        <v>1.0601012155156095</v>
      </c>
      <c r="H559" s="142">
        <v>1.0702848288878077</v>
      </c>
      <c r="I559" s="142">
        <v>1.0797421461131422</v>
      </c>
      <c r="J559" s="463">
        <f t="shared" si="145"/>
        <v>1.5948429222628447E-2</v>
      </c>
      <c r="K559" s="466">
        <f t="shared" si="144"/>
        <v>1.5462782371323147E-2</v>
      </c>
      <c r="L559" s="461">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3">
      <c r="A560" s="529" t="s">
        <v>625</v>
      </c>
      <c r="B560" s="11">
        <v>11</v>
      </c>
      <c r="C560" s="138" t="s">
        <v>639</v>
      </c>
      <c r="D560" s="142"/>
      <c r="E560" s="142">
        <v>1.0233409873632719</v>
      </c>
      <c r="F560" s="142">
        <v>1.0360814373748364</v>
      </c>
      <c r="G560" s="142">
        <v>1.0482875093579402</v>
      </c>
      <c r="H560" s="142">
        <v>1.0593852390742311</v>
      </c>
      <c r="I560" s="142">
        <v>1.0701308790705675</v>
      </c>
      <c r="J560" s="463">
        <f t="shared" si="145"/>
        <v>1.4026175814113495E-2</v>
      </c>
      <c r="K560" s="466">
        <f t="shared" si="144"/>
        <v>1.364849335671825E-2</v>
      </c>
      <c r="L560" s="461">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3">
      <c r="A561" s="529" t="s">
        <v>625</v>
      </c>
      <c r="B561" s="11">
        <v>12</v>
      </c>
      <c r="C561" s="138" t="s">
        <v>640</v>
      </c>
      <c r="D561" s="142"/>
      <c r="E561" s="142">
        <v>1.0334066911438702</v>
      </c>
      <c r="F561" s="142">
        <v>1.0470642108004322</v>
      </c>
      <c r="G561" s="142">
        <v>1.0589787988674986</v>
      </c>
      <c r="H561" s="142">
        <v>1.0690674958412283</v>
      </c>
      <c r="I561" s="142">
        <v>1.0784273350333435</v>
      </c>
      <c r="J561" s="463">
        <f t="shared" si="145"/>
        <v>1.5685467006668709E-2</v>
      </c>
      <c r="K561" s="466">
        <f t="shared" si="144"/>
        <v>1.5215354312122953E-2</v>
      </c>
      <c r="L561" s="461">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3">
      <c r="A562" s="529" t="s">
        <v>625</v>
      </c>
      <c r="B562" s="11">
        <v>13</v>
      </c>
      <c r="C562" s="138" t="s">
        <v>641</v>
      </c>
      <c r="D562" s="142"/>
      <c r="E562" s="142">
        <v>1.0535754755454367</v>
      </c>
      <c r="F562" s="142">
        <v>1.079128927735721</v>
      </c>
      <c r="G562" s="142">
        <v>1.10377830980113</v>
      </c>
      <c r="H562" s="142">
        <v>1.1267313398994689</v>
      </c>
      <c r="I562" s="142">
        <v>1.1493400902365778</v>
      </c>
      <c r="J562" s="463">
        <f t="shared" si="145"/>
        <v>2.9868018047315557E-2</v>
      </c>
      <c r="K562" s="466">
        <f t="shared" si="144"/>
        <v>2.8228674820024224E-2</v>
      </c>
      <c r="L562" s="461">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3">
      <c r="A563" s="58"/>
      <c r="B563" s="368">
        <v>14</v>
      </c>
      <c r="C563" s="138" t="s">
        <v>642</v>
      </c>
      <c r="D563" s="142"/>
      <c r="E563" s="142">
        <v>1.0081055095898279</v>
      </c>
      <c r="F563" s="142">
        <v>1.0157451629461605</v>
      </c>
      <c r="G563" s="142">
        <v>1.0222827798035592</v>
      </c>
      <c r="H563" s="142">
        <v>1.0276922014787842</v>
      </c>
      <c r="I563" s="142">
        <v>1.032997413899986</v>
      </c>
      <c r="J563" s="463">
        <f t="shared" si="145"/>
        <v>6.5994827799972008E-3</v>
      </c>
      <c r="K563" s="466">
        <f t="shared" si="144"/>
        <v>6.5140621434043311E-3</v>
      </c>
      <c r="L563" s="461">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3">
      <c r="B564" s="11">
        <v>15</v>
      </c>
      <c r="C564" s="138"/>
      <c r="D564" s="142"/>
      <c r="E564" s="142"/>
      <c r="F564" s="142"/>
      <c r="G564" s="142"/>
      <c r="H564" s="142"/>
      <c r="I564" s="142"/>
      <c r="J564" s="464" t="s">
        <v>643</v>
      </c>
      <c r="K564" s="6"/>
      <c r="L564" s="320"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3">
      <c r="E565" s="15"/>
      <c r="L565" s="320"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3">
      <c r="E566" s="15"/>
      <c r="L566" s="320" t="s">
        <v>646</v>
      </c>
      <c r="M566" s="13"/>
      <c r="N566" s="13"/>
      <c r="O566" s="13"/>
      <c r="P566" s="13"/>
      <c r="Q566" s="13"/>
      <c r="R566" s="460"/>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3">
      <c r="C567" s="472" t="s">
        <v>647</v>
      </c>
      <c r="E567" s="15"/>
      <c r="L567" s="320" t="s">
        <v>648</v>
      </c>
      <c r="M567" s="13"/>
      <c r="N567" s="13"/>
      <c r="O567" s="13"/>
      <c r="P567" s="13"/>
      <c r="Q567" s="13"/>
      <c r="R567" s="460"/>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3">
      <c r="E568" s="15"/>
      <c r="L568" s="320"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3">
      <c r="E569" s="15"/>
      <c r="L569" s="320"/>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3">
      <c r="C570" s="11"/>
      <c r="L570" s="320"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3">
      <c r="C571" s="11"/>
      <c r="L571" s="320" t="s">
        <v>651</v>
      </c>
      <c r="M571" s="13"/>
      <c r="N571" s="13"/>
      <c r="O571" s="551"/>
      <c r="P571" s="552" t="s">
        <v>652</v>
      </c>
      <c r="Q571" s="55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75" customHeight="1" x14ac:dyDescent="0.3">
      <c r="C572" s="11"/>
      <c r="M572" s="13"/>
      <c r="N572" s="13"/>
      <c r="O572" s="556" t="s">
        <v>622</v>
      </c>
      <c r="P572" s="556" t="s">
        <v>623</v>
      </c>
      <c r="Q572" s="557"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3">
      <c r="A573" s="527"/>
      <c r="B573" s="528"/>
      <c r="C573" s="138" t="s">
        <v>629</v>
      </c>
      <c r="D573" s="550"/>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63">
        <f>(N573-100%)/10</f>
        <v>6.0996339197137541E-3</v>
      </c>
      <c r="P573" s="466">
        <f>(N573/100%)^(1/10)-1</f>
        <v>5.9384037531065026E-3</v>
      </c>
      <c r="Q573" s="554">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3">
      <c r="A574" s="529" t="s">
        <v>654</v>
      </c>
      <c r="C574" s="138" t="s">
        <v>630</v>
      </c>
      <c r="D574" s="550"/>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63">
        <f t="shared" ref="O574:O586" si="146">(N574-100%)/10</f>
        <v>-6.0280923298853817E-3</v>
      </c>
      <c r="P574" s="466">
        <f t="shared" ref="P574:P586" si="147">(N574/100%)^(1/10)-1</f>
        <v>-6.1981420710855994E-3</v>
      </c>
      <c r="Q574" s="554">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3">
      <c r="A575" s="529" t="s">
        <v>654</v>
      </c>
      <c r="C575" s="138" t="s">
        <v>631</v>
      </c>
      <c r="D575" s="550"/>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63">
        <f t="shared" si="146"/>
        <v>1.5087615236704566E-2</v>
      </c>
      <c r="P575" s="466">
        <f t="shared" si="147"/>
        <v>1.4151550808456648E-2</v>
      </c>
      <c r="Q575" s="554">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3">
      <c r="A576" s="529" t="s">
        <v>654</v>
      </c>
      <c r="C576" s="138" t="s">
        <v>632</v>
      </c>
      <c r="D576" s="550"/>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63">
        <f t="shared" si="146"/>
        <v>8.1374209845206378E-4</v>
      </c>
      <c r="P576" s="466">
        <f t="shared" si="147"/>
        <v>8.1077757246905691E-4</v>
      </c>
      <c r="Q576" s="554">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3">
      <c r="A577" s="529" t="s">
        <v>654</v>
      </c>
      <c r="C577" s="138" t="s">
        <v>633</v>
      </c>
      <c r="D577" s="550"/>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63">
        <f t="shared" si="146"/>
        <v>2.5619811438394092E-3</v>
      </c>
      <c r="P577" s="466">
        <f t="shared" si="147"/>
        <v>2.5329148145079028E-3</v>
      </c>
      <c r="Q577" s="554">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3">
      <c r="A578" s="529" t="s">
        <v>654</v>
      </c>
      <c r="C578" s="455" t="s">
        <v>634</v>
      </c>
      <c r="D578" s="456"/>
      <c r="E578" s="456">
        <v>1.0123419501207302</v>
      </c>
      <c r="F578" s="456">
        <v>1.0224746276334522</v>
      </c>
      <c r="G578" s="456">
        <v>1.0318096590054313</v>
      </c>
      <c r="H578" s="456">
        <v>1.040568100689119</v>
      </c>
      <c r="I578" s="456">
        <v>1.0491476885800255</v>
      </c>
      <c r="J578" s="456">
        <v>1.0546473961073131</v>
      </c>
      <c r="K578" s="456">
        <v>1.0600156863772707</v>
      </c>
      <c r="L578" s="456">
        <v>1.0652587749595908</v>
      </c>
      <c r="M578" s="456">
        <v>1.0703773048442411</v>
      </c>
      <c r="N578" s="456">
        <v>1.0753751834317971</v>
      </c>
      <c r="O578" s="470">
        <f t="shared" si="146"/>
        <v>7.5375183431797051E-3</v>
      </c>
      <c r="P578" s="471">
        <f t="shared" si="147"/>
        <v>7.2934292896156272E-3</v>
      </c>
      <c r="Q578" s="471">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3">
      <c r="A579" s="529" t="s">
        <v>654</v>
      </c>
      <c r="C579" s="138" t="s">
        <v>635</v>
      </c>
      <c r="D579" s="550"/>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63">
        <f t="shared" si="146"/>
        <v>9.7308873986410305E-3</v>
      </c>
      <c r="P579" s="466">
        <f t="shared" si="147"/>
        <v>9.3293197294876951E-3</v>
      </c>
      <c r="Q579" s="554">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3">
      <c r="A580" s="529" t="s">
        <v>654</v>
      </c>
      <c r="C580" s="138" t="s">
        <v>636</v>
      </c>
      <c r="D580" s="550"/>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63">
        <f t="shared" si="146"/>
        <v>1.0416577441320607E-2</v>
      </c>
      <c r="P580" s="466">
        <f t="shared" si="147"/>
        <v>9.95826625164975E-3</v>
      </c>
      <c r="Q580" s="554">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3">
      <c r="A581" s="529" t="s">
        <v>654</v>
      </c>
      <c r="C581" s="138" t="s">
        <v>637</v>
      </c>
      <c r="D581" s="550"/>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63">
        <f t="shared" si="146"/>
        <v>9.64227339891921E-3</v>
      </c>
      <c r="P581" s="466">
        <f t="shared" si="147"/>
        <v>9.2477809488915597E-3</v>
      </c>
      <c r="Q581" s="554">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3">
      <c r="A582" s="529" t="s">
        <v>654</v>
      </c>
      <c r="C582" s="138" t="s">
        <v>638</v>
      </c>
      <c r="D582" s="550"/>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63">
        <f t="shared" si="146"/>
        <v>1.0673446748664817E-2</v>
      </c>
      <c r="P582" s="466">
        <f t="shared" si="147"/>
        <v>1.0192973847719333E-2</v>
      </c>
      <c r="Q582" s="554">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3">
      <c r="A583" s="529" t="s">
        <v>654</v>
      </c>
      <c r="C583" s="138" t="s">
        <v>639</v>
      </c>
      <c r="D583" s="550"/>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63">
        <f t="shared" si="146"/>
        <v>9.6882929737077683E-3</v>
      </c>
      <c r="P583" s="466">
        <f t="shared" si="147"/>
        <v>9.2901335764377091E-3</v>
      </c>
      <c r="Q583" s="554">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3">
      <c r="A584" s="529" t="s">
        <v>654</v>
      </c>
      <c r="C584" s="138" t="s">
        <v>640</v>
      </c>
      <c r="D584" s="550"/>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63">
        <f t="shared" si="146"/>
        <v>1.0538678763041154E-2</v>
      </c>
      <c r="P584" s="466">
        <f t="shared" si="147"/>
        <v>1.0069894342066732E-2</v>
      </c>
      <c r="Q584" s="554">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3">
      <c r="A585" s="529" t="s">
        <v>654</v>
      </c>
      <c r="C585" s="138" t="s">
        <v>641</v>
      </c>
      <c r="D585" s="550"/>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63">
        <f t="shared" si="146"/>
        <v>1.7807228078299507E-2</v>
      </c>
      <c r="P585" s="466">
        <f t="shared" si="147"/>
        <v>1.6522963134986579E-2</v>
      </c>
      <c r="Q585" s="554">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3">
      <c r="A586" s="58"/>
      <c r="B586" s="368"/>
      <c r="C586" s="138" t="s">
        <v>642</v>
      </c>
      <c r="D586" s="550"/>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63">
        <f t="shared" si="146"/>
        <v>5.8821170316610384E-3</v>
      </c>
      <c r="P586" s="466">
        <f t="shared" si="147"/>
        <v>5.7319838926312983E-3</v>
      </c>
      <c r="Q586" s="554">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3">
      <c r="C587" s="11"/>
      <c r="E587" s="15"/>
      <c r="M587" s="13"/>
      <c r="N587" s="13"/>
      <c r="O587" s="464" t="s">
        <v>643</v>
      </c>
      <c r="P587" s="464" t="s">
        <v>643</v>
      </c>
      <c r="Q587" s="555"/>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3">
      <c r="C588" s="11"/>
      <c r="E588" s="15"/>
      <c r="M588" s="13"/>
      <c r="N588" s="13"/>
      <c r="O588" s="464" t="s">
        <v>655</v>
      </c>
      <c r="P588" s="464" t="s">
        <v>655</v>
      </c>
      <c r="Q588" s="555"/>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3">
      <c r="C589" s="11"/>
      <c r="E589" s="15"/>
      <c r="M589" s="13"/>
      <c r="N589" s="13"/>
      <c r="O589" s="13"/>
      <c r="P589" s="13"/>
      <c r="Q589" s="555"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3">
      <c r="E590" s="15"/>
      <c r="M590" s="13"/>
      <c r="N590" s="13"/>
      <c r="O590" s="13"/>
      <c r="P590" s="13"/>
      <c r="Q590" s="555"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3">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3">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3">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3">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Y111"/>
  <sheetViews>
    <sheetView showGridLines="0" zoomScale="80" zoomScaleNormal="80" workbookViewId="0">
      <selection activeCell="N50" sqref="N50"/>
    </sheetView>
  </sheetViews>
  <sheetFormatPr defaultRowHeight="14.5" x14ac:dyDescent="0.35"/>
  <cols>
    <col min="1" max="1" width="2.453125" customWidth="1"/>
    <col min="2" max="2" width="5.6328125" customWidth="1"/>
    <col min="3" max="3" width="41.36328125" customWidth="1"/>
    <col min="4" max="4" width="22.90625" customWidth="1"/>
    <col min="5" max="5" width="15.453125" customWidth="1"/>
    <col min="6" max="6" width="13.36328125" customWidth="1"/>
    <col min="7" max="8" width="13.453125" customWidth="1"/>
    <col min="9" max="9" width="14.453125" customWidth="1"/>
    <col min="10" max="11" width="13.453125" customWidth="1"/>
    <col min="12" max="12" width="15.6328125" customWidth="1"/>
    <col min="13" max="19" width="13.453125" customWidth="1"/>
    <col min="20" max="20" width="3.453125" customWidth="1"/>
  </cols>
  <sheetData>
    <row r="1" spans="2:25" ht="30" customHeight="1" x14ac:dyDescent="0.35">
      <c r="B1" s="495" t="s">
        <v>888</v>
      </c>
    </row>
    <row r="2" spans="2:25" ht="30" customHeight="1" x14ac:dyDescent="0.35">
      <c r="B2" s="155" t="s">
        <v>656</v>
      </c>
      <c r="C2" s="155"/>
      <c r="D2" s="154"/>
      <c r="E2" s="171"/>
      <c r="F2" s="154"/>
      <c r="G2" s="154"/>
      <c r="H2" s="154"/>
      <c r="I2" s="154"/>
      <c r="J2" s="154"/>
      <c r="K2" s="154"/>
      <c r="L2" s="154"/>
      <c r="M2" s="154"/>
      <c r="N2" s="154"/>
      <c r="O2" s="154"/>
      <c r="P2" s="154"/>
      <c r="Q2" s="154"/>
      <c r="R2" s="154"/>
      <c r="S2" s="154"/>
      <c r="T2" s="154"/>
      <c r="U2" s="154"/>
      <c r="V2" s="154"/>
      <c r="W2" s="154"/>
      <c r="X2" s="154"/>
      <c r="Y2" s="154"/>
    </row>
    <row r="4" spans="2:25" x14ac:dyDescent="0.35">
      <c r="B4" s="156" t="s">
        <v>657</v>
      </c>
      <c r="C4" s="309"/>
      <c r="D4" s="309"/>
      <c r="E4" s="309"/>
      <c r="F4" s="309"/>
      <c r="G4" s="309"/>
      <c r="H4" s="309"/>
      <c r="I4" s="309"/>
      <c r="J4" s="309"/>
      <c r="K4" s="309"/>
      <c r="L4" s="309"/>
      <c r="M4" s="309"/>
      <c r="N4" s="309"/>
      <c r="O4" s="309"/>
      <c r="P4" s="309"/>
      <c r="Q4" s="309"/>
      <c r="R4" s="309"/>
      <c r="S4" s="309"/>
      <c r="T4" s="157"/>
    </row>
    <row r="5" spans="2:25" x14ac:dyDescent="0.35">
      <c r="B5" s="160"/>
      <c r="C5" t="s">
        <v>658</v>
      </c>
      <c r="T5" s="159"/>
    </row>
    <row r="6" spans="2:25" x14ac:dyDescent="0.35">
      <c r="B6" s="160"/>
      <c r="C6" t="s">
        <v>659</v>
      </c>
      <c r="T6" s="159"/>
    </row>
    <row r="7" spans="2:25" x14ac:dyDescent="0.35">
      <c r="B7" s="160"/>
      <c r="C7" t="s">
        <v>660</v>
      </c>
      <c r="T7" s="159"/>
    </row>
    <row r="8" spans="2:25" x14ac:dyDescent="0.35">
      <c r="B8" s="161"/>
      <c r="C8" s="162"/>
      <c r="D8" s="162"/>
      <c r="E8" s="162"/>
      <c r="F8" s="162"/>
      <c r="G8" s="162"/>
      <c r="H8" s="162"/>
      <c r="I8" s="162"/>
      <c r="J8" s="162"/>
      <c r="K8" s="162"/>
      <c r="L8" s="162"/>
      <c r="M8" s="162"/>
      <c r="N8" s="162"/>
      <c r="O8" s="162"/>
      <c r="P8" s="162"/>
      <c r="Q8" s="162"/>
      <c r="R8" s="162"/>
      <c r="S8" s="162"/>
      <c r="T8" s="159"/>
    </row>
    <row r="9" spans="2:25" x14ac:dyDescent="0.35">
      <c r="T9" s="196"/>
    </row>
    <row r="10" spans="2:25" x14ac:dyDescent="0.35">
      <c r="B10" s="156" t="s">
        <v>661</v>
      </c>
      <c r="C10" s="309"/>
      <c r="D10" s="309"/>
      <c r="E10" s="309"/>
      <c r="F10" s="309"/>
      <c r="G10" s="309"/>
      <c r="H10" s="309"/>
      <c r="I10" s="309"/>
      <c r="J10" s="309"/>
      <c r="K10" s="309"/>
      <c r="L10" s="309"/>
      <c r="M10" s="309"/>
      <c r="N10" s="309"/>
      <c r="O10" s="309"/>
      <c r="P10" s="309"/>
      <c r="Q10" s="309"/>
      <c r="R10" s="309"/>
      <c r="S10" s="309"/>
      <c r="T10" s="159"/>
    </row>
    <row r="11" spans="2:25" x14ac:dyDescent="0.35">
      <c r="B11" s="158"/>
      <c r="C11" t="s">
        <v>662</v>
      </c>
      <c r="E11" s="150" t="s">
        <v>56</v>
      </c>
      <c r="T11" s="159"/>
    </row>
    <row r="12" spans="2:25" x14ac:dyDescent="0.35">
      <c r="B12" s="158"/>
      <c r="C12" t="s">
        <v>76</v>
      </c>
      <c r="E12" s="150" t="s">
        <v>97</v>
      </c>
      <c r="G12" s="128">
        <f>'Population selection'!F14</f>
        <v>45219492</v>
      </c>
      <c r="H12" s="280"/>
      <c r="I12" t="str">
        <f>C25&amp;" population based on selection on left using mid-2022 ONS data"</f>
        <v>Adult population population based on selection on left using mid-2022 ONS data</v>
      </c>
      <c r="T12" s="159"/>
    </row>
    <row r="13" spans="2:25" x14ac:dyDescent="0.35">
      <c r="B13" s="158"/>
      <c r="E13" s="558"/>
      <c r="G13" s="562">
        <f>2.05533586601874%</f>
        <v>2.0553358660187402E-2</v>
      </c>
      <c r="H13" s="688"/>
      <c r="I13" t="s">
        <v>663</v>
      </c>
      <c r="T13" s="159"/>
    </row>
    <row r="14" spans="2:25" x14ac:dyDescent="0.35">
      <c r="B14" s="158"/>
      <c r="C14" s="148"/>
      <c r="G14" s="128">
        <f>(100%+G13)*G12</f>
        <v>46148904.437507473</v>
      </c>
      <c r="H14" s="280"/>
      <c r="I14" t="s">
        <v>664</v>
      </c>
      <c r="T14" s="159"/>
    </row>
    <row r="15" spans="2:25" x14ac:dyDescent="0.35">
      <c r="B15" s="160"/>
      <c r="C15" t="s">
        <v>665</v>
      </c>
      <c r="E15" s="563" t="s">
        <v>54</v>
      </c>
      <c r="F15" s="170" t="str">
        <f>IF(E15="yes","","If no, enter current locality population below")</f>
        <v/>
      </c>
      <c r="T15" s="159"/>
    </row>
    <row r="16" spans="2:25" x14ac:dyDescent="0.35">
      <c r="B16" s="160"/>
      <c r="F16" s="170" t="str">
        <f>IF(AND(NOT(ISBLANK(E17)),E15="yes"),"error - change cell above to 'no'","")</f>
        <v/>
      </c>
      <c r="T16" s="159"/>
    </row>
    <row r="17" spans="2:25" x14ac:dyDescent="0.35">
      <c r="B17" s="160"/>
      <c r="C17" t="str">
        <f>"Manually entered current locality population "&amp;IF(E15="no","","(n/a)")</f>
        <v>Manually entered current locality population (n/a)</v>
      </c>
      <c r="E17" s="564"/>
      <c r="F17" s="629" t="str">
        <f>IF(E15="yes","Leave blue cell on left blank if NICE estimate is used","")</f>
        <v>Leave blue cell on left blank if NICE estimate is used</v>
      </c>
      <c r="T17" s="159"/>
    </row>
    <row r="18" spans="2:25" x14ac:dyDescent="0.35">
      <c r="B18" s="160"/>
      <c r="F18" s="170" t="str">
        <f>IF(AND(ISBLANK(E17),E15="no"),"error - enter current locality population above","")</f>
        <v/>
      </c>
      <c r="T18" s="159"/>
    </row>
    <row r="19" spans="2:25" x14ac:dyDescent="0.35">
      <c r="B19" s="160"/>
      <c r="C19" t="s">
        <v>666</v>
      </c>
      <c r="D19" s="152"/>
      <c r="E19" s="562">
        <v>9.6418074639288403E-3</v>
      </c>
      <c r="F19" t="str">
        <f>IF(E19=0.00964180746392884,"Enter local value or delete the NICE assumption if required","Local value")</f>
        <v>Enter local value or delete the NICE assumption if required</v>
      </c>
      <c r="T19" s="159"/>
    </row>
    <row r="20" spans="2:25" x14ac:dyDescent="0.35">
      <c r="B20" s="160"/>
      <c r="C20" t="s">
        <v>667</v>
      </c>
      <c r="D20" s="152"/>
      <c r="E20" s="562">
        <v>0</v>
      </c>
      <c r="F20" t="str">
        <f>IF(E20=0,"Enter local value or delete the NICE assumption if required","Local value")</f>
        <v>Enter local value or delete the NICE assumption if required</v>
      </c>
      <c r="T20" s="159"/>
    </row>
    <row r="21" spans="2:25" x14ac:dyDescent="0.35">
      <c r="B21" s="161"/>
      <c r="C21" s="162"/>
      <c r="D21" s="162"/>
      <c r="E21" s="162"/>
      <c r="F21" s="162"/>
      <c r="G21" s="162"/>
      <c r="H21" s="162"/>
      <c r="I21" s="162"/>
      <c r="J21" s="162"/>
      <c r="K21" s="162"/>
      <c r="L21" s="162"/>
      <c r="M21" s="162"/>
      <c r="N21" s="162"/>
      <c r="O21" s="162"/>
      <c r="P21" s="162"/>
      <c r="Q21" s="162"/>
      <c r="R21" s="162"/>
      <c r="S21" s="162"/>
      <c r="T21" s="163"/>
    </row>
    <row r="23" spans="2:25" x14ac:dyDescent="0.35">
      <c r="B23" s="156" t="s">
        <v>668</v>
      </c>
      <c r="C23" s="309"/>
      <c r="D23" s="309"/>
      <c r="E23" s="309"/>
      <c r="F23" s="309"/>
      <c r="G23" s="309"/>
      <c r="H23" s="309"/>
      <c r="I23" s="309"/>
      <c r="J23" s="309"/>
      <c r="K23" s="309"/>
      <c r="L23" s="309"/>
      <c r="M23" s="309"/>
      <c r="N23" s="309"/>
      <c r="O23" s="309"/>
      <c r="P23" s="309"/>
      <c r="Q23" s="309"/>
      <c r="R23" s="309"/>
      <c r="S23" s="309"/>
      <c r="T23" s="309"/>
      <c r="U23" s="309"/>
      <c r="V23" s="309"/>
      <c r="W23" s="309"/>
      <c r="X23" s="309"/>
      <c r="Y23" s="157"/>
    </row>
    <row r="24" spans="2:25" ht="85.25" customHeight="1" x14ac:dyDescent="0.35">
      <c r="B24" s="158"/>
      <c r="F24" s="234" t="s">
        <v>669</v>
      </c>
      <c r="G24" s="165" t="s">
        <v>670</v>
      </c>
      <c r="H24" s="689"/>
      <c r="I24" s="222" t="s">
        <v>671</v>
      </c>
      <c r="J24" s="371"/>
      <c r="K24" s="371"/>
      <c r="L24" s="371"/>
      <c r="M24" s="371"/>
      <c r="N24" s="371"/>
      <c r="O24" s="371"/>
      <c r="P24" s="371"/>
      <c r="Q24" s="371"/>
      <c r="R24" s="371"/>
      <c r="S24" s="371"/>
      <c r="T24" s="371"/>
      <c r="U24" s="371"/>
      <c r="V24" s="371"/>
      <c r="W24" s="371"/>
      <c r="X24" s="371"/>
      <c r="Y24" s="223"/>
    </row>
    <row r="25" spans="2:25" x14ac:dyDescent="0.35">
      <c r="B25" s="158"/>
      <c r="C25" s="233" t="s">
        <v>672</v>
      </c>
      <c r="D25" s="236"/>
      <c r="E25" s="168"/>
      <c r="F25" s="128">
        <f>IF(ISBLANK(E17),G14,'Population selection'!F16)</f>
        <v>46148904.437507473</v>
      </c>
      <c r="G25" s="235"/>
      <c r="H25" s="690"/>
      <c r="I25" s="232" t="s">
        <v>673</v>
      </c>
      <c r="J25" s="196"/>
      <c r="K25" s="196"/>
      <c r="L25" s="196"/>
      <c r="M25" s="196"/>
      <c r="N25" s="196"/>
      <c r="O25" s="196"/>
      <c r="P25" s="196"/>
      <c r="Q25" s="196"/>
      <c r="R25" s="196"/>
      <c r="S25" s="196"/>
      <c r="T25" s="196"/>
      <c r="U25" s="196"/>
      <c r="V25" s="196"/>
      <c r="W25" s="196"/>
      <c r="X25" s="196"/>
      <c r="Y25" s="168"/>
    </row>
    <row r="26" spans="2:25" x14ac:dyDescent="0.35">
      <c r="B26" s="158"/>
      <c r="C26" s="559" t="s">
        <v>674</v>
      </c>
      <c r="D26" s="237"/>
      <c r="E26" s="168"/>
      <c r="F26" s="207"/>
      <c r="G26" s="128">
        <f>K39</f>
        <v>48417016.421111427</v>
      </c>
      <c r="H26" s="691"/>
      <c r="I26" s="232" t="s">
        <v>673</v>
      </c>
      <c r="J26" s="162"/>
      <c r="K26" s="162"/>
      <c r="L26" s="162"/>
      <c r="M26" s="162"/>
      <c r="N26" s="162"/>
      <c r="O26" s="162"/>
      <c r="P26" s="162"/>
      <c r="Q26" s="162"/>
      <c r="R26" s="162"/>
      <c r="S26" s="162"/>
      <c r="T26" s="162"/>
      <c r="U26" s="162"/>
      <c r="V26" s="162"/>
      <c r="W26" s="162"/>
      <c r="X26" s="162"/>
      <c r="Y26" s="163"/>
    </row>
    <row r="27" spans="2:25" ht="27.65" customHeight="1" x14ac:dyDescent="0.35">
      <c r="B27" s="160"/>
      <c r="C27" s="800" t="s">
        <v>1008</v>
      </c>
      <c r="D27" s="801"/>
      <c r="E27" s="722">
        <v>4.9699999999999998E-6</v>
      </c>
      <c r="F27" s="565">
        <f>F25*E27</f>
        <v>229.36005505441213</v>
      </c>
      <c r="G27" s="565">
        <f>G26*E27</f>
        <v>240.63257161292378</v>
      </c>
      <c r="H27" s="692"/>
      <c r="I27" s="802" t="s">
        <v>933</v>
      </c>
      <c r="J27" s="803"/>
      <c r="K27" s="803"/>
      <c r="L27" s="803"/>
      <c r="M27" s="803"/>
      <c r="N27" s="803"/>
      <c r="O27" s="803"/>
      <c r="P27" s="803"/>
      <c r="Q27" s="803"/>
      <c r="R27" s="803"/>
      <c r="S27" s="803"/>
      <c r="T27" s="803"/>
      <c r="U27" s="803"/>
      <c r="V27" s="803"/>
      <c r="W27" s="803"/>
      <c r="X27" s="803"/>
      <c r="Y27" s="168"/>
    </row>
    <row r="28" spans="2:25" x14ac:dyDescent="0.35">
      <c r="B28" s="160"/>
      <c r="C28" s="805" t="s">
        <v>1009</v>
      </c>
      <c r="D28" s="806"/>
      <c r="E28" s="766">
        <v>0.7019531</v>
      </c>
      <c r="F28" s="318">
        <f>F27*E28</f>
        <v>161.00000166161527</v>
      </c>
      <c r="G28" s="318">
        <f>G27*E28</f>
        <v>168.91277960466385</v>
      </c>
      <c r="H28" s="693"/>
      <c r="I28" s="199" t="s">
        <v>1010</v>
      </c>
      <c r="J28" s="196"/>
      <c r="K28" s="196"/>
      <c r="L28" s="196"/>
      <c r="M28" s="196"/>
      <c r="N28" s="196"/>
      <c r="O28" s="196"/>
      <c r="P28" s="196"/>
      <c r="Q28" s="196"/>
      <c r="R28" s="196"/>
      <c r="S28" s="196"/>
      <c r="T28" s="196"/>
      <c r="U28" s="196"/>
      <c r="V28" s="196"/>
      <c r="W28" s="196"/>
      <c r="X28" s="196"/>
      <c r="Y28" s="168"/>
    </row>
    <row r="29" spans="2:25" x14ac:dyDescent="0.35">
      <c r="B29" s="160"/>
      <c r="C29" s="221" t="s">
        <v>675</v>
      </c>
      <c r="D29" s="196"/>
      <c r="E29" s="795"/>
      <c r="F29" s="181">
        <f>F28</f>
        <v>161.00000166161527</v>
      </c>
      <c r="G29" s="181">
        <f>G28</f>
        <v>168.91277960466385</v>
      </c>
      <c r="H29" s="694"/>
      <c r="I29" s="199" t="s">
        <v>1013</v>
      </c>
      <c r="J29" s="196"/>
      <c r="K29" s="196"/>
      <c r="L29" s="196"/>
      <c r="M29" s="196"/>
      <c r="N29" s="196"/>
      <c r="O29" s="196"/>
      <c r="P29" s="196"/>
      <c r="Q29" s="196"/>
      <c r="R29" s="196"/>
      <c r="S29" s="196"/>
      <c r="T29" s="196"/>
      <c r="U29" s="196"/>
      <c r="V29" s="196"/>
      <c r="W29" s="196"/>
      <c r="X29" s="196"/>
      <c r="Y29" s="168"/>
    </row>
    <row r="30" spans="2:25" ht="20.399999999999999" customHeight="1" x14ac:dyDescent="0.35">
      <c r="B30" s="160"/>
      <c r="C30" s="807" t="s">
        <v>1029</v>
      </c>
      <c r="D30" s="807"/>
      <c r="E30" s="807"/>
      <c r="F30" s="807"/>
      <c r="G30" s="807"/>
      <c r="H30" s="807"/>
      <c r="I30" s="807"/>
      <c r="J30" s="807"/>
      <c r="K30" s="807"/>
      <c r="L30" s="807"/>
      <c r="M30" s="807"/>
      <c r="N30" s="807"/>
      <c r="O30" s="807"/>
      <c r="P30" s="807"/>
      <c r="Q30" s="807"/>
      <c r="R30" s="807"/>
      <c r="Y30" s="159"/>
    </row>
    <row r="31" spans="2:25" ht="20.399999999999999" customHeight="1" x14ac:dyDescent="0.35">
      <c r="B31" s="160"/>
      <c r="C31" s="780"/>
      <c r="D31" s="780"/>
      <c r="E31" s="780"/>
      <c r="F31" s="780"/>
      <c r="G31" s="780"/>
      <c r="H31" s="780"/>
      <c r="I31" s="780"/>
      <c r="J31" s="780"/>
      <c r="K31" s="780"/>
      <c r="L31" s="780"/>
      <c r="M31" s="780"/>
      <c r="N31" s="780"/>
      <c r="O31" s="780"/>
      <c r="P31" s="780"/>
      <c r="Q31" s="780"/>
      <c r="R31" s="780"/>
      <c r="Y31" s="159"/>
    </row>
    <row r="32" spans="2:25" x14ac:dyDescent="0.35">
      <c r="B32" s="160"/>
      <c r="C32" t="s">
        <v>676</v>
      </c>
      <c r="F32" s="563" t="s">
        <v>54</v>
      </c>
      <c r="G32" s="339"/>
      <c r="H32" s="339"/>
      <c r="I32" s="189"/>
      <c r="Y32" s="159"/>
    </row>
    <row r="33" spans="2:25" x14ac:dyDescent="0.35">
      <c r="B33" s="160"/>
      <c r="C33" s="337"/>
      <c r="E33" s="338"/>
      <c r="F33" s="339"/>
      <c r="G33" s="339"/>
      <c r="H33" s="339"/>
      <c r="I33" s="189"/>
      <c r="Y33" s="159"/>
    </row>
    <row r="34" spans="2:25" x14ac:dyDescent="0.35">
      <c r="B34" s="160"/>
      <c r="C34" t="str">
        <f>"Manually entered current eligible population "&amp;IF(F32="no","","(n/a)")</f>
        <v>Manually entered current eligible population (n/a)</v>
      </c>
      <c r="F34" s="566"/>
      <c r="G34" s="625" t="str">
        <f>IF(F32="yes","Leave blue cell on left blank if NICE estimate is used","local value")</f>
        <v>Leave blue cell on left blank if NICE estimate is used</v>
      </c>
      <c r="H34" s="629"/>
      <c r="Y34" s="159"/>
    </row>
    <row r="35" spans="2:25" x14ac:dyDescent="0.35">
      <c r="B35" s="160"/>
      <c r="G35" s="504" t="str">
        <f>IF(AND(F32="yes",F34&gt;0),"error, set the drop down above to be 'no'","")</f>
        <v/>
      </c>
      <c r="H35" s="504"/>
      <c r="Y35" s="159"/>
    </row>
    <row r="36" spans="2:25" ht="43.5" x14ac:dyDescent="0.35">
      <c r="B36" s="160"/>
      <c r="C36" s="162"/>
      <c r="F36" s="230" t="s">
        <v>669</v>
      </c>
      <c r="G36" s="165" t="s">
        <v>677</v>
      </c>
      <c r="H36" s="165" t="s">
        <v>678</v>
      </c>
      <c r="I36" s="231" t="s">
        <v>679</v>
      </c>
      <c r="J36" s="165" t="s">
        <v>680</v>
      </c>
      <c r="K36" s="165" t="s">
        <v>681</v>
      </c>
      <c r="M36" s="505"/>
      <c r="N36" s="505"/>
      <c r="O36" s="505"/>
      <c r="P36" s="505"/>
      <c r="Q36" s="505"/>
      <c r="R36" s="505"/>
      <c r="Y36" s="159"/>
    </row>
    <row r="37" spans="2:25" x14ac:dyDescent="0.35">
      <c r="B37" s="160"/>
      <c r="C37" s="232" t="s">
        <v>682</v>
      </c>
      <c r="D37" s="196"/>
      <c r="E37" s="168"/>
      <c r="F37" s="207"/>
      <c r="G37" s="332">
        <f>IF(E19&lt;&gt;"",E19+100%,100%)</f>
        <v>1.0096418074639288</v>
      </c>
      <c r="H37" s="332">
        <f>IF($E$19&lt;&gt;"",G37*(100%+$E$19),100%)</f>
        <v>1.0193765793790293</v>
      </c>
      <c r="I37" s="332">
        <f>IF($E$19&lt;&gt;"",H37*(100%+$E$19),100%)</f>
        <v>1.0292052120906403</v>
      </c>
      <c r="J37" s="332">
        <f>IF($E$19&lt;&gt;"",I37*(100%+$E$19),100%)</f>
        <v>1.0391286105864903</v>
      </c>
      <c r="K37" s="332">
        <f>IF($E$19&lt;&gt;"",J37*(100%+$E$19),100%)</f>
        <v>1.0491476885800251</v>
      </c>
      <c r="M37" t="s">
        <v>683</v>
      </c>
      <c r="N37" s="498"/>
      <c r="O37" s="498"/>
      <c r="P37" s="498"/>
      <c r="Q37" s="498"/>
      <c r="R37" s="498"/>
      <c r="Y37" s="159"/>
    </row>
    <row r="38" spans="2:25" x14ac:dyDescent="0.35">
      <c r="B38" s="160"/>
      <c r="C38" s="232" t="s">
        <v>684</v>
      </c>
      <c r="D38" s="196"/>
      <c r="E38" s="168"/>
      <c r="F38" s="207"/>
      <c r="G38" s="332">
        <f>IF(E20&lt;&gt;"",E20+100%,100%)</f>
        <v>1</v>
      </c>
      <c r="H38" s="332">
        <f>IF($E$20&lt;&gt;"",G38*(100%+$E$20),100%)</f>
        <v>1</v>
      </c>
      <c r="I38" s="332">
        <f>IF($E$20&lt;&gt;"",H38*(100%+$E$20),100%)</f>
        <v>1</v>
      </c>
      <c r="J38" s="332">
        <f>IF($E$20&lt;&gt;"",I38*(100%+$E$20),100%)</f>
        <v>1</v>
      </c>
      <c r="K38" s="332">
        <f>IF($E$20&lt;&gt;"",J38*(100%+$E$20),100%)</f>
        <v>1</v>
      </c>
      <c r="M38" t="s">
        <v>683</v>
      </c>
      <c r="N38" s="498"/>
      <c r="O38" s="498"/>
      <c r="P38" s="498"/>
      <c r="Q38" s="498"/>
      <c r="R38" s="498"/>
      <c r="Y38" s="159"/>
    </row>
    <row r="39" spans="2:25" x14ac:dyDescent="0.35">
      <c r="B39" s="160"/>
      <c r="C39" s="369" t="str">
        <f>IF('Inputs and eligible population'!E17=0,"Baseline population (inflated by growth(s))","Manually entered locality population (inflated by growth(s))")</f>
        <v>Baseline population (inflated by growth(s))</v>
      </c>
      <c r="D39" s="196"/>
      <c r="E39" s="168"/>
      <c r="F39" s="128">
        <f>IF(ISBLANK(E17),G14,'Population selection'!F16)</f>
        <v>46148904.437507473</v>
      </c>
      <c r="G39" s="128">
        <f>F39*G37</f>
        <v>46593863.28876517</v>
      </c>
      <c r="H39" s="128">
        <f>F39*H37</f>
        <v>47043112.347596072</v>
      </c>
      <c r="I39" s="128">
        <f>F39*I37</f>
        <v>47496692.979355574</v>
      </c>
      <c r="J39" s="128">
        <f>F39*J37</f>
        <v>47954646.948235855</v>
      </c>
      <c r="K39" s="128">
        <f>F39*K37</f>
        <v>48417016.421111427</v>
      </c>
      <c r="N39" s="280"/>
      <c r="O39" s="280"/>
      <c r="P39" s="280"/>
      <c r="Q39" s="280"/>
      <c r="R39" s="280"/>
      <c r="Y39" s="159"/>
    </row>
    <row r="40" spans="2:25" x14ac:dyDescent="0.35">
      <c r="B40" s="776"/>
      <c r="C40" s="221" t="str">
        <f>IF(ISBLANK(F34),"Eligible population, NICE estimate","Eligible population, local estimate")</f>
        <v>Eligible population, NICE estimate</v>
      </c>
      <c r="D40" s="196"/>
      <c r="E40" s="168"/>
      <c r="F40" s="181">
        <v>161</v>
      </c>
      <c r="G40" s="181">
        <f>$F$40*G37*G38</f>
        <v>162.55233100169255</v>
      </c>
      <c r="H40" s="181">
        <f>$F$40*H37*H38</f>
        <v>164.1196292800237</v>
      </c>
      <c r="I40" s="181">
        <f>$F$40*I37*I38</f>
        <v>165.70203914659308</v>
      </c>
      <c r="J40" s="181">
        <f>$F$40*J37*J38</f>
        <v>167.29970630442494</v>
      </c>
      <c r="K40" s="181">
        <f>$F$40*K37*K38</f>
        <v>168.91277786138403</v>
      </c>
      <c r="N40" s="339"/>
      <c r="O40" s="339"/>
      <c r="P40" s="339"/>
      <c r="Q40" s="339"/>
      <c r="R40" s="339"/>
      <c r="Y40" s="159"/>
    </row>
    <row r="43" spans="2:25" x14ac:dyDescent="0.35">
      <c r="B43" s="156" t="s">
        <v>685</v>
      </c>
      <c r="C43" s="309"/>
      <c r="D43" s="309"/>
      <c r="E43" s="309"/>
      <c r="F43" s="309"/>
      <c r="G43" s="309"/>
      <c r="H43" s="309"/>
      <c r="I43" s="309"/>
      <c r="J43" s="309"/>
      <c r="K43" s="309"/>
      <c r="L43" s="309"/>
      <c r="M43" s="309"/>
      <c r="N43" s="309"/>
      <c r="O43" s="309"/>
      <c r="P43" s="309"/>
      <c r="Q43" s="309"/>
      <c r="R43" s="309"/>
      <c r="S43" s="309"/>
      <c r="T43" s="157"/>
    </row>
    <row r="44" spans="2:25" x14ac:dyDescent="0.35">
      <c r="B44" s="160"/>
      <c r="D44" s="210" t="s">
        <v>686</v>
      </c>
      <c r="E44" s="210" t="s">
        <v>687</v>
      </c>
      <c r="F44" s="210" t="s">
        <v>688</v>
      </c>
      <c r="G44" s="210" t="s">
        <v>966</v>
      </c>
      <c r="H44" s="501"/>
      <c r="I44" s="501"/>
      <c r="J44" s="501"/>
      <c r="K44" s="501"/>
      <c r="M44" s="501"/>
      <c r="N44" s="501"/>
      <c r="O44" s="501"/>
      <c r="P44" s="501"/>
      <c r="Q44" s="501"/>
      <c r="R44" s="501"/>
      <c r="T44" s="159"/>
    </row>
    <row r="45" spans="2:25" x14ac:dyDescent="0.35">
      <c r="B45" s="160"/>
      <c r="C45" s="328" t="s">
        <v>892</v>
      </c>
      <c r="D45" s="567">
        <v>1</v>
      </c>
      <c r="E45" s="568">
        <v>1</v>
      </c>
      <c r="F45" s="604">
        <v>12</v>
      </c>
      <c r="G45" s="573">
        <f>F45</f>
        <v>12</v>
      </c>
      <c r="H45" t="s">
        <v>902</v>
      </c>
      <c r="I45" s="724"/>
      <c r="J45" s="724"/>
      <c r="K45" s="499"/>
      <c r="T45" s="159"/>
    </row>
    <row r="46" spans="2:25" x14ac:dyDescent="0.35">
      <c r="B46" s="160"/>
      <c r="C46" s="328" t="s">
        <v>889</v>
      </c>
      <c r="D46" s="570">
        <v>1</v>
      </c>
      <c r="E46" s="571">
        <v>1</v>
      </c>
      <c r="F46" s="605">
        <v>4</v>
      </c>
      <c r="G46" s="573">
        <f t="shared" ref="G46:G48" si="0">F46</f>
        <v>4</v>
      </c>
      <c r="H46" s="499" t="s">
        <v>893</v>
      </c>
      <c r="I46" s="724"/>
      <c r="J46" s="724"/>
      <c r="K46" s="499"/>
      <c r="L46" s="499"/>
      <c r="N46" s="499"/>
      <c r="O46" s="499"/>
      <c r="P46" s="499"/>
      <c r="Q46" s="499"/>
      <c r="R46" s="499"/>
      <c r="T46" s="159"/>
    </row>
    <row r="47" spans="2:25" x14ac:dyDescent="0.35">
      <c r="B47" s="160"/>
      <c r="C47" s="328" t="s">
        <v>890</v>
      </c>
      <c r="D47" s="570">
        <v>1</v>
      </c>
      <c r="E47" s="571">
        <v>1</v>
      </c>
      <c r="F47" s="605">
        <v>17.39</v>
      </c>
      <c r="G47" s="573">
        <f t="shared" si="0"/>
        <v>17.39</v>
      </c>
      <c r="H47" s="499" t="s">
        <v>894</v>
      </c>
      <c r="I47" s="724"/>
      <c r="J47" s="724"/>
      <c r="K47" s="499"/>
      <c r="L47" s="499"/>
      <c r="N47" s="499"/>
      <c r="O47" s="499"/>
      <c r="P47" s="499"/>
      <c r="Q47" s="499"/>
      <c r="R47" s="499"/>
      <c r="T47" s="159"/>
    </row>
    <row r="48" spans="2:25" x14ac:dyDescent="0.35">
      <c r="B48" s="160"/>
      <c r="C48" s="328" t="s">
        <v>891</v>
      </c>
      <c r="D48" s="570">
        <v>1</v>
      </c>
      <c r="E48" s="571">
        <v>1</v>
      </c>
      <c r="F48" s="605">
        <v>52</v>
      </c>
      <c r="G48" s="573">
        <f t="shared" si="0"/>
        <v>52</v>
      </c>
      <c r="H48" t="s">
        <v>900</v>
      </c>
      <c r="I48" s="724"/>
      <c r="J48" s="724"/>
      <c r="K48" s="499"/>
      <c r="T48" s="159"/>
    </row>
    <row r="49" spans="2:20" x14ac:dyDescent="0.35">
      <c r="B49" s="160"/>
      <c r="D49" s="152"/>
      <c r="E49" s="152"/>
      <c r="F49" s="152"/>
      <c r="G49" s="152"/>
      <c r="H49" s="152"/>
      <c r="J49" s="148"/>
      <c r="T49" s="159"/>
    </row>
    <row r="50" spans="2:20" ht="32.15" customHeight="1" x14ac:dyDescent="0.35">
      <c r="B50" s="160"/>
      <c r="C50" s="207" t="s">
        <v>689</v>
      </c>
      <c r="D50" s="212" t="s">
        <v>690</v>
      </c>
      <c r="E50" s="208"/>
      <c r="F50" s="208"/>
      <c r="G50" s="208"/>
      <c r="H50" s="208"/>
      <c r="I50" s="209"/>
      <c r="J50" s="210" t="s">
        <v>691</v>
      </c>
      <c r="K50" s="165" t="s">
        <v>692</v>
      </c>
      <c r="L50" s="210" t="s">
        <v>693</v>
      </c>
      <c r="T50" s="159"/>
    </row>
    <row r="51" spans="2:20" x14ac:dyDescent="0.35">
      <c r="B51" s="160"/>
      <c r="C51" s="328" t="s">
        <v>892</v>
      </c>
      <c r="D51" s="199" t="s">
        <v>903</v>
      </c>
      <c r="E51" s="200"/>
      <c r="F51" s="200"/>
      <c r="G51" s="200"/>
      <c r="H51" s="200"/>
      <c r="I51" s="196"/>
      <c r="J51" s="586"/>
      <c r="K51" s="572"/>
      <c r="L51" s="333" t="s">
        <v>1054</v>
      </c>
      <c r="M51" s="758"/>
      <c r="P51" s="758"/>
      <c r="T51" s="159"/>
    </row>
    <row r="52" spans="2:20" x14ac:dyDescent="0.35">
      <c r="B52" s="160"/>
      <c r="C52" s="328" t="s">
        <v>889</v>
      </c>
      <c r="D52" s="199" t="s">
        <v>904</v>
      </c>
      <c r="E52" s="200"/>
      <c r="F52" s="200"/>
      <c r="G52" s="200"/>
      <c r="H52" s="200"/>
      <c r="I52" s="196"/>
      <c r="J52" s="586"/>
      <c r="K52" s="572"/>
      <c r="L52" s="333" t="s">
        <v>1054</v>
      </c>
      <c r="M52" s="758"/>
      <c r="P52" s="758"/>
      <c r="T52" s="159"/>
    </row>
    <row r="53" spans="2:20" x14ac:dyDescent="0.35">
      <c r="B53" s="160"/>
      <c r="C53" s="328" t="s">
        <v>890</v>
      </c>
      <c r="D53" s="199" t="s">
        <v>905</v>
      </c>
      <c r="E53" s="200"/>
      <c r="F53" s="200"/>
      <c r="G53" s="200"/>
      <c r="H53" s="200"/>
      <c r="I53" s="196"/>
      <c r="J53" s="586"/>
      <c r="K53" s="572"/>
      <c r="L53" s="333" t="s">
        <v>1054</v>
      </c>
      <c r="M53" s="758"/>
      <c r="N53" s="500"/>
      <c r="O53" s="500"/>
      <c r="P53" s="500"/>
      <c r="Q53" s="500"/>
      <c r="R53" s="500"/>
      <c r="T53" s="159"/>
    </row>
    <row r="54" spans="2:20" x14ac:dyDescent="0.35">
      <c r="B54" s="160"/>
      <c r="C54" s="328" t="s">
        <v>891</v>
      </c>
      <c r="D54" s="199" t="s">
        <v>906</v>
      </c>
      <c r="E54" s="200"/>
      <c r="F54" s="200"/>
      <c r="G54" s="200"/>
      <c r="H54" s="200"/>
      <c r="I54" s="196"/>
      <c r="J54" s="586"/>
      <c r="K54" s="572"/>
      <c r="L54" s="333" t="s">
        <v>1054</v>
      </c>
      <c r="M54" s="500"/>
      <c r="N54" s="500"/>
      <c r="O54" s="500"/>
      <c r="P54" s="500"/>
      <c r="Q54" s="500"/>
      <c r="R54" s="500"/>
      <c r="T54" s="159"/>
    </row>
    <row r="55" spans="2:20" x14ac:dyDescent="0.35">
      <c r="B55" s="160"/>
      <c r="C55" s="194"/>
      <c r="D55" s="152"/>
      <c r="E55" s="152"/>
      <c r="F55" s="152"/>
      <c r="G55" s="152"/>
      <c r="H55" s="152"/>
      <c r="T55" s="159"/>
    </row>
    <row r="56" spans="2:20" x14ac:dyDescent="0.35">
      <c r="B56" s="160"/>
      <c r="D56" s="152"/>
      <c r="E56" s="152"/>
      <c r="F56" s="152"/>
      <c r="G56" s="152"/>
      <c r="H56" s="152"/>
      <c r="T56" s="159"/>
    </row>
    <row r="57" spans="2:20" x14ac:dyDescent="0.35">
      <c r="B57" s="160"/>
      <c r="C57" s="198" t="s">
        <v>694</v>
      </c>
      <c r="D57" s="573">
        <v>86.33</v>
      </c>
      <c r="E57" s="199" t="s">
        <v>907</v>
      </c>
      <c r="F57" s="200"/>
      <c r="G57" s="200"/>
      <c r="H57" s="200"/>
      <c r="I57" s="168"/>
      <c r="T57" s="159"/>
    </row>
    <row r="58" spans="2:20" ht="16.5" x14ac:dyDescent="0.35">
      <c r="B58" s="160"/>
      <c r="C58" s="198" t="s">
        <v>695</v>
      </c>
      <c r="D58" s="560" t="s">
        <v>757</v>
      </c>
      <c r="E58" s="199"/>
      <c r="F58" s="200"/>
      <c r="G58" s="200"/>
      <c r="H58" s="200"/>
      <c r="I58" s="168"/>
      <c r="T58" s="159"/>
    </row>
    <row r="59" spans="2:20" x14ac:dyDescent="0.35">
      <c r="B59" s="160"/>
      <c r="T59" s="159"/>
    </row>
    <row r="60" spans="2:20" x14ac:dyDescent="0.35">
      <c r="B60" s="160"/>
      <c r="C60" s="764" t="s">
        <v>1006</v>
      </c>
      <c r="T60" s="159"/>
    </row>
    <row r="61" spans="2:20" x14ac:dyDescent="0.35">
      <c r="B61" s="160"/>
      <c r="D61" s="794" t="s">
        <v>696</v>
      </c>
      <c r="E61" s="210" t="s">
        <v>697</v>
      </c>
      <c r="F61" s="792" t="s">
        <v>698</v>
      </c>
      <c r="G61" s="771" t="s">
        <v>699</v>
      </c>
      <c r="H61" s="771" t="s">
        <v>700</v>
      </c>
      <c r="I61" s="772" t="s">
        <v>701</v>
      </c>
      <c r="J61" s="772" t="s">
        <v>702</v>
      </c>
      <c r="L61" s="210" t="s">
        <v>697</v>
      </c>
      <c r="M61" s="506" t="s">
        <v>698</v>
      </c>
      <c r="N61" s="211" t="s">
        <v>699</v>
      </c>
      <c r="O61" s="211" t="s">
        <v>700</v>
      </c>
      <c r="P61" s="210" t="s">
        <v>701</v>
      </c>
      <c r="Q61" s="210" t="s">
        <v>702</v>
      </c>
      <c r="T61" s="159"/>
    </row>
    <row r="62" spans="2:20" x14ac:dyDescent="0.35">
      <c r="B62" s="160"/>
      <c r="D62" s="793" t="s">
        <v>1025</v>
      </c>
      <c r="E62" s="207"/>
      <c r="F62" s="207"/>
      <c r="G62" s="207"/>
      <c r="H62" s="207"/>
      <c r="I62" s="207"/>
      <c r="J62" s="207"/>
      <c r="L62" s="782"/>
      <c r="M62" s="783"/>
      <c r="N62" s="783"/>
      <c r="O62" s="783"/>
      <c r="P62" s="783"/>
      <c r="Q62" s="783"/>
      <c r="T62" s="159"/>
    </row>
    <row r="63" spans="2:20" x14ac:dyDescent="0.35">
      <c r="B63" s="160"/>
      <c r="D63" s="773" t="s">
        <v>892</v>
      </c>
      <c r="E63" s="774">
        <v>0</v>
      </c>
      <c r="F63" s="775">
        <v>7.3821999999999999E-2</v>
      </c>
      <c r="G63" s="775">
        <v>0.146234</v>
      </c>
      <c r="H63" s="775">
        <v>0.21725700000000001</v>
      </c>
      <c r="I63" s="775">
        <v>0.28691</v>
      </c>
      <c r="J63" s="775">
        <v>0.355213</v>
      </c>
      <c r="L63" s="779">
        <f t="shared" ref="L63:Q63" si="1">F40*E63</f>
        <v>0</v>
      </c>
      <c r="M63" s="770">
        <f t="shared" si="1"/>
        <v>11.999938179206946</v>
      </c>
      <c r="N63" s="770">
        <f t="shared" si="1"/>
        <v>23.999869868134986</v>
      </c>
      <c r="O63" s="770">
        <f t="shared" si="1"/>
        <v>35.999927918871371</v>
      </c>
      <c r="P63" s="770">
        <f t="shared" si="1"/>
        <v>47.999958735802558</v>
      </c>
      <c r="Q63" s="770">
        <f t="shared" si="1"/>
        <v>60.000014562475805</v>
      </c>
      <c r="T63" s="159"/>
    </row>
    <row r="64" spans="2:20" x14ac:dyDescent="0.35">
      <c r="B64" s="160"/>
      <c r="D64" s="328" t="s">
        <v>889</v>
      </c>
      <c r="E64" s="574">
        <v>0.97</v>
      </c>
      <c r="F64" s="575">
        <v>0.92617799999999995</v>
      </c>
      <c r="G64" s="575">
        <v>0.85376600000000002</v>
      </c>
      <c r="H64" s="575">
        <v>0.78274299999999997</v>
      </c>
      <c r="I64" s="575">
        <v>0.71309</v>
      </c>
      <c r="J64" s="575">
        <v>0.644787</v>
      </c>
      <c r="L64" s="507">
        <f t="shared" ref="L64:Q64" si="2">F40*E64</f>
        <v>156.16999999999999</v>
      </c>
      <c r="M64" s="507">
        <f t="shared" si="2"/>
        <v>150.55239282248559</v>
      </c>
      <c r="N64" s="507">
        <f t="shared" si="2"/>
        <v>140.11975941188871</v>
      </c>
      <c r="O64" s="507">
        <f t="shared" si="2"/>
        <v>129.7021112277217</v>
      </c>
      <c r="P64" s="507">
        <f t="shared" si="2"/>
        <v>119.29974756862238</v>
      </c>
      <c r="Q64" s="507">
        <f t="shared" si="2"/>
        <v>108.91276329890822</v>
      </c>
      <c r="T64" s="159"/>
    </row>
    <row r="65" spans="2:20" x14ac:dyDescent="0.35">
      <c r="B65" s="160"/>
      <c r="D65" s="328" t="s">
        <v>890</v>
      </c>
      <c r="E65" s="574">
        <v>0.01</v>
      </c>
      <c r="F65" s="575">
        <v>0</v>
      </c>
      <c r="G65" s="575">
        <v>0</v>
      </c>
      <c r="H65" s="575">
        <v>0</v>
      </c>
      <c r="I65" s="575">
        <v>0</v>
      </c>
      <c r="J65" s="575">
        <v>0</v>
      </c>
      <c r="L65" s="502">
        <f t="shared" ref="L65:Q65" si="3">F40*E65</f>
        <v>1.61</v>
      </c>
      <c r="M65" s="502">
        <f t="shared" si="3"/>
        <v>0</v>
      </c>
      <c r="N65" s="502">
        <f t="shared" si="3"/>
        <v>0</v>
      </c>
      <c r="O65" s="502">
        <f t="shared" si="3"/>
        <v>0</v>
      </c>
      <c r="P65" s="502">
        <f t="shared" si="3"/>
        <v>0</v>
      </c>
      <c r="Q65" s="502">
        <f t="shared" si="3"/>
        <v>0</v>
      </c>
      <c r="T65" s="159"/>
    </row>
    <row r="66" spans="2:20" x14ac:dyDescent="0.35">
      <c r="B66" s="160"/>
      <c r="D66" s="328" t="s">
        <v>891</v>
      </c>
      <c r="E66" s="574">
        <v>0.02</v>
      </c>
      <c r="F66" s="575">
        <v>0</v>
      </c>
      <c r="G66" s="575">
        <v>0</v>
      </c>
      <c r="H66" s="575">
        <v>0</v>
      </c>
      <c r="I66" s="575">
        <v>0</v>
      </c>
      <c r="J66" s="575">
        <v>0</v>
      </c>
      <c r="L66" s="502">
        <f t="shared" ref="L66:Q66" si="4">F40*E66</f>
        <v>3.22</v>
      </c>
      <c r="M66" s="502">
        <f t="shared" si="4"/>
        <v>0</v>
      </c>
      <c r="N66" s="502">
        <f t="shared" si="4"/>
        <v>0</v>
      </c>
      <c r="O66" s="502">
        <f t="shared" si="4"/>
        <v>0</v>
      </c>
      <c r="P66" s="502">
        <f t="shared" si="4"/>
        <v>0</v>
      </c>
      <c r="Q66" s="502">
        <f t="shared" si="4"/>
        <v>0</v>
      </c>
      <c r="T66" s="159"/>
    </row>
    <row r="67" spans="2:20" x14ac:dyDescent="0.35">
      <c r="B67" s="160"/>
      <c r="E67" s="151">
        <f t="shared" ref="E67:J67" si="5">SUM(E62:E66)</f>
        <v>1</v>
      </c>
      <c r="F67" s="151">
        <f t="shared" si="5"/>
        <v>1</v>
      </c>
      <c r="G67" s="151">
        <f t="shared" si="5"/>
        <v>1</v>
      </c>
      <c r="H67" s="151">
        <f t="shared" si="5"/>
        <v>1</v>
      </c>
      <c r="I67" s="151">
        <f t="shared" si="5"/>
        <v>1</v>
      </c>
      <c r="J67" s="151">
        <f t="shared" si="5"/>
        <v>1</v>
      </c>
      <c r="K67" s="160"/>
      <c r="L67" s="696">
        <f t="shared" ref="L67:Q67" si="6">SUM(L63:L66)</f>
        <v>161</v>
      </c>
      <c r="M67" s="696">
        <f t="shared" si="6"/>
        <v>162.55233100169252</v>
      </c>
      <c r="N67" s="696">
        <f t="shared" si="6"/>
        <v>164.1196292800237</v>
      </c>
      <c r="O67" s="696">
        <f t="shared" si="6"/>
        <v>165.70203914659308</v>
      </c>
      <c r="P67" s="696">
        <f t="shared" si="6"/>
        <v>167.29970630442494</v>
      </c>
      <c r="Q67" s="696">
        <f t="shared" si="6"/>
        <v>168.91277786138403</v>
      </c>
      <c r="T67" s="159"/>
    </row>
    <row r="68" spans="2:20" x14ac:dyDescent="0.35">
      <c r="B68" s="160"/>
      <c r="D68" s="765" t="s">
        <v>1007</v>
      </c>
      <c r="E68" s="493"/>
      <c r="F68" s="493"/>
      <c r="G68" s="493"/>
      <c r="H68" s="493"/>
      <c r="I68" s="493"/>
      <c r="J68" s="493"/>
      <c r="K68" s="493"/>
      <c r="L68" s="763"/>
      <c r="M68" s="763"/>
      <c r="N68" s="763"/>
      <c r="O68" s="763"/>
      <c r="P68" s="763"/>
      <c r="Q68" s="763"/>
      <c r="T68" s="159"/>
    </row>
    <row r="69" spans="2:20" x14ac:dyDescent="0.35">
      <c r="B69" s="160"/>
      <c r="D69" s="629" t="s">
        <v>1030</v>
      </c>
      <c r="E69" s="493"/>
      <c r="F69" s="493"/>
      <c r="G69" s="493"/>
      <c r="H69" s="493"/>
      <c r="I69" s="493"/>
      <c r="J69" s="493"/>
      <c r="K69" s="493"/>
      <c r="L69" s="763"/>
      <c r="M69" s="763"/>
      <c r="N69" s="763"/>
      <c r="O69" s="763"/>
      <c r="P69" s="763"/>
      <c r="Q69" s="763"/>
      <c r="T69" s="159"/>
    </row>
    <row r="70" spans="2:20" x14ac:dyDescent="0.35">
      <c r="B70" s="160"/>
      <c r="E70" s="493"/>
      <c r="F70" s="493"/>
      <c r="G70" s="493"/>
      <c r="H70" s="493"/>
      <c r="I70" s="493"/>
      <c r="J70" s="493"/>
      <c r="K70" s="493"/>
      <c r="L70" s="763"/>
      <c r="M70" s="763"/>
      <c r="N70" s="763"/>
      <c r="O70" s="763"/>
      <c r="P70" s="763"/>
      <c r="Q70" s="763"/>
      <c r="T70" s="159"/>
    </row>
    <row r="71" spans="2:20" x14ac:dyDescent="0.35">
      <c r="B71" s="160"/>
      <c r="C71" s="148" t="s">
        <v>1026</v>
      </c>
      <c r="E71" s="493"/>
      <c r="F71" s="493"/>
      <c r="G71" s="493"/>
      <c r="H71" s="493"/>
      <c r="I71" s="493"/>
      <c r="J71" s="493"/>
      <c r="K71" s="493"/>
      <c r="T71" s="159"/>
    </row>
    <row r="72" spans="2:20" x14ac:dyDescent="0.35">
      <c r="B72" s="161"/>
      <c r="C72" s="162"/>
      <c r="D72" s="162"/>
      <c r="E72" s="162"/>
      <c r="F72" s="162"/>
      <c r="G72" s="162"/>
      <c r="H72" s="162"/>
      <c r="I72" s="162"/>
      <c r="J72" s="162"/>
      <c r="K72" s="162"/>
      <c r="L72" s="162"/>
      <c r="M72" s="162"/>
      <c r="N72" s="162"/>
      <c r="O72" s="162"/>
      <c r="P72" s="162"/>
      <c r="Q72" s="162"/>
      <c r="R72" s="162"/>
      <c r="S72" s="162"/>
      <c r="T72" s="163"/>
    </row>
    <row r="73" spans="2:20" x14ac:dyDescent="0.35">
      <c r="D73" s="196"/>
      <c r="L73" s="196"/>
    </row>
    <row r="74" spans="2:20" x14ac:dyDescent="0.35">
      <c r="B74" s="156" t="s">
        <v>703</v>
      </c>
      <c r="C74" s="309"/>
      <c r="E74" s="309"/>
      <c r="F74" s="309"/>
      <c r="G74" s="309"/>
      <c r="H74" s="309"/>
      <c r="I74" s="309"/>
      <c r="J74" s="309"/>
      <c r="K74" s="309"/>
      <c r="M74" s="309"/>
      <c r="N74" s="309"/>
      <c r="O74" s="309"/>
      <c r="P74" s="309"/>
      <c r="Q74" s="309"/>
      <c r="R74" s="309"/>
      <c r="S74" s="309"/>
      <c r="T74" s="157"/>
    </row>
    <row r="75" spans="2:20" x14ac:dyDescent="0.35">
      <c r="B75" s="160" t="s">
        <v>704</v>
      </c>
      <c r="T75" s="159"/>
    </row>
    <row r="76" spans="2:20" x14ac:dyDescent="0.35">
      <c r="B76" s="160" t="s">
        <v>705</v>
      </c>
      <c r="T76" s="159"/>
    </row>
    <row r="77" spans="2:20" x14ac:dyDescent="0.35">
      <c r="B77" s="160"/>
      <c r="C77" s="334"/>
      <c r="D77" s="213"/>
      <c r="E77" s="213"/>
      <c r="F77" s="213"/>
      <c r="K77" s="148" t="s">
        <v>997</v>
      </c>
      <c r="T77" s="159"/>
    </row>
    <row r="78" spans="2:20" ht="58.25" customHeight="1" x14ac:dyDescent="0.35">
      <c r="B78" s="160"/>
      <c r="C78" s="378" t="s">
        <v>706</v>
      </c>
      <c r="D78" s="378" t="s">
        <v>707</v>
      </c>
      <c r="E78" s="378" t="s">
        <v>708</v>
      </c>
      <c r="F78" s="245" t="s">
        <v>927</v>
      </c>
      <c r="G78" s="245" t="s">
        <v>928</v>
      </c>
      <c r="H78" s="245" t="s">
        <v>929</v>
      </c>
      <c r="I78" s="245" t="s">
        <v>930</v>
      </c>
      <c r="K78" s="378" t="s">
        <v>709</v>
      </c>
      <c r="L78" s="378" t="s">
        <v>710</v>
      </c>
      <c r="T78" s="159"/>
    </row>
    <row r="79" spans="2:20" ht="29" x14ac:dyDescent="0.35">
      <c r="B79" s="160"/>
      <c r="C79" s="376" t="s">
        <v>713</v>
      </c>
      <c r="D79" s="165" t="s">
        <v>932</v>
      </c>
      <c r="E79" s="165" t="s">
        <v>711</v>
      </c>
      <c r="F79" s="577">
        <v>0</v>
      </c>
      <c r="G79" s="577">
        <v>60</v>
      </c>
      <c r="H79" s="576">
        <v>60</v>
      </c>
      <c r="I79" s="576">
        <v>0</v>
      </c>
      <c r="K79" s="580" t="s">
        <v>714</v>
      </c>
      <c r="L79" s="581">
        <f>VLOOKUP(K79,payscales!B:K,10,0)</f>
        <v>42.15</v>
      </c>
      <c r="T79" s="159"/>
    </row>
    <row r="80" spans="2:20" ht="29" x14ac:dyDescent="0.35">
      <c r="B80" s="160"/>
      <c r="C80" s="376" t="s">
        <v>713</v>
      </c>
      <c r="D80" s="165" t="s">
        <v>1028</v>
      </c>
      <c r="E80" s="165" t="s">
        <v>935</v>
      </c>
      <c r="F80" s="577">
        <v>0</v>
      </c>
      <c r="G80" s="568">
        <f>'Unit costs'!D31</f>
        <v>4</v>
      </c>
      <c r="H80" s="699">
        <f>'Unit costs'!D33</f>
        <v>17.392857142857142</v>
      </c>
      <c r="I80" s="569">
        <v>0</v>
      </c>
      <c r="K80" s="697"/>
      <c r="L80" s="698"/>
      <c r="T80" s="159"/>
    </row>
    <row r="81" spans="2:20" ht="29" x14ac:dyDescent="0.35">
      <c r="B81" s="160"/>
      <c r="C81" s="376" t="s">
        <v>713</v>
      </c>
      <c r="D81" s="165" t="s">
        <v>959</v>
      </c>
      <c r="E81" s="165"/>
      <c r="F81" s="567"/>
      <c r="G81" s="568"/>
      <c r="H81" s="695"/>
      <c r="I81" s="569">
        <f>'Unit costs'!O65</f>
        <v>26</v>
      </c>
      <c r="K81" s="697"/>
      <c r="L81" s="698"/>
      <c r="T81" s="159"/>
    </row>
    <row r="82" spans="2:20" ht="28.25" customHeight="1" x14ac:dyDescent="0.35">
      <c r="B82" s="160"/>
      <c r="C82" s="376" t="s">
        <v>713</v>
      </c>
      <c r="D82" s="165" t="s">
        <v>957</v>
      </c>
      <c r="E82" s="165" t="s">
        <v>935</v>
      </c>
      <c r="F82" s="567"/>
      <c r="G82" s="568"/>
      <c r="H82" s="695"/>
      <c r="I82" s="569">
        <v>40</v>
      </c>
      <c r="K82" s="580" t="s">
        <v>714</v>
      </c>
      <c r="L82" s="581">
        <f>VLOOKUP(K82,payscales!B:K,10,0)</f>
        <v>42.15</v>
      </c>
      <c r="M82" t="s">
        <v>934</v>
      </c>
      <c r="T82" s="159"/>
    </row>
    <row r="83" spans="2:20" ht="41.4" customHeight="1" x14ac:dyDescent="0.35">
      <c r="B83" s="160"/>
      <c r="C83" s="379" t="s">
        <v>947</v>
      </c>
      <c r="D83" s="165" t="s">
        <v>945</v>
      </c>
      <c r="E83" s="165" t="s">
        <v>717</v>
      </c>
      <c r="F83" s="567"/>
      <c r="G83" s="710"/>
      <c r="H83" s="569"/>
      <c r="I83" s="569">
        <f>'Unit costs'!C57</f>
        <v>3</v>
      </c>
      <c r="K83" s="697"/>
      <c r="L83" s="698"/>
      <c r="T83" s="159"/>
    </row>
    <row r="84" spans="2:20" ht="29" x14ac:dyDescent="0.35">
      <c r="B84" s="160"/>
      <c r="C84" s="377" t="s">
        <v>715</v>
      </c>
      <c r="D84" s="165" t="s">
        <v>885</v>
      </c>
      <c r="E84" s="165" t="s">
        <v>949</v>
      </c>
      <c r="F84" s="578"/>
      <c r="G84" s="579"/>
      <c r="H84" s="569"/>
      <c r="I84" s="569">
        <f>'Unit costs'!D38</f>
        <v>12</v>
      </c>
      <c r="K84" s="580" t="s">
        <v>845</v>
      </c>
      <c r="L84" s="581">
        <f>VLOOKUP(K84,payscales!B:K,10,0)</f>
        <v>46.77</v>
      </c>
      <c r="M84" t="s">
        <v>934</v>
      </c>
      <c r="T84" s="159"/>
    </row>
    <row r="85" spans="2:20" x14ac:dyDescent="0.35">
      <c r="B85" s="160"/>
      <c r="C85" s="334"/>
      <c r="D85" s="213"/>
      <c r="E85" s="213"/>
      <c r="F85" s="213"/>
      <c r="T85" s="159"/>
    </row>
    <row r="86" spans="2:20" x14ac:dyDescent="0.35">
      <c r="B86" s="160"/>
      <c r="C86" s="197" t="s">
        <v>719</v>
      </c>
      <c r="D86" s="152"/>
      <c r="T86" s="159"/>
    </row>
    <row r="87" spans="2:20" x14ac:dyDescent="0.35">
      <c r="B87" s="160"/>
      <c r="C87" t="s">
        <v>931</v>
      </c>
      <c r="D87" s="152"/>
      <c r="T87" s="159"/>
    </row>
    <row r="88" spans="2:20" x14ac:dyDescent="0.35">
      <c r="B88" s="160"/>
      <c r="C88" s="189" t="s">
        <v>720</v>
      </c>
      <c r="D88" s="152"/>
      <c r="T88" s="159"/>
    </row>
    <row r="89" spans="2:20" x14ac:dyDescent="0.35">
      <c r="B89" s="160"/>
      <c r="C89" s="335" t="s">
        <v>721</v>
      </c>
      <c r="D89" s="152"/>
      <c r="T89" s="159"/>
    </row>
    <row r="90" spans="2:20" x14ac:dyDescent="0.35">
      <c r="B90" s="160"/>
      <c r="C90" t="s">
        <v>946</v>
      </c>
      <c r="D90" s="152"/>
      <c r="T90" s="159"/>
    </row>
    <row r="91" spans="2:20" x14ac:dyDescent="0.35">
      <c r="B91" s="160"/>
      <c r="C91" t="s">
        <v>1021</v>
      </c>
      <c r="D91" s="152"/>
      <c r="T91" s="159"/>
    </row>
    <row r="92" spans="2:20" x14ac:dyDescent="0.35">
      <c r="B92" s="160"/>
      <c r="C92" t="s">
        <v>722</v>
      </c>
      <c r="D92" s="152"/>
      <c r="T92" s="159"/>
    </row>
    <row r="93" spans="2:20" x14ac:dyDescent="0.35">
      <c r="B93" s="160"/>
      <c r="C93" s="213" t="s">
        <v>1042</v>
      </c>
      <c r="D93" s="152"/>
      <c r="T93" s="159"/>
    </row>
    <row r="94" spans="2:20" ht="41" customHeight="1" x14ac:dyDescent="0.35">
      <c r="B94" s="160"/>
      <c r="C94" s="808" t="s">
        <v>1043</v>
      </c>
      <c r="D94" s="808"/>
      <c r="E94" s="808"/>
      <c r="F94" s="808"/>
      <c r="G94" s="808"/>
      <c r="H94" s="808"/>
      <c r="I94" s="808"/>
      <c r="J94" s="808"/>
      <c r="K94" s="808"/>
      <c r="L94" s="808"/>
      <c r="M94" s="808"/>
      <c r="N94" s="808"/>
      <c r="O94" s="808"/>
      <c r="P94" s="808"/>
      <c r="Q94" s="808"/>
      <c r="T94" s="159"/>
    </row>
    <row r="95" spans="2:20" ht="36.65" customHeight="1" x14ac:dyDescent="0.35">
      <c r="B95" s="160"/>
      <c r="C95" s="804" t="s">
        <v>967</v>
      </c>
      <c r="D95" s="804"/>
      <c r="E95" s="804"/>
      <c r="F95" s="804"/>
      <c r="G95" s="804"/>
      <c r="H95" s="804"/>
      <c r="I95" s="804"/>
      <c r="J95" s="804"/>
      <c r="K95" s="804"/>
      <c r="L95" s="804"/>
      <c r="M95" s="804"/>
      <c r="N95" s="804"/>
      <c r="O95" s="804"/>
      <c r="P95" s="804"/>
      <c r="Q95" s="804"/>
      <c r="T95" s="159"/>
    </row>
    <row r="96" spans="2:20" x14ac:dyDescent="0.35">
      <c r="B96" s="161"/>
      <c r="C96" s="162"/>
      <c r="D96" s="164"/>
      <c r="E96" s="164"/>
      <c r="F96" s="164"/>
      <c r="G96" s="164"/>
      <c r="H96" s="164"/>
      <c r="I96" s="162"/>
      <c r="J96" s="162"/>
      <c r="K96" s="162"/>
      <c r="L96" s="162"/>
      <c r="M96" s="162"/>
      <c r="N96" s="162"/>
      <c r="O96" s="162"/>
      <c r="P96" s="162"/>
      <c r="Q96" s="162"/>
      <c r="R96" s="162"/>
      <c r="S96" s="162"/>
      <c r="T96" s="163"/>
    </row>
    <row r="97" spans="2:20" x14ac:dyDescent="0.35">
      <c r="D97" s="152"/>
      <c r="E97" s="152"/>
      <c r="F97" s="152"/>
      <c r="G97" s="152"/>
      <c r="H97" s="152"/>
    </row>
    <row r="98" spans="2:20" x14ac:dyDescent="0.35">
      <c r="B98" s="372" t="s">
        <v>723</v>
      </c>
      <c r="C98" s="371"/>
      <c r="D98" s="371"/>
      <c r="E98" s="371"/>
      <c r="F98" s="371"/>
      <c r="G98" s="371"/>
      <c r="H98" s="371"/>
      <c r="I98" s="371"/>
      <c r="J98" s="371"/>
      <c r="K98" s="371"/>
      <c r="L98" s="371"/>
      <c r="M98" s="371"/>
      <c r="N98" s="371"/>
      <c r="O98" s="371"/>
      <c r="P98" s="371"/>
      <c r="Q98" s="371"/>
      <c r="R98" s="371"/>
      <c r="S98" s="371"/>
      <c r="T98" s="223"/>
    </row>
    <row r="99" spans="2:20" x14ac:dyDescent="0.35">
      <c r="B99" s="227"/>
      <c r="C99" s="220"/>
      <c r="D99" s="220"/>
      <c r="E99" s="220"/>
      <c r="F99" s="220"/>
      <c r="G99" s="220"/>
      <c r="H99" s="220"/>
      <c r="I99" s="220"/>
      <c r="J99" s="220"/>
      <c r="K99" s="220"/>
      <c r="L99" s="220"/>
      <c r="M99" s="220"/>
      <c r="N99" s="220"/>
      <c r="O99" s="220"/>
      <c r="P99" s="220"/>
      <c r="Q99" s="220"/>
      <c r="R99" s="220"/>
      <c r="S99" s="220"/>
      <c r="T99" s="228"/>
    </row>
    <row r="100" spans="2:20" x14ac:dyDescent="0.35">
      <c r="B100" s="227"/>
      <c r="C100" s="631" t="s">
        <v>724</v>
      </c>
      <c r="D100" s="220"/>
      <c r="E100" s="220"/>
      <c r="F100" s="220"/>
      <c r="G100" s="220"/>
      <c r="H100" s="220"/>
      <c r="I100" s="220"/>
      <c r="J100" s="220"/>
      <c r="K100" s="220"/>
      <c r="L100" s="220"/>
      <c r="M100" s="220"/>
      <c r="N100" s="220"/>
      <c r="O100" s="220"/>
      <c r="P100" s="220"/>
      <c r="Q100" s="220"/>
      <c r="R100" s="220"/>
      <c r="S100" s="220"/>
      <c r="T100" s="228"/>
    </row>
    <row r="101" spans="2:20" x14ac:dyDescent="0.35">
      <c r="B101" s="227"/>
      <c r="C101" s="626" t="s">
        <v>725</v>
      </c>
      <c r="D101" s="220"/>
      <c r="E101" s="220"/>
      <c r="F101" s="220"/>
      <c r="G101" s="220"/>
      <c r="H101" s="220"/>
      <c r="I101" s="220"/>
      <c r="J101" s="220"/>
      <c r="K101" s="220"/>
      <c r="L101" s="220"/>
      <c r="M101" s="220"/>
      <c r="N101" s="220"/>
      <c r="O101" s="220"/>
      <c r="P101" s="220"/>
      <c r="Q101" s="220"/>
      <c r="R101" s="220"/>
      <c r="S101" s="220"/>
      <c r="T101" s="228"/>
    </row>
    <row r="102" spans="2:20" x14ac:dyDescent="0.35">
      <c r="B102" s="227"/>
      <c r="C102" s="626" t="s">
        <v>726</v>
      </c>
      <c r="D102" s="220"/>
      <c r="E102" s="220"/>
      <c r="F102" s="220"/>
      <c r="G102" s="220"/>
      <c r="H102" s="220"/>
      <c r="I102" s="220"/>
      <c r="J102" s="220"/>
      <c r="K102" s="220"/>
      <c r="L102" s="220"/>
      <c r="M102" s="220"/>
      <c r="N102" s="220"/>
      <c r="O102" s="220"/>
      <c r="P102" s="220"/>
      <c r="Q102" s="220"/>
      <c r="R102" s="220"/>
      <c r="S102" s="220"/>
      <c r="T102" s="228"/>
    </row>
    <row r="103" spans="2:20" x14ac:dyDescent="0.35">
      <c r="B103" s="227"/>
      <c r="C103" s="420" t="s">
        <v>727</v>
      </c>
      <c r="D103" s="220"/>
      <c r="E103" s="220"/>
      <c r="F103" s="220"/>
      <c r="G103" s="220"/>
      <c r="H103" s="220"/>
      <c r="I103" s="220"/>
      <c r="J103" s="220"/>
      <c r="K103" s="220"/>
      <c r="L103" s="220"/>
      <c r="M103" s="220"/>
      <c r="N103" s="220"/>
      <c r="O103" s="220"/>
      <c r="P103" s="220"/>
      <c r="Q103" s="220"/>
      <c r="R103" s="220"/>
      <c r="S103" s="220"/>
      <c r="T103" s="228"/>
    </row>
    <row r="104" spans="2:20" x14ac:dyDescent="0.35">
      <c r="B104" s="227"/>
      <c r="C104" s="420" t="s">
        <v>728</v>
      </c>
      <c r="D104" s="220"/>
      <c r="E104" s="220"/>
      <c r="F104" s="220"/>
      <c r="G104" s="220"/>
      <c r="H104" s="220"/>
      <c r="I104" s="220"/>
      <c r="J104" s="220"/>
      <c r="K104" s="220"/>
      <c r="L104" s="220"/>
      <c r="M104" s="220"/>
      <c r="N104" s="220"/>
      <c r="O104" s="220"/>
      <c r="P104" s="220"/>
      <c r="Q104" s="220"/>
      <c r="R104" s="220"/>
      <c r="S104" s="220"/>
      <c r="T104" s="228"/>
    </row>
    <row r="105" spans="2:20" x14ac:dyDescent="0.35">
      <c r="B105" s="227"/>
      <c r="C105" s="420"/>
      <c r="D105" s="220"/>
      <c r="E105" s="220"/>
      <c r="F105" s="220"/>
      <c r="G105" s="220"/>
      <c r="H105" s="220"/>
      <c r="I105" s="220"/>
      <c r="J105" s="220"/>
      <c r="K105" s="220"/>
      <c r="L105" s="220"/>
      <c r="M105" s="220"/>
      <c r="N105" s="220"/>
      <c r="O105" s="220"/>
      <c r="P105" s="220"/>
      <c r="Q105" s="220"/>
      <c r="R105" s="220"/>
      <c r="S105" s="220"/>
      <c r="T105" s="228"/>
    </row>
    <row r="106" spans="2:20" x14ac:dyDescent="0.35">
      <c r="B106" s="227"/>
      <c r="C106" s="630" t="s">
        <v>729</v>
      </c>
      <c r="D106" s="220"/>
      <c r="E106" s="220"/>
      <c r="F106" s="220"/>
      <c r="G106" s="220"/>
      <c r="H106" s="220"/>
      <c r="I106" s="220"/>
      <c r="J106" s="220"/>
      <c r="K106" s="220"/>
      <c r="L106" s="220"/>
      <c r="M106" s="220"/>
      <c r="N106" s="220"/>
      <c r="O106" s="220"/>
      <c r="P106" s="220"/>
      <c r="Q106" s="220"/>
      <c r="R106" s="220"/>
      <c r="S106" s="220"/>
      <c r="T106" s="228"/>
    </row>
    <row r="107" spans="2:20" x14ac:dyDescent="0.35">
      <c r="B107" s="227"/>
      <c r="C107" s="626" t="s">
        <v>730</v>
      </c>
      <c r="D107" s="220"/>
      <c r="E107" s="220"/>
      <c r="F107" s="220"/>
      <c r="G107" s="220"/>
      <c r="H107" s="220"/>
      <c r="I107" s="220"/>
      <c r="J107" s="220"/>
      <c r="K107" s="220"/>
      <c r="L107" s="220"/>
      <c r="M107" s="220"/>
      <c r="N107" s="220"/>
      <c r="O107" s="220"/>
      <c r="P107" s="220"/>
      <c r="Q107" s="220"/>
      <c r="R107" s="220"/>
      <c r="S107" s="220"/>
      <c r="T107" s="228"/>
    </row>
    <row r="108" spans="2:20" x14ac:dyDescent="0.35">
      <c r="B108" s="227"/>
      <c r="C108" s="420" t="s">
        <v>731</v>
      </c>
      <c r="D108" s="220"/>
      <c r="E108" s="220"/>
      <c r="F108" s="220"/>
      <c r="G108" s="220"/>
      <c r="H108" s="220"/>
      <c r="I108" s="220"/>
      <c r="J108" s="220"/>
      <c r="K108" s="220"/>
      <c r="L108" s="220"/>
      <c r="M108" s="220"/>
      <c r="N108" s="220"/>
      <c r="O108" s="220"/>
      <c r="P108" s="220"/>
      <c r="Q108" s="220"/>
      <c r="R108" s="220"/>
      <c r="S108" s="220"/>
      <c r="T108" s="228"/>
    </row>
    <row r="109" spans="2:20" x14ac:dyDescent="0.35">
      <c r="B109" s="227"/>
      <c r="C109" s="420" t="s">
        <v>732</v>
      </c>
      <c r="D109" s="220"/>
      <c r="E109" s="220"/>
      <c r="F109" s="220"/>
      <c r="G109" s="220"/>
      <c r="H109" s="220"/>
      <c r="I109" s="220"/>
      <c r="J109" s="220"/>
      <c r="K109" s="220"/>
      <c r="L109" s="220"/>
      <c r="M109" s="220"/>
      <c r="N109" s="220"/>
      <c r="O109" s="220"/>
      <c r="P109" s="220"/>
      <c r="Q109" s="220"/>
      <c r="R109" s="220"/>
      <c r="S109" s="220"/>
      <c r="T109" s="228"/>
    </row>
    <row r="110" spans="2:20" x14ac:dyDescent="0.35">
      <c r="B110" s="227"/>
      <c r="C110" s="420" t="s">
        <v>733</v>
      </c>
      <c r="D110" s="220"/>
      <c r="E110" s="220"/>
      <c r="F110" s="220"/>
      <c r="G110" s="220"/>
      <c r="H110" s="220"/>
      <c r="I110" s="220"/>
      <c r="J110" s="220"/>
      <c r="K110" s="220"/>
      <c r="L110" s="220"/>
      <c r="M110" s="220"/>
      <c r="N110" s="220"/>
      <c r="O110" s="220"/>
      <c r="P110" s="220"/>
      <c r="Q110" s="220"/>
      <c r="R110" s="220"/>
      <c r="S110" s="220"/>
      <c r="T110" s="228"/>
    </row>
    <row r="111" spans="2:20" x14ac:dyDescent="0.35">
      <c r="B111" s="225"/>
      <c r="C111" s="229"/>
      <c r="D111" s="224"/>
      <c r="E111" s="224"/>
      <c r="F111" s="224"/>
      <c r="G111" s="224"/>
      <c r="H111" s="224"/>
      <c r="I111" s="224"/>
      <c r="J111" s="224"/>
      <c r="K111" s="224"/>
      <c r="L111" s="224"/>
      <c r="M111" s="224"/>
      <c r="N111" s="224"/>
      <c r="O111" s="224"/>
      <c r="P111" s="224"/>
      <c r="Q111" s="224"/>
      <c r="R111" s="224"/>
      <c r="S111" s="224"/>
      <c r="T111" s="226"/>
    </row>
  </sheetData>
  <sheetProtection algorithmName="SHA-512" hashValue="NyjwB4O3sfIDCkltBuG48I8h29fKkg/zytwChAtEH1L4LTXQXdXODwUxZt+wzeI5G+ax8EdOVADfQxR3EJhbQg==" saltValue="C+kSl0fKR46j3dnx5phtIg==" spinCount="100000" sheet="1" objects="1" scenarios="1"/>
  <protectedRanges>
    <protectedRange sqref="D57:D58" name="Range18"/>
    <protectedRange sqref="E11:E13 E15 E17 E19:E20 F27:H28 D57:D58 F32 G30:H33 E30:F31 E33:F33 G35:H35 G77:I77 F34 I85 K51:K54 E29:H29 D45:G48 I45:J48 L64:Q66 E64:J66 F79:I84" name="Range1"/>
    <protectedRange sqref="E27" name="Range3_1"/>
    <protectedRange sqref="E11:E12" name="Range3"/>
    <protectedRange sqref="G13" name="Range4"/>
    <protectedRange sqref="E15" name="Range5"/>
    <protectedRange sqref="E17:E20" name="Range6"/>
    <protectedRange sqref="E27:E29" name="Range7"/>
    <protectedRange sqref="F27:H28" name="Range8"/>
    <protectedRange sqref="F32:F34" name="Range9"/>
    <protectedRange sqref="D45:G48" name="Range10"/>
    <protectedRange sqref="J51:K54" name="Range11"/>
    <protectedRange sqref="E63:J66" name="Range12"/>
    <protectedRange sqref="L63:Q66" name="Range13"/>
    <protectedRange sqref="F79:I84" name="Range14"/>
    <protectedRange sqref="K79:L79" name="Range15"/>
    <protectedRange sqref="K82:L82" name="Range16"/>
    <protectedRange sqref="K84:L84" name="Range17"/>
  </protectedRanges>
  <mergeCells count="6">
    <mergeCell ref="C27:D27"/>
    <mergeCell ref="I27:X27"/>
    <mergeCell ref="C95:Q95"/>
    <mergeCell ref="C28:D28"/>
    <mergeCell ref="C30:R30"/>
    <mergeCell ref="C94:Q94"/>
  </mergeCells>
  <phoneticPr fontId="43" type="noConversion"/>
  <conditionalFormatting sqref="G12:H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9" r:id="rId1" display="Duration of administrations as per SmPC" xr:uid="{70C73DD3-4E20-4FE6-B042-D5BE210B36F5}"/>
    <hyperlink ref="C101" r:id="rId2" display="Office for National Statistics Population Estimates, England and Wales: mid-2022" xr:uid="{E5307553-7A6C-4E4A-A884-E27CF8AE4772}"/>
    <hyperlink ref="C102" r:id="rId3" xr:uid="{7973B0A5-0DDC-4D6E-A615-7910C6E2CF4A}"/>
    <hyperlink ref="C107" r:id="rId4" xr:uid="{EDC70E40-643A-4353-80EE-8CAA529E12F0}"/>
  </hyperlinks>
  <pageMargins left="0.7" right="0.7" top="0.75" bottom="0.75" header="0.3" footer="0.3"/>
  <pageSetup paperSize="9" scale="49" orientation="portrait" r:id="rId5"/>
  <rowBreaks count="1" manualBreakCount="1">
    <brk id="59" max="12" man="1"/>
  </rowBreaks>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F32</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5AA29EA-C908-4549-8002-5A1D4F65D23C}">
          <x14:formula1>
            <xm:f>payscales!$Q$5:$Q$43</xm:f>
          </x14:formula1>
          <xm:sqref>K79:K84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W80"/>
  <sheetViews>
    <sheetView showGridLines="0" zoomScale="80" zoomScaleNormal="80" workbookViewId="0">
      <selection activeCell="C54" sqref="C54"/>
    </sheetView>
  </sheetViews>
  <sheetFormatPr defaultColWidth="9.36328125" defaultRowHeight="12.5" x14ac:dyDescent="0.25"/>
  <cols>
    <col min="1" max="1" width="3.54296875" style="3" customWidth="1"/>
    <col min="2" max="2" width="35.453125" style="3" customWidth="1"/>
    <col min="3" max="3" width="29.6328125" style="3" bestFit="1" customWidth="1"/>
    <col min="4" max="4" width="11.6328125" style="3" customWidth="1"/>
    <col min="5" max="5" width="11.453125" style="3" customWidth="1"/>
    <col min="6" max="6" width="10.6328125" style="3" customWidth="1"/>
    <col min="7" max="7" width="10.453125" style="3" bestFit="1" customWidth="1"/>
    <col min="8" max="8" width="11.36328125" style="3" customWidth="1"/>
    <col min="9" max="9" width="9.453125" style="3" customWidth="1"/>
    <col min="10" max="10" width="11.453125" style="3" customWidth="1"/>
    <col min="11" max="12" width="10.54296875" style="3" customWidth="1"/>
    <col min="13" max="13" width="23.08984375" style="3" customWidth="1"/>
    <col min="14" max="16" width="12.453125" style="3" customWidth="1"/>
    <col min="17" max="19" width="12.36328125" style="3" customWidth="1"/>
    <col min="20" max="20" width="9.6328125" style="3" customWidth="1"/>
    <col min="21" max="21" width="9.453125" style="3" customWidth="1"/>
    <col min="22" max="16384" width="9.36328125" style="3"/>
  </cols>
  <sheetData>
    <row r="1" spans="1:23" ht="30" customHeight="1" x14ac:dyDescent="0.5">
      <c r="A1" s="191"/>
      <c r="B1" s="495" t="str">
        <f>'Inputs and eligible population'!B1</f>
        <v>Eplontersen for treating hereditary transthyretin amyloidosis</v>
      </c>
      <c r="C1" s="147"/>
      <c r="D1" s="131"/>
      <c r="E1" s="131"/>
      <c r="F1" s="131"/>
      <c r="G1" s="131"/>
      <c r="H1" s="131"/>
      <c r="I1" s="131"/>
      <c r="J1" s="131" t="s">
        <v>734</v>
      </c>
      <c r="K1" s="131" t="s">
        <v>734</v>
      </c>
      <c r="L1" s="131" t="s">
        <v>734</v>
      </c>
      <c r="M1" s="131" t="s">
        <v>734</v>
      </c>
      <c r="N1" s="153"/>
      <c r="O1" s="153"/>
      <c r="P1" s="153"/>
      <c r="Q1" s="191"/>
      <c r="R1" s="191"/>
      <c r="S1" s="191"/>
      <c r="T1" s="191"/>
    </row>
    <row r="2" spans="1:23" ht="26.25" customHeight="1" x14ac:dyDescent="0.5">
      <c r="A2" s="191"/>
      <c r="B2" s="145" t="s">
        <v>42</v>
      </c>
      <c r="C2" s="146" t="s">
        <v>734</v>
      </c>
      <c r="D2" s="131" t="s">
        <v>734</v>
      </c>
      <c r="E2" s="131" t="s">
        <v>734</v>
      </c>
      <c r="F2" s="131" t="s">
        <v>734</v>
      </c>
      <c r="G2" s="131" t="s">
        <v>734</v>
      </c>
      <c r="H2" s="131" t="s">
        <v>734</v>
      </c>
      <c r="I2" s="131" t="s">
        <v>734</v>
      </c>
      <c r="J2" s="131" t="s">
        <v>734</v>
      </c>
      <c r="K2" s="132" t="s">
        <v>734</v>
      </c>
      <c r="L2" s="132"/>
      <c r="M2" s="132"/>
      <c r="N2" s="132"/>
      <c r="O2" s="132"/>
      <c r="P2" s="132"/>
      <c r="Q2" s="191"/>
      <c r="R2" s="191"/>
      <c r="S2" s="191"/>
      <c r="T2" s="191"/>
    </row>
    <row r="3" spans="1:23" ht="14.75" customHeight="1" x14ac:dyDescent="0.5">
      <c r="A3" s="191"/>
      <c r="B3" s="129"/>
      <c r="C3" s="147"/>
      <c r="D3" s="131"/>
      <c r="E3" s="131"/>
      <c r="F3" s="131"/>
      <c r="G3" s="131" t="s">
        <v>734</v>
      </c>
      <c r="H3" s="131" t="s">
        <v>734</v>
      </c>
      <c r="I3" s="131" t="s">
        <v>734</v>
      </c>
      <c r="J3" s="131" t="s">
        <v>734</v>
      </c>
      <c r="K3" s="132" t="s">
        <v>734</v>
      </c>
      <c r="L3" s="132"/>
      <c r="M3" s="132"/>
      <c r="N3" s="132"/>
      <c r="O3" s="132"/>
      <c r="P3" s="132"/>
      <c r="Q3" s="191"/>
      <c r="R3" s="191"/>
      <c r="S3" s="191"/>
      <c r="T3" s="191"/>
    </row>
    <row r="4" spans="1:23" ht="17.25" customHeight="1" x14ac:dyDescent="0.5">
      <c r="A4" s="191"/>
      <c r="B4" t="s">
        <v>735</v>
      </c>
      <c r="C4" s="147"/>
      <c r="D4" s="131"/>
      <c r="E4" s="131"/>
      <c r="F4" s="131"/>
      <c r="G4" s="131" t="s">
        <v>734</v>
      </c>
      <c r="H4" s="131" t="s">
        <v>734</v>
      </c>
      <c r="I4" s="131" t="s">
        <v>734</v>
      </c>
      <c r="J4" s="131" t="s">
        <v>734</v>
      </c>
      <c r="K4" s="132" t="s">
        <v>734</v>
      </c>
      <c r="L4" s="131"/>
      <c r="M4" s="132"/>
      <c r="N4" s="132"/>
      <c r="O4" s="132"/>
      <c r="P4" s="132"/>
      <c r="Q4" s="132"/>
      <c r="R4" s="132"/>
      <c r="S4" s="132"/>
      <c r="T4" s="132"/>
    </row>
    <row r="5" spans="1:23" ht="16.5" customHeight="1" x14ac:dyDescent="0.5">
      <c r="A5" s="191"/>
      <c r="B5" t="s">
        <v>659</v>
      </c>
      <c r="C5" s="147"/>
      <c r="D5" s="131"/>
      <c r="E5" s="131"/>
      <c r="F5" s="131"/>
      <c r="G5" s="131"/>
      <c r="H5" s="131" t="s">
        <v>734</v>
      </c>
      <c r="I5" s="131" t="s">
        <v>734</v>
      </c>
      <c r="J5" s="649"/>
      <c r="K5" s="650"/>
      <c r="L5" s="131"/>
      <c r="M5" s="132"/>
      <c r="N5" s="132"/>
      <c r="O5" s="132"/>
      <c r="P5" s="132"/>
      <c r="Q5" s="132"/>
      <c r="R5" s="132"/>
      <c r="S5" s="132"/>
      <c r="T5" s="132"/>
    </row>
    <row r="6" spans="1:23" ht="20.25" customHeight="1" x14ac:dyDescent="0.5">
      <c r="A6" s="191"/>
      <c r="B6" t="s">
        <v>1049</v>
      </c>
      <c r="C6" s="147"/>
      <c r="D6" s="131"/>
      <c r="E6" s="131"/>
      <c r="F6" s="131"/>
      <c r="G6" s="131"/>
      <c r="H6" s="131"/>
      <c r="I6" s="131"/>
      <c r="J6" s="649"/>
      <c r="K6" s="650"/>
      <c r="L6" s="131"/>
      <c r="M6" s="132"/>
      <c r="N6" s="132"/>
      <c r="O6" s="132"/>
      <c r="P6" s="132"/>
      <c r="Q6" s="132"/>
      <c r="R6" s="132"/>
      <c r="S6" s="132"/>
      <c r="T6" s="132"/>
    </row>
    <row r="7" spans="1:23" ht="14.75" customHeight="1" thickBot="1" x14ac:dyDescent="0.55000000000000004">
      <c r="A7" s="191"/>
      <c r="B7"/>
      <c r="C7" s="147"/>
      <c r="D7" s="131"/>
      <c r="E7" s="131"/>
      <c r="F7" s="131"/>
      <c r="G7" s="131"/>
      <c r="H7" s="131"/>
      <c r="I7" s="131"/>
      <c r="J7" s="131"/>
      <c r="K7" s="132"/>
      <c r="L7" s="131"/>
      <c r="M7" s="132"/>
      <c r="N7" s="132"/>
      <c r="O7" s="132"/>
      <c r="P7" s="132"/>
      <c r="Q7" s="132"/>
      <c r="R7" s="132"/>
      <c r="S7" s="132"/>
      <c r="T7" s="132"/>
    </row>
    <row r="8" spans="1:23" s="241" customFormat="1" ht="14.5" x14ac:dyDescent="0.35">
      <c r="A8" s="243"/>
      <c r="B8" s="239" t="s">
        <v>736</v>
      </c>
      <c r="C8" s="243"/>
      <c r="D8" s="607" t="s">
        <v>737</v>
      </c>
      <c r="E8" s="608"/>
      <c r="F8" s="608"/>
      <c r="G8" s="608"/>
      <c r="H8" s="609"/>
      <c r="I8" s="607" t="s">
        <v>738</v>
      </c>
      <c r="J8" s="608"/>
      <c r="K8" s="608"/>
      <c r="L8" s="608"/>
      <c r="M8" s="608"/>
      <c r="N8" s="608"/>
      <c r="O8" s="608"/>
      <c r="P8" s="608"/>
      <c r="Q8" s="622"/>
      <c r="R8" s="608"/>
      <c r="S8" s="609"/>
      <c r="T8" s="243"/>
      <c r="W8" s="3"/>
    </row>
    <row r="9" spans="1:23" s="241" customFormat="1" ht="49.25" customHeight="1" x14ac:dyDescent="0.35">
      <c r="A9" s="243"/>
      <c r="B9" s="242" t="s">
        <v>739</v>
      </c>
      <c r="C9" s="244" t="s">
        <v>740</v>
      </c>
      <c r="D9" s="610" t="s">
        <v>741</v>
      </c>
      <c r="E9" s="245" t="s">
        <v>742</v>
      </c>
      <c r="F9" s="245" t="s">
        <v>743</v>
      </c>
      <c r="G9" s="245" t="s">
        <v>744</v>
      </c>
      <c r="H9" s="611" t="s">
        <v>745</v>
      </c>
      <c r="I9" s="618" t="s">
        <v>746</v>
      </c>
      <c r="J9" s="242" t="s">
        <v>747</v>
      </c>
      <c r="K9" s="245" t="s">
        <v>748</v>
      </c>
      <c r="L9" s="245" t="s">
        <v>895</v>
      </c>
      <c r="M9" s="245" t="s">
        <v>896</v>
      </c>
      <c r="N9" s="245" t="s">
        <v>749</v>
      </c>
      <c r="O9" s="614" t="s">
        <v>750</v>
      </c>
      <c r="P9" s="614" t="s">
        <v>751</v>
      </c>
      <c r="Q9" s="244" t="s">
        <v>752</v>
      </c>
      <c r="R9" s="242" t="s">
        <v>753</v>
      </c>
      <c r="S9" s="611" t="s">
        <v>754</v>
      </c>
      <c r="T9" s="243"/>
      <c r="W9" s="3"/>
    </row>
    <row r="10" spans="1:23" s="241" customFormat="1" ht="29" x14ac:dyDescent="0.35">
      <c r="A10" s="243"/>
      <c r="B10" s="654" t="s">
        <v>902</v>
      </c>
      <c r="C10" s="687" t="s">
        <v>1014</v>
      </c>
      <c r="D10" s="653" t="s">
        <v>898</v>
      </c>
      <c r="E10" s="655" t="s">
        <v>897</v>
      </c>
      <c r="F10" s="584">
        <v>45</v>
      </c>
      <c r="G10" s="584">
        <v>1</v>
      </c>
      <c r="H10" s="613">
        <f>G10*F10</f>
        <v>45</v>
      </c>
      <c r="I10" s="619">
        <v>45</v>
      </c>
      <c r="J10" s="585" t="s">
        <v>757</v>
      </c>
      <c r="K10" s="585" t="s">
        <v>757</v>
      </c>
      <c r="L10" s="584">
        <f>I10</f>
        <v>45</v>
      </c>
      <c r="M10" s="582">
        <f>'Inputs and eligible population'!E48</f>
        <v>1</v>
      </c>
      <c r="N10" s="588">
        <v>12</v>
      </c>
      <c r="O10" s="582">
        <f>N10*M10*L10</f>
        <v>540</v>
      </c>
      <c r="P10" s="582">
        <f>O10/H10</f>
        <v>12</v>
      </c>
      <c r="Q10" s="586">
        <f>'Inputs and eligible population'!J51</f>
        <v>0</v>
      </c>
      <c r="R10" s="587">
        <f>'Inputs and eligible population'!K51</f>
        <v>0</v>
      </c>
      <c r="S10" s="685">
        <f>Q10*P10</f>
        <v>0</v>
      </c>
      <c r="T10" s="243"/>
      <c r="W10" s="3"/>
    </row>
    <row r="11" spans="1:23" s="241" customFormat="1" ht="14.5" x14ac:dyDescent="0.35">
      <c r="A11" s="243"/>
      <c r="B11" s="603"/>
      <c r="C11" s="246" t="s">
        <v>758</v>
      </c>
      <c r="D11" s="606"/>
      <c r="E11" s="606"/>
      <c r="F11" s="606"/>
      <c r="G11" s="606"/>
      <c r="H11" s="606"/>
      <c r="I11" s="606"/>
      <c r="J11" s="606"/>
      <c r="K11" s="606"/>
      <c r="L11" s="606"/>
      <c r="M11" s="606"/>
      <c r="N11" s="606"/>
      <c r="O11" s="606"/>
      <c r="P11" s="606"/>
      <c r="Q11" s="606"/>
      <c r="R11" s="617"/>
      <c r="S11" s="686">
        <f>S10</f>
        <v>0</v>
      </c>
      <c r="T11" s="243"/>
      <c r="W11" s="3"/>
    </row>
    <row r="12" spans="1:23" s="241" customFormat="1" ht="15" thickBot="1" x14ac:dyDescent="0.4">
      <c r="A12" s="243"/>
      <c r="B12" s="239"/>
      <c r="C12" s="243"/>
      <c r="D12" s="243"/>
      <c r="E12" s="243"/>
      <c r="F12" s="243"/>
      <c r="G12" s="243"/>
      <c r="H12" s="243"/>
      <c r="I12" s="243"/>
      <c r="J12" s="243"/>
      <c r="K12" s="243"/>
      <c r="L12" s="243"/>
      <c r="M12" s="243"/>
      <c r="N12" s="243"/>
      <c r="O12" s="243"/>
      <c r="P12" s="243"/>
      <c r="Q12" s="243"/>
      <c r="R12" s="243"/>
      <c r="S12" s="601"/>
      <c r="T12" s="243"/>
      <c r="W12" s="3"/>
    </row>
    <row r="13" spans="1:23" s="241" customFormat="1" ht="14.5" x14ac:dyDescent="0.35">
      <c r="A13" s="243"/>
      <c r="B13" s="239"/>
      <c r="C13" s="243"/>
      <c r="D13" s="607" t="s">
        <v>737</v>
      </c>
      <c r="E13" s="608"/>
      <c r="F13" s="608"/>
      <c r="G13" s="608"/>
      <c r="H13" s="609"/>
      <c r="I13" s="607" t="s">
        <v>738</v>
      </c>
      <c r="J13" s="622"/>
      <c r="K13" s="622"/>
      <c r="L13" s="622"/>
      <c r="M13" s="622"/>
      <c r="N13" s="622"/>
      <c r="O13" s="622"/>
      <c r="P13" s="622"/>
      <c r="Q13" s="622"/>
      <c r="R13" s="622"/>
      <c r="S13" s="623"/>
      <c r="T13" s="243"/>
      <c r="W13" s="3"/>
    </row>
    <row r="14" spans="1:23" s="241" customFormat="1" ht="29" x14ac:dyDescent="0.35">
      <c r="A14" s="243"/>
      <c r="B14" s="582" t="s">
        <v>899</v>
      </c>
      <c r="C14" s="687" t="s">
        <v>1015</v>
      </c>
      <c r="D14" s="653" t="s">
        <v>898</v>
      </c>
      <c r="E14" s="655" t="s">
        <v>897</v>
      </c>
      <c r="F14" s="584">
        <v>25</v>
      </c>
      <c r="G14" s="584">
        <v>1</v>
      </c>
      <c r="H14" s="613">
        <f>G14*F14</f>
        <v>25</v>
      </c>
      <c r="I14" s="619">
        <v>25</v>
      </c>
      <c r="J14" s="585" t="s">
        <v>757</v>
      </c>
      <c r="K14" s="585" t="s">
        <v>757</v>
      </c>
      <c r="L14" s="584">
        <v>25</v>
      </c>
      <c r="M14" s="582">
        <v>1</v>
      </c>
      <c r="N14" s="589">
        <f>4</f>
        <v>4</v>
      </c>
      <c r="O14" s="615">
        <v>25</v>
      </c>
      <c r="P14" s="615">
        <v>4</v>
      </c>
      <c r="Q14" s="586">
        <f>'Inputs and eligible population'!J52</f>
        <v>0</v>
      </c>
      <c r="R14" s="587">
        <f>'Inputs and eligible population'!K52</f>
        <v>0</v>
      </c>
      <c r="S14" s="685">
        <f>Q14*P14</f>
        <v>0</v>
      </c>
      <c r="T14" s="243"/>
      <c r="W14" s="3"/>
    </row>
    <row r="15" spans="1:23" s="241" customFormat="1" ht="14.5" x14ac:dyDescent="0.35">
      <c r="A15" s="243"/>
      <c r="B15" s="603"/>
      <c r="C15" s="246" t="s">
        <v>758</v>
      </c>
      <c r="D15" s="606"/>
      <c r="E15" s="606"/>
      <c r="F15" s="606"/>
      <c r="G15" s="606"/>
      <c r="H15" s="606"/>
      <c r="I15" s="606"/>
      <c r="J15" s="606"/>
      <c r="K15" s="606"/>
      <c r="L15" s="606"/>
      <c r="M15" s="606"/>
      <c r="N15" s="621"/>
      <c r="O15" s="621"/>
      <c r="P15" s="621"/>
      <c r="Q15" s="606"/>
      <c r="R15" s="617"/>
      <c r="S15" s="686">
        <f>S14</f>
        <v>0</v>
      </c>
      <c r="T15" s="243"/>
      <c r="W15" s="3"/>
    </row>
    <row r="16" spans="1:23" s="241" customFormat="1" ht="15" thickBot="1" x14ac:dyDescent="0.4">
      <c r="A16" s="243"/>
      <c r="B16" s="239"/>
      <c r="C16" s="243"/>
      <c r="D16" s="243"/>
      <c r="E16" s="243"/>
      <c r="F16" s="243"/>
      <c r="G16" s="243"/>
      <c r="H16" s="243"/>
      <c r="I16" s="243"/>
      <c r="J16" s="243"/>
      <c r="K16" s="243"/>
      <c r="L16" s="243"/>
      <c r="M16" s="243"/>
      <c r="N16" s="561"/>
      <c r="O16" s="561"/>
      <c r="P16" s="561"/>
      <c r="Q16" s="243"/>
      <c r="R16" s="243"/>
      <c r="S16" s="601"/>
      <c r="T16" s="243"/>
      <c r="W16" s="3"/>
    </row>
    <row r="17" spans="1:23" s="241" customFormat="1" ht="14.5" x14ac:dyDescent="0.35">
      <c r="A17" s="243"/>
      <c r="B17" s="239"/>
      <c r="C17" s="243"/>
      <c r="D17" s="607" t="s">
        <v>737</v>
      </c>
      <c r="E17" s="608"/>
      <c r="F17" s="608"/>
      <c r="G17" s="608"/>
      <c r="H17" s="609"/>
      <c r="I17" s="607" t="s">
        <v>738</v>
      </c>
      <c r="J17" s="622"/>
      <c r="K17" s="622"/>
      <c r="L17" s="622"/>
      <c r="M17" s="622"/>
      <c r="N17" s="624"/>
      <c r="O17" s="624"/>
      <c r="P17" s="624"/>
      <c r="Q17" s="622"/>
      <c r="R17" s="622"/>
      <c r="S17" s="623"/>
      <c r="T17" s="243"/>
      <c r="W17" s="3"/>
    </row>
    <row r="18" spans="1:23" s="241" customFormat="1" ht="14.5" x14ac:dyDescent="0.35">
      <c r="A18" s="243"/>
      <c r="B18" s="582" t="s">
        <v>894</v>
      </c>
      <c r="C18" s="687" t="s">
        <v>1027</v>
      </c>
      <c r="D18" s="612" t="s">
        <v>755</v>
      </c>
      <c r="E18" s="583" t="s">
        <v>756</v>
      </c>
      <c r="F18" s="584">
        <v>10</v>
      </c>
      <c r="G18" s="584">
        <v>1</v>
      </c>
      <c r="H18" s="613">
        <f>G18*F18</f>
        <v>10</v>
      </c>
      <c r="I18" s="648">
        <v>0.3</v>
      </c>
      <c r="J18" s="585" t="s">
        <v>757</v>
      </c>
      <c r="K18" s="585">
        <v>86.33</v>
      </c>
      <c r="L18" s="584">
        <f>I18*K18</f>
        <v>25.898999999999997</v>
      </c>
      <c r="M18" s="590">
        <f>ROUNDUP(L18/H18,0)</f>
        <v>3</v>
      </c>
      <c r="N18" s="652">
        <f>365.25/(7*3)</f>
        <v>17.392857142857142</v>
      </c>
      <c r="O18" s="651">
        <f>N18*H18</f>
        <v>173.92857142857142</v>
      </c>
      <c r="P18" s="590">
        <f>M18*N18</f>
        <v>52.178571428571431</v>
      </c>
      <c r="Q18" s="586">
        <f>'Inputs and eligible population'!J53</f>
        <v>0</v>
      </c>
      <c r="R18" s="786">
        <f>'Inputs and eligible population'!K53</f>
        <v>0</v>
      </c>
      <c r="S18" s="685">
        <f>Q18*P18</f>
        <v>0</v>
      </c>
      <c r="T18" s="243"/>
      <c r="W18" s="3"/>
    </row>
    <row r="19" spans="1:23" s="241" customFormat="1" ht="14.5" x14ac:dyDescent="0.35">
      <c r="A19" s="243"/>
      <c r="B19" s="243"/>
      <c r="C19" s="246" t="s">
        <v>758</v>
      </c>
      <c r="D19" s="606"/>
      <c r="E19" s="606"/>
      <c r="F19" s="606"/>
      <c r="G19" s="606"/>
      <c r="H19" s="606"/>
      <c r="I19" s="606"/>
      <c r="J19" s="606"/>
      <c r="K19" s="606"/>
      <c r="L19" s="606"/>
      <c r="M19" s="606"/>
      <c r="N19" s="606"/>
      <c r="O19" s="606"/>
      <c r="P19" s="606"/>
      <c r="Q19" s="606"/>
      <c r="R19" s="617"/>
      <c r="S19" s="686">
        <f>SUM(S18:S18)</f>
        <v>0</v>
      </c>
      <c r="T19" s="243"/>
      <c r="W19" s="3"/>
    </row>
    <row r="20" spans="1:23" s="241" customFormat="1" ht="15" thickBot="1" x14ac:dyDescent="0.4">
      <c r="A20" s="243"/>
      <c r="B20" s="243"/>
      <c r="C20" s="243"/>
      <c r="D20" s="243"/>
      <c r="E20" s="243"/>
      <c r="F20" s="243"/>
      <c r="G20" s="243"/>
      <c r="H20" s="243"/>
      <c r="I20" s="243"/>
      <c r="J20" s="243"/>
      <c r="K20" s="243"/>
      <c r="L20" s="243"/>
      <c r="M20" s="243"/>
      <c r="N20" s="243"/>
      <c r="O20" s="243"/>
      <c r="P20" s="243"/>
      <c r="Q20" s="243"/>
      <c r="R20" s="243"/>
      <c r="S20" s="616"/>
      <c r="T20" s="243"/>
      <c r="W20" s="3"/>
    </row>
    <row r="21" spans="1:23" s="241" customFormat="1" ht="14.5" x14ac:dyDescent="0.35">
      <c r="A21" s="243"/>
      <c r="B21" s="239"/>
      <c r="C21" s="243"/>
      <c r="D21" s="607" t="s">
        <v>737</v>
      </c>
      <c r="E21" s="608"/>
      <c r="F21" s="608"/>
      <c r="G21" s="608"/>
      <c r="H21" s="609"/>
      <c r="I21" s="607" t="s">
        <v>738</v>
      </c>
      <c r="J21" s="622"/>
      <c r="K21" s="622"/>
      <c r="L21" s="622"/>
      <c r="M21" s="622"/>
      <c r="N21" s="624"/>
      <c r="O21" s="624"/>
      <c r="P21" s="624"/>
      <c r="Q21" s="622"/>
      <c r="R21" s="622"/>
      <c r="S21" s="623"/>
      <c r="T21" s="243"/>
      <c r="W21" s="3"/>
    </row>
    <row r="22" spans="1:23" s="241" customFormat="1" ht="29" x14ac:dyDescent="0.35">
      <c r="A22" s="243"/>
      <c r="B22" s="582" t="s">
        <v>901</v>
      </c>
      <c r="C22" s="687" t="s">
        <v>891</v>
      </c>
      <c r="D22" s="653" t="s">
        <v>898</v>
      </c>
      <c r="E22" s="655" t="s">
        <v>897</v>
      </c>
      <c r="F22" s="584">
        <v>284</v>
      </c>
      <c r="G22" s="584">
        <v>4</v>
      </c>
      <c r="H22" s="613">
        <f>G22*F22</f>
        <v>1136</v>
      </c>
      <c r="I22" s="619">
        <v>284</v>
      </c>
      <c r="J22" s="585" t="s">
        <v>757</v>
      </c>
      <c r="K22" s="585" t="s">
        <v>757</v>
      </c>
      <c r="L22" s="584">
        <f>I22</f>
        <v>284</v>
      </c>
      <c r="M22" s="582">
        <v>1</v>
      </c>
      <c r="N22" s="589">
        <f>'Inputs and eligible population'!F48</f>
        <v>52</v>
      </c>
      <c r="O22" s="589">
        <f>N22*M22*L22</f>
        <v>14768</v>
      </c>
      <c r="P22" s="582">
        <f>O22/H22</f>
        <v>13</v>
      </c>
      <c r="Q22" s="586">
        <f>'Inputs and eligible population'!J54</f>
        <v>0</v>
      </c>
      <c r="R22" s="587">
        <f>'Inputs and eligible population'!K54</f>
        <v>0</v>
      </c>
      <c r="S22" s="620">
        <f>P22*Q22*(100%+R22)</f>
        <v>0</v>
      </c>
      <c r="T22" s="243"/>
      <c r="W22" s="3"/>
    </row>
    <row r="23" spans="1:23" s="241" customFormat="1" ht="14.5" x14ac:dyDescent="0.35">
      <c r="A23" s="243"/>
      <c r="B23" s="603"/>
      <c r="C23" s="246" t="s">
        <v>758</v>
      </c>
      <c r="D23" s="606"/>
      <c r="E23" s="606"/>
      <c r="F23" s="606"/>
      <c r="G23" s="606"/>
      <c r="H23" s="606"/>
      <c r="I23" s="606"/>
      <c r="J23" s="606"/>
      <c r="K23" s="606"/>
      <c r="L23" s="606"/>
      <c r="M23" s="606"/>
      <c r="N23" s="606"/>
      <c r="O23" s="606"/>
      <c r="P23" s="606"/>
      <c r="Q23" s="606"/>
      <c r="R23" s="617"/>
      <c r="S23" s="686">
        <f>SUM(S22:S22)</f>
        <v>0</v>
      </c>
      <c r="T23" s="243"/>
      <c r="W23" s="3"/>
    </row>
    <row r="24" spans="1:23" s="241" customFormat="1" ht="14.5" x14ac:dyDescent="0.35">
      <c r="A24" s="243"/>
      <c r="B24" s="243"/>
      <c r="C24" s="243"/>
      <c r="D24" s="243"/>
      <c r="E24" s="243"/>
      <c r="F24" s="243"/>
      <c r="G24" s="243"/>
      <c r="H24" s="243"/>
      <c r="I24" s="243"/>
      <c r="J24" s="243"/>
      <c r="K24" s="243"/>
      <c r="L24" s="243"/>
      <c r="M24" s="243"/>
      <c r="N24" s="243"/>
      <c r="O24" s="243"/>
      <c r="P24" s="243"/>
      <c r="Q24" s="243"/>
      <c r="R24" s="243"/>
      <c r="S24" s="616"/>
      <c r="T24" s="243"/>
      <c r="W24" s="3"/>
    </row>
    <row r="25" spans="1:23" s="4" customFormat="1" ht="14.5" x14ac:dyDescent="0.35">
      <c r="A25" s="5"/>
      <c r="B25" s="192" t="s">
        <v>1050</v>
      </c>
      <c r="C25" s="5"/>
      <c r="D25" s="177"/>
      <c r="E25" s="112"/>
      <c r="F25" s="178"/>
      <c r="G25" s="179"/>
      <c r="H25" s="5"/>
      <c r="I25" s="5"/>
      <c r="J25" s="180"/>
      <c r="K25" s="179"/>
      <c r="L25" s="179"/>
      <c r="M25" s="179"/>
      <c r="N25" s="179"/>
      <c r="O25" s="179"/>
      <c r="P25" s="179"/>
      <c r="Q25" s="179"/>
      <c r="R25" s="180"/>
      <c r="S25" s="5"/>
      <c r="T25" s="5"/>
      <c r="W25" s="3"/>
    </row>
    <row r="26" spans="1:23" s="4" customFormat="1" ht="14.5" x14ac:dyDescent="0.3">
      <c r="A26" s="5"/>
      <c r="B26" s="193" t="s">
        <v>759</v>
      </c>
      <c r="C26" s="5"/>
      <c r="D26" s="177"/>
      <c r="E26" s="112"/>
      <c r="F26" s="178"/>
      <c r="G26" s="179"/>
      <c r="H26" s="5"/>
      <c r="I26" s="5"/>
      <c r="J26" s="180"/>
      <c r="K26" s="179"/>
      <c r="L26" s="179"/>
      <c r="M26" s="179"/>
      <c r="N26" s="179"/>
      <c r="O26" s="179"/>
      <c r="P26" s="179"/>
      <c r="Q26" s="179"/>
      <c r="R26" s="180"/>
      <c r="S26" s="5"/>
      <c r="T26" s="5"/>
      <c r="W26" s="3"/>
    </row>
    <row r="27" spans="1:23" s="4" customFormat="1" ht="14.5" x14ac:dyDescent="0.35">
      <c r="A27" s="5"/>
      <c r="B27" s="192" t="s">
        <v>760</v>
      </c>
      <c r="C27" s="5"/>
      <c r="D27" s="177"/>
      <c r="E27" s="112"/>
      <c r="F27" s="178"/>
      <c r="G27" s="179"/>
      <c r="H27" s="5"/>
      <c r="I27" s="5"/>
      <c r="J27" s="180"/>
      <c r="K27" s="179"/>
      <c r="L27" s="179"/>
      <c r="M27" s="179"/>
      <c r="N27" s="179"/>
      <c r="O27" s="179"/>
      <c r="P27" s="179"/>
      <c r="Q27" s="179"/>
      <c r="R27" s="180"/>
      <c r="S27" s="5"/>
      <c r="T27" s="5"/>
      <c r="W27" s="3"/>
    </row>
    <row r="28" spans="1:23" s="4" customFormat="1" ht="14.5" x14ac:dyDescent="0.35">
      <c r="A28" s="5"/>
      <c r="B28" s="410"/>
      <c r="C28" s="5"/>
      <c r="D28" s="177"/>
      <c r="E28" s="112"/>
      <c r="F28" s="178"/>
      <c r="G28" s="179"/>
      <c r="H28" s="5"/>
      <c r="I28" s="5"/>
      <c r="J28" s="180"/>
      <c r="K28" s="179"/>
      <c r="L28" s="179"/>
      <c r="M28" s="179"/>
      <c r="N28" s="179"/>
      <c r="O28" s="179"/>
      <c r="P28" s="179"/>
      <c r="Q28" s="179"/>
      <c r="R28" s="180"/>
      <c r="S28" s="5"/>
      <c r="T28" s="5"/>
      <c r="W28" s="3"/>
    </row>
    <row r="29" spans="1:23" s="4" customFormat="1" ht="14.5" x14ac:dyDescent="0.35">
      <c r="A29" s="5"/>
      <c r="B29" s="239" t="s">
        <v>761</v>
      </c>
      <c r="C29" s="243"/>
      <c r="D29" s="177"/>
      <c r="E29" s="112"/>
      <c r="F29" s="178"/>
      <c r="G29" s="179"/>
      <c r="H29" s="5"/>
      <c r="I29" s="5"/>
      <c r="J29" s="180"/>
      <c r="K29" s="179"/>
      <c r="L29" s="179"/>
      <c r="M29" s="179"/>
      <c r="N29" s="179"/>
      <c r="O29" s="179"/>
      <c r="P29" s="179"/>
      <c r="Q29" s="179"/>
      <c r="R29" s="180"/>
      <c r="S29" s="684" t="s">
        <v>768</v>
      </c>
      <c r="T29" s="5"/>
      <c r="W29" s="3"/>
    </row>
    <row r="30" spans="1:23" s="4" customFormat="1" ht="14.5" x14ac:dyDescent="0.35">
      <c r="A30" s="5"/>
      <c r="B30" s="242" t="s">
        <v>762</v>
      </c>
      <c r="C30" s="244" t="s">
        <v>763</v>
      </c>
      <c r="D30" s="244" t="s">
        <v>764</v>
      </c>
      <c r="E30" s="247" t="s">
        <v>765</v>
      </c>
      <c r="F30" s="407"/>
      <c r="G30" s="408"/>
      <c r="H30" s="409"/>
      <c r="I30" s="408"/>
      <c r="J30" s="409"/>
      <c r="K30" s="408"/>
      <c r="L30" s="409"/>
      <c r="M30" s="408"/>
      <c r="N30" s="412" t="s">
        <v>766</v>
      </c>
      <c r="O30" s="412" t="s">
        <v>948</v>
      </c>
      <c r="P30" s="179"/>
      <c r="Q30" s="179"/>
      <c r="R30" s="180"/>
      <c r="S30" s="429" t="s">
        <v>1017</v>
      </c>
      <c r="T30" s="5"/>
      <c r="W30" s="3"/>
    </row>
    <row r="31" spans="1:23" s="4" customFormat="1" ht="14.5" x14ac:dyDescent="0.35">
      <c r="A31" s="5"/>
      <c r="B31" s="582" t="s">
        <v>1016</v>
      </c>
      <c r="C31" s="591" t="s">
        <v>757</v>
      </c>
      <c r="D31" s="592">
        <v>4</v>
      </c>
      <c r="E31" s="656" t="s">
        <v>908</v>
      </c>
      <c r="F31" s="594"/>
      <c r="G31" s="595"/>
      <c r="H31" s="596"/>
      <c r="I31" s="596"/>
      <c r="J31" s="596"/>
      <c r="K31" s="596"/>
      <c r="L31" s="595"/>
      <c r="M31" s="597"/>
      <c r="N31" s="598"/>
      <c r="O31" s="709"/>
      <c r="P31" s="179"/>
      <c r="Q31" s="179"/>
      <c r="R31" s="180"/>
      <c r="S31" s="429" t="s">
        <v>769</v>
      </c>
      <c r="T31" s="5"/>
      <c r="W31" s="3"/>
    </row>
    <row r="32" spans="1:23" s="4" customFormat="1" ht="14.5" x14ac:dyDescent="0.35">
      <c r="A32" s="5"/>
      <c r="B32" s="582" t="s">
        <v>973</v>
      </c>
      <c r="C32" s="657"/>
      <c r="D32" s="658"/>
      <c r="E32" s="675"/>
      <c r="F32" s="659"/>
      <c r="G32" s="660"/>
      <c r="H32" s="661"/>
      <c r="I32" s="661"/>
      <c r="J32" s="661"/>
      <c r="K32" s="661"/>
      <c r="L32" s="660"/>
      <c r="M32" s="662"/>
      <c r="N32" s="663"/>
      <c r="O32" s="716"/>
      <c r="P32" s="179"/>
      <c r="Q32" s="179"/>
      <c r="R32" s="180"/>
      <c r="S32" s="429" t="s">
        <v>1018</v>
      </c>
      <c r="T32" s="5"/>
      <c r="W32" s="3"/>
    </row>
    <row r="33" spans="1:23" s="4" customFormat="1" ht="14.5" x14ac:dyDescent="0.35">
      <c r="A33" s="5"/>
      <c r="B33" s="665"/>
      <c r="C33" s="591" t="s">
        <v>757</v>
      </c>
      <c r="D33" s="676">
        <f>N18</f>
        <v>17.392857142857142</v>
      </c>
      <c r="E33" s="656" t="s">
        <v>909</v>
      </c>
      <c r="F33" s="667"/>
      <c r="G33" s="667"/>
      <c r="H33" s="667"/>
      <c r="I33" s="667"/>
      <c r="J33" s="667"/>
      <c r="K33" s="668"/>
      <c r="L33" s="669"/>
      <c r="M33" s="670"/>
      <c r="N33" s="598"/>
      <c r="O33" s="717"/>
      <c r="P33" s="179"/>
      <c r="Q33" s="179"/>
      <c r="R33" s="180"/>
      <c r="S33" s="429"/>
      <c r="T33" s="5"/>
      <c r="W33" s="3"/>
    </row>
    <row r="34" spans="1:23" s="4" customFormat="1" ht="27.65" customHeight="1" x14ac:dyDescent="0.35">
      <c r="A34" s="5"/>
      <c r="B34" s="665"/>
      <c r="C34" s="591" t="s">
        <v>757</v>
      </c>
      <c r="D34" s="676">
        <f>D33</f>
        <v>17.392857142857142</v>
      </c>
      <c r="E34" s="787" t="s">
        <v>910</v>
      </c>
      <c r="F34" s="667"/>
      <c r="G34" s="667"/>
      <c r="H34" s="667"/>
      <c r="I34" s="667"/>
      <c r="J34" s="667"/>
      <c r="K34" s="668"/>
      <c r="L34" s="669"/>
      <c r="M34" s="670"/>
      <c r="N34" s="598"/>
      <c r="O34" s="709"/>
      <c r="P34" s="179"/>
      <c r="Q34" s="179"/>
      <c r="R34" s="180"/>
      <c r="S34" s="784" t="s">
        <v>1031</v>
      </c>
      <c r="T34" s="5"/>
      <c r="W34" s="3"/>
    </row>
    <row r="35" spans="1:23" s="4" customFormat="1" ht="14.5" x14ac:dyDescent="0.35">
      <c r="A35" s="5"/>
      <c r="B35" s="665"/>
      <c r="C35" s="591" t="s">
        <v>757</v>
      </c>
      <c r="D35" s="679">
        <f>D33</f>
        <v>17.392857142857142</v>
      </c>
      <c r="E35" s="656" t="s">
        <v>911</v>
      </c>
      <c r="F35" s="667"/>
      <c r="G35" s="667"/>
      <c r="H35" s="667"/>
      <c r="I35" s="667"/>
      <c r="J35" s="667"/>
      <c r="K35" s="668"/>
      <c r="L35" s="669"/>
      <c r="M35" s="670"/>
      <c r="N35" s="598"/>
      <c r="O35" s="709"/>
      <c r="P35" s="179"/>
      <c r="Q35" s="179"/>
      <c r="R35" s="180"/>
      <c r="S35" s="429" t="s">
        <v>773</v>
      </c>
      <c r="T35" s="5"/>
      <c r="W35" s="3"/>
    </row>
    <row r="36" spans="1:23" s="4" customFormat="1" ht="14.5" x14ac:dyDescent="0.35">
      <c r="A36" s="5"/>
      <c r="B36" s="678"/>
      <c r="C36" s="240"/>
      <c r="D36" s="240"/>
      <c r="E36" s="240"/>
      <c r="F36" s="240"/>
      <c r="G36" s="240"/>
      <c r="H36" s="240"/>
      <c r="I36" s="238"/>
      <c r="J36" s="238"/>
      <c r="K36" s="561"/>
      <c r="L36" s="674"/>
      <c r="M36" s="677"/>
      <c r="N36" s="664">
        <f>SUM(N33:N35)</f>
        <v>0</v>
      </c>
      <c r="O36" s="664">
        <f>SUM(O33:O35)</f>
        <v>0</v>
      </c>
      <c r="P36" s="179"/>
      <c r="Q36" s="179"/>
      <c r="R36" s="180"/>
      <c r="S36" s="429" t="s">
        <v>774</v>
      </c>
      <c r="T36" s="5"/>
      <c r="W36" s="3"/>
    </row>
    <row r="37" spans="1:23" s="4" customFormat="1" ht="14.4" customHeight="1" x14ac:dyDescent="0.35">
      <c r="A37" s="5"/>
      <c r="B37" s="671"/>
      <c r="C37" s="672"/>
      <c r="D37" s="672"/>
      <c r="E37" s="672"/>
      <c r="F37" s="672"/>
      <c r="G37" s="672"/>
      <c r="H37" s="672"/>
      <c r="I37" s="666"/>
      <c r="J37" s="666"/>
      <c r="K37" s="673"/>
      <c r="L37" s="674"/>
      <c r="M37" s="677"/>
      <c r="N37" s="664"/>
      <c r="O37" s="716"/>
      <c r="P37" s="179"/>
      <c r="Q37" s="179"/>
      <c r="R37" s="180"/>
      <c r="S37" s="429" t="s">
        <v>775</v>
      </c>
      <c r="T37" s="5"/>
      <c r="W37" s="3"/>
    </row>
    <row r="38" spans="1:23" s="4" customFormat="1" ht="14.5" x14ac:dyDescent="0.35">
      <c r="A38" s="5"/>
      <c r="B38" s="777" t="s">
        <v>1051</v>
      </c>
      <c r="C38" s="591" t="s">
        <v>757</v>
      </c>
      <c r="D38" s="592">
        <v>12</v>
      </c>
      <c r="E38" s="809" t="s">
        <v>912</v>
      </c>
      <c r="F38" s="810"/>
      <c r="G38" s="810"/>
      <c r="H38" s="810"/>
      <c r="I38" s="810"/>
      <c r="J38" s="810"/>
      <c r="K38" s="810"/>
      <c r="L38" s="810"/>
      <c r="M38" s="810"/>
      <c r="N38" s="598">
        <v>50</v>
      </c>
      <c r="O38" s="706"/>
      <c r="P38" s="179"/>
      <c r="Q38" s="179"/>
      <c r="R38" s="180"/>
      <c r="S38" s="429" t="s">
        <v>776</v>
      </c>
      <c r="T38" s="5"/>
      <c r="W38" s="3"/>
    </row>
    <row r="39" spans="1:23" s="4" customFormat="1" ht="14.5" x14ac:dyDescent="0.35">
      <c r="A39" s="5"/>
      <c r="B39" s="632" t="s">
        <v>767</v>
      </c>
      <c r="C39" s="177"/>
      <c r="D39" s="177"/>
      <c r="E39" s="112"/>
      <c r="F39" s="178"/>
      <c r="G39" s="179"/>
      <c r="H39" s="5"/>
      <c r="I39" s="5"/>
      <c r="J39" s="180"/>
      <c r="K39" s="179"/>
      <c r="L39" s="179"/>
      <c r="M39" s="179"/>
      <c r="N39" s="179"/>
      <c r="O39" s="179"/>
      <c r="P39" s="179"/>
      <c r="Q39" s="179"/>
      <c r="R39" s="180"/>
      <c r="S39" s="429" t="s">
        <v>777</v>
      </c>
      <c r="T39" s="5"/>
      <c r="W39" s="3"/>
    </row>
    <row r="40" spans="1:23" s="4" customFormat="1" ht="14.5" x14ac:dyDescent="0.35">
      <c r="A40" s="5"/>
      <c r="B40" s="632"/>
      <c r="C40" s="177"/>
      <c r="D40" s="177"/>
      <c r="E40" s="112"/>
      <c r="F40" s="178"/>
      <c r="G40" s="179"/>
      <c r="H40" s="5"/>
      <c r="I40" s="5"/>
      <c r="J40" s="180"/>
      <c r="K40" s="179"/>
      <c r="L40" s="179"/>
      <c r="M40" s="179"/>
      <c r="N40" s="179"/>
      <c r="O40" s="179"/>
      <c r="P40" s="179"/>
      <c r="Q40" s="179"/>
      <c r="R40" s="180"/>
      <c r="S40" s="429"/>
      <c r="T40" s="5"/>
      <c r="W40" s="3"/>
    </row>
    <row r="41" spans="1:23" s="4" customFormat="1" ht="14.5" x14ac:dyDescent="0.35">
      <c r="A41" s="5"/>
      <c r="B41" s="768" t="s">
        <v>719</v>
      </c>
      <c r="C41" s="177"/>
      <c r="D41" s="177"/>
      <c r="E41" s="112"/>
      <c r="F41" s="178"/>
      <c r="G41" s="179"/>
      <c r="H41" s="5"/>
      <c r="I41" s="5"/>
      <c r="J41" s="180"/>
      <c r="K41" s="179"/>
      <c r="L41" s="179"/>
      <c r="M41" s="179"/>
      <c r="N41" s="179"/>
      <c r="O41" s="179"/>
      <c r="P41" s="179"/>
      <c r="Q41" s="179"/>
      <c r="R41" s="180"/>
      <c r="S41" s="429" t="s">
        <v>778</v>
      </c>
      <c r="T41" s="5"/>
      <c r="W41" s="3"/>
    </row>
    <row r="42" spans="1:23" s="4" customFormat="1" ht="14.5" x14ac:dyDescent="0.35">
      <c r="A42" s="5"/>
      <c r="B42" s="683" t="s">
        <v>926</v>
      </c>
      <c r="C42" s="177"/>
      <c r="D42" s="177"/>
      <c r="E42" s="112"/>
      <c r="F42" s="178"/>
      <c r="G42" s="179"/>
      <c r="H42" s="5"/>
      <c r="I42" s="5"/>
      <c r="J42" s="180"/>
      <c r="K42" s="179"/>
      <c r="L42" s="179"/>
      <c r="M42" s="179"/>
      <c r="N42" s="179"/>
      <c r="O42" s="179"/>
      <c r="P42" s="179"/>
      <c r="Q42" s="179"/>
      <c r="R42" s="180"/>
      <c r="S42" s="429" t="s">
        <v>779</v>
      </c>
      <c r="T42" s="5"/>
      <c r="W42" s="3"/>
    </row>
    <row r="43" spans="1:23" s="4" customFormat="1" ht="14.5" x14ac:dyDescent="0.35">
      <c r="A43" s="5"/>
      <c r="B43" t="s">
        <v>1022</v>
      </c>
      <c r="C43" s="177"/>
      <c r="D43" s="177"/>
      <c r="E43" s="112"/>
      <c r="F43" s="178"/>
      <c r="G43" s="179"/>
      <c r="H43" s="5"/>
      <c r="I43" s="5"/>
      <c r="J43" s="180"/>
      <c r="K43" s="179"/>
      <c r="L43" s="179"/>
      <c r="M43" s="179"/>
      <c r="N43" s="179"/>
      <c r="O43" s="179"/>
      <c r="P43" s="179"/>
      <c r="Q43" s="179"/>
      <c r="R43" s="180"/>
      <c r="S43" s="429" t="s">
        <v>1032</v>
      </c>
      <c r="T43" s="5"/>
      <c r="W43" s="3"/>
    </row>
    <row r="44" spans="1:23" s="4" customFormat="1" ht="14.5" x14ac:dyDescent="0.35">
      <c r="A44" s="5"/>
      <c r="B44" t="s">
        <v>1044</v>
      </c>
      <c r="C44" s="177"/>
      <c r="D44" s="177"/>
      <c r="E44" s="112"/>
      <c r="F44" s="178"/>
      <c r="G44" s="179"/>
      <c r="H44" s="5"/>
      <c r="I44" s="5"/>
      <c r="J44" s="180"/>
      <c r="K44" s="179"/>
      <c r="L44" s="179"/>
      <c r="M44" s="179"/>
      <c r="N44" s="179"/>
      <c r="O44" s="179"/>
      <c r="P44" s="179"/>
      <c r="Q44" s="179"/>
      <c r="R44" s="180"/>
      <c r="S44" s="429" t="s">
        <v>780</v>
      </c>
      <c r="T44" s="5"/>
      <c r="W44" s="3"/>
    </row>
    <row r="45" spans="1:23" s="4" customFormat="1" ht="14.5" x14ac:dyDescent="0.35">
      <c r="A45" s="5"/>
      <c r="B45" t="s">
        <v>920</v>
      </c>
      <c r="C45"/>
      <c r="D45"/>
      <c r="E45"/>
      <c r="F45"/>
      <c r="G45"/>
      <c r="H45"/>
      <c r="I45"/>
      <c r="J45" s="180"/>
      <c r="K45" s="179"/>
      <c r="L45" s="179"/>
      <c r="M45" s="179"/>
      <c r="N45" s="179"/>
      <c r="O45" s="179"/>
      <c r="P45" s="179"/>
      <c r="Q45" s="179"/>
      <c r="R45" s="180"/>
      <c r="S45" s="429" t="s">
        <v>770</v>
      </c>
      <c r="T45" s="5"/>
      <c r="W45" s="3"/>
    </row>
    <row r="46" spans="1:23" s="4" customFormat="1" ht="14.5" x14ac:dyDescent="0.35">
      <c r="A46" s="5"/>
      <c r="B46" t="s">
        <v>921</v>
      </c>
      <c r="C46"/>
      <c r="D46"/>
      <c r="E46"/>
      <c r="F46"/>
      <c r="G46"/>
      <c r="H46"/>
      <c r="I46"/>
      <c r="J46" s="180"/>
      <c r="K46" s="179"/>
      <c r="L46" s="179"/>
      <c r="M46" s="179"/>
      <c r="N46" s="179"/>
      <c r="O46" s="179"/>
      <c r="P46" s="179"/>
      <c r="Q46" s="179"/>
      <c r="R46" s="180"/>
      <c r="S46" s="429" t="s">
        <v>781</v>
      </c>
      <c r="T46" s="5"/>
      <c r="W46" s="3"/>
    </row>
    <row r="47" spans="1:23" s="4" customFormat="1" ht="14.5" x14ac:dyDescent="0.35">
      <c r="A47" s="5"/>
      <c r="B47" t="s">
        <v>922</v>
      </c>
      <c r="C47" s="177"/>
      <c r="D47" s="177"/>
      <c r="E47" s="112"/>
      <c r="F47" s="178"/>
      <c r="G47" s="179"/>
      <c r="H47" s="5"/>
      <c r="I47" s="5"/>
      <c r="J47" s="180"/>
      <c r="K47" s="179"/>
      <c r="L47" s="179"/>
      <c r="M47" s="179"/>
      <c r="N47" s="179"/>
      <c r="O47" s="179"/>
      <c r="P47" s="179"/>
      <c r="Q47" s="179"/>
      <c r="R47" s="180"/>
      <c r="S47" s="429" t="s">
        <v>782</v>
      </c>
      <c r="T47" s="5"/>
      <c r="W47" s="3"/>
    </row>
    <row r="48" spans="1:23" s="4" customFormat="1" ht="15.5" x14ac:dyDescent="0.35">
      <c r="A48" s="5"/>
      <c r="B48" s="767" t="s">
        <v>1045</v>
      </c>
      <c r="C48" s="177"/>
      <c r="D48" s="177"/>
      <c r="E48" s="112"/>
      <c r="F48" s="178"/>
      <c r="G48" s="179"/>
      <c r="H48" s="5"/>
      <c r="I48" s="5"/>
      <c r="J48" s="180"/>
      <c r="K48" s="179"/>
      <c r="L48" s="179"/>
      <c r="M48" s="179"/>
      <c r="N48" s="179"/>
      <c r="O48" s="179"/>
      <c r="P48" s="179"/>
      <c r="Q48" s="179"/>
      <c r="R48" s="180"/>
      <c r="S48" s="430"/>
      <c r="T48" s="5"/>
      <c r="W48" s="3"/>
    </row>
    <row r="49" spans="1:23" s="4" customFormat="1" ht="14.5" x14ac:dyDescent="0.35">
      <c r="A49" s="5"/>
      <c r="B49" s="335" t="s">
        <v>1011</v>
      </c>
      <c r="C49" s="177"/>
      <c r="D49" s="177"/>
      <c r="E49" s="112"/>
      <c r="F49" s="178"/>
      <c r="G49" s="179"/>
      <c r="H49" s="5"/>
      <c r="I49" s="5"/>
      <c r="J49" s="180"/>
      <c r="K49" s="179"/>
      <c r="L49" s="179"/>
      <c r="M49" s="179"/>
      <c r="N49" s="179"/>
      <c r="O49" s="179"/>
      <c r="P49" s="179"/>
      <c r="Q49" s="179"/>
      <c r="R49" s="180"/>
      <c r="S49" s="5"/>
      <c r="T49" s="5"/>
      <c r="W49" s="3"/>
    </row>
    <row r="50" spans="1:23" s="4" customFormat="1" ht="32" customHeight="1" x14ac:dyDescent="0.35">
      <c r="A50" s="5"/>
      <c r="B50" s="808" t="s">
        <v>1046</v>
      </c>
      <c r="C50" s="808"/>
      <c r="D50" s="808"/>
      <c r="E50" s="808"/>
      <c r="F50" s="808"/>
      <c r="G50" s="808"/>
      <c r="H50" s="808"/>
      <c r="I50" s="808"/>
      <c r="J50" s="808"/>
      <c r="K50" s="808"/>
      <c r="L50" s="808"/>
      <c r="M50" s="808"/>
      <c r="N50" s="808"/>
      <c r="O50" s="808"/>
      <c r="P50" s="808"/>
      <c r="Q50" s="808"/>
      <c r="R50" s="180"/>
      <c r="S50" s="5"/>
      <c r="T50" s="5"/>
      <c r="W50" s="3"/>
    </row>
    <row r="51" spans="1:23" s="4" customFormat="1" ht="14.5" x14ac:dyDescent="0.35">
      <c r="A51" s="5"/>
      <c r="B51" s="335"/>
      <c r="C51" s="177"/>
      <c r="D51" s="177"/>
      <c r="E51" s="112"/>
      <c r="F51" s="178"/>
      <c r="G51" s="179"/>
      <c r="H51" s="5"/>
      <c r="I51" s="5"/>
      <c r="J51" s="180"/>
      <c r="K51" s="179"/>
      <c r="L51" s="179"/>
      <c r="M51" s="179"/>
      <c r="N51" s="179"/>
      <c r="O51" s="179"/>
      <c r="P51" s="179"/>
      <c r="Q51" s="179"/>
      <c r="R51" s="180"/>
      <c r="S51" s="5"/>
      <c r="T51" s="5"/>
      <c r="W51" s="3"/>
    </row>
    <row r="52" spans="1:23" s="4" customFormat="1" ht="14.5" x14ac:dyDescent="0.35">
      <c r="A52" s="5"/>
      <c r="B52" s="197" t="s">
        <v>913</v>
      </c>
      <c r="C52"/>
      <c r="D52"/>
      <c r="E52"/>
      <c r="F52" s="178"/>
      <c r="G52" s="179"/>
      <c r="H52" s="5"/>
      <c r="I52" s="5"/>
      <c r="J52" s="180"/>
      <c r="K52" s="179"/>
      <c r="L52" s="179"/>
      <c r="M52" s="179"/>
      <c r="N52" s="179"/>
      <c r="O52" s="179"/>
      <c r="P52" s="179"/>
      <c r="Q52" s="179"/>
      <c r="R52" s="180"/>
      <c r="S52" s="5"/>
      <c r="T52" s="5"/>
      <c r="W52" s="3"/>
    </row>
    <row r="53" spans="1:23" s="4" customFormat="1" ht="14.5" x14ac:dyDescent="0.35">
      <c r="A53" s="5"/>
      <c r="B53" s="680" t="s">
        <v>914</v>
      </c>
      <c r="C53" s="702" t="s">
        <v>915</v>
      </c>
      <c r="D53" s="5"/>
      <c r="E53" s="701"/>
      <c r="F53" s="178"/>
      <c r="G53" s="179"/>
      <c r="H53" s="5"/>
      <c r="I53" s="5"/>
      <c r="J53" s="180"/>
      <c r="K53" s="179"/>
      <c r="L53" s="179"/>
      <c r="M53" s="179"/>
      <c r="N53" s="179"/>
      <c r="O53" s="179"/>
      <c r="P53" s="179"/>
      <c r="Q53" s="179"/>
      <c r="R53" s="180"/>
      <c r="S53" s="5"/>
      <c r="T53" s="5"/>
      <c r="W53" s="3"/>
    </row>
    <row r="54" spans="1:23" s="4" customFormat="1" ht="14.5" x14ac:dyDescent="0.35">
      <c r="A54" s="5"/>
      <c r="B54" s="681" t="s">
        <v>916</v>
      </c>
      <c r="C54" s="703">
        <v>26</v>
      </c>
      <c r="D54" s="5"/>
      <c r="E54" s="601"/>
      <c r="F54" s="178"/>
      <c r="G54" s="179"/>
      <c r="H54" s="5"/>
      <c r="I54" s="5"/>
      <c r="J54" s="180"/>
      <c r="K54" s="179"/>
      <c r="L54" s="179"/>
      <c r="M54" s="179"/>
      <c r="N54" s="179"/>
      <c r="O54" s="179"/>
      <c r="P54" s="179"/>
      <c r="Q54" s="179"/>
      <c r="R54" s="180"/>
      <c r="S54" s="5"/>
      <c r="T54" s="5"/>
      <c r="W54" s="3"/>
    </row>
    <row r="55" spans="1:23" s="4" customFormat="1" ht="14.5" x14ac:dyDescent="0.35">
      <c r="A55" s="5"/>
      <c r="B55" s="681" t="s">
        <v>917</v>
      </c>
      <c r="C55" s="704">
        <v>4</v>
      </c>
      <c r="D55" s="5"/>
      <c r="E55" s="601"/>
      <c r="F55" s="178"/>
      <c r="G55" s="179"/>
      <c r="H55" s="5"/>
      <c r="I55" s="5"/>
      <c r="J55" s="180"/>
      <c r="K55" s="179"/>
      <c r="L55" s="179"/>
      <c r="M55" s="179"/>
      <c r="N55" s="179"/>
      <c r="O55" s="179"/>
      <c r="P55" s="179"/>
      <c r="Q55" s="179"/>
      <c r="R55" s="180"/>
      <c r="S55" s="5"/>
      <c r="T55" s="5"/>
      <c r="W55" s="3"/>
    </row>
    <row r="56" spans="1:23" s="4" customFormat="1" ht="14.5" x14ac:dyDescent="0.35">
      <c r="A56" s="5"/>
      <c r="B56" s="681" t="s">
        <v>918</v>
      </c>
      <c r="C56" s="704">
        <v>4</v>
      </c>
      <c r="D56" s="5"/>
      <c r="E56" s="601"/>
      <c r="F56" s="178"/>
      <c r="G56" s="179"/>
      <c r="H56" s="5"/>
      <c r="I56" s="5"/>
      <c r="J56" s="180"/>
      <c r="K56" s="179"/>
      <c r="L56" s="179"/>
      <c r="M56" s="179"/>
      <c r="N56" s="179"/>
      <c r="O56" s="179"/>
      <c r="P56" s="179"/>
      <c r="Q56" s="179"/>
      <c r="R56" s="180"/>
      <c r="S56" s="5"/>
      <c r="T56" s="5"/>
      <c r="W56" s="3"/>
    </row>
    <row r="57" spans="1:23" s="4" customFormat="1" ht="14.5" x14ac:dyDescent="0.35">
      <c r="A57" s="5"/>
      <c r="B57" s="681" t="s">
        <v>919</v>
      </c>
      <c r="C57" s="704">
        <v>3</v>
      </c>
      <c r="D57" s="5"/>
      <c r="E57" s="601"/>
      <c r="F57" s="178"/>
      <c r="G57" s="179"/>
      <c r="H57" s="5"/>
      <c r="I57" s="5"/>
      <c r="J57" s="180"/>
      <c r="K57" s="179"/>
      <c r="L57" s="179"/>
      <c r="M57" s="179"/>
      <c r="N57" s="179"/>
      <c r="O57" s="179"/>
      <c r="P57" s="179"/>
      <c r="Q57" s="179"/>
      <c r="R57" s="180"/>
      <c r="S57" s="5"/>
      <c r="T57" s="5"/>
      <c r="W57" s="3"/>
    </row>
    <row r="58" spans="1:23" s="4" customFormat="1" ht="14.5" x14ac:dyDescent="0.35">
      <c r="A58" s="5"/>
      <c r="B58"/>
      <c r="C58"/>
      <c r="D58"/>
      <c r="E58" s="616"/>
      <c r="F58" s="178"/>
      <c r="G58" s="179"/>
      <c r="H58" s="5"/>
      <c r="I58" s="5"/>
      <c r="J58" s="180"/>
      <c r="K58" s="179"/>
      <c r="L58" s="179"/>
      <c r="M58" s="179"/>
      <c r="N58" s="179"/>
      <c r="O58" s="179"/>
      <c r="P58" s="179"/>
      <c r="Q58" s="179"/>
      <c r="R58" s="180"/>
      <c r="S58" s="5"/>
      <c r="T58" s="5"/>
      <c r="W58" s="3"/>
    </row>
    <row r="59" spans="1:23" s="4" customFormat="1" ht="14" x14ac:dyDescent="0.3">
      <c r="A59" s="5"/>
      <c r="B59" s="700" t="s">
        <v>938</v>
      </c>
      <c r="C59" s="177"/>
      <c r="D59" s="177"/>
      <c r="E59" s="112"/>
      <c r="F59" s="178"/>
      <c r="G59" s="179"/>
      <c r="H59" s="5"/>
      <c r="I59" s="5"/>
      <c r="J59" s="180"/>
      <c r="K59" s="179"/>
      <c r="L59" s="179"/>
      <c r="M59" s="179"/>
      <c r="N59" s="179"/>
      <c r="O59" s="179"/>
      <c r="P59" s="179"/>
      <c r="Q59" s="179"/>
      <c r="R59" s="180"/>
      <c r="S59" s="5"/>
      <c r="T59" s="5"/>
      <c r="W59" s="3"/>
    </row>
    <row r="60" spans="1:23" s="4" customFormat="1" ht="14.5" x14ac:dyDescent="0.35">
      <c r="A60" s="5"/>
      <c r="B60" s="335" t="s">
        <v>939</v>
      </c>
      <c r="C60" s="177"/>
      <c r="D60" s="177"/>
      <c r="E60" s="112"/>
      <c r="F60" s="178"/>
      <c r="G60" s="179"/>
      <c r="H60" s="5"/>
      <c r="I60" s="5"/>
      <c r="J60" s="180"/>
      <c r="K60" s="179"/>
      <c r="L60" s="179"/>
      <c r="M60" s="179"/>
      <c r="N60" s="179"/>
      <c r="O60" s="179"/>
      <c r="P60" s="179"/>
      <c r="Q60" s="179"/>
      <c r="R60" s="180"/>
      <c r="S60" s="5"/>
      <c r="T60" s="5"/>
      <c r="W60" s="3"/>
    </row>
    <row r="61" spans="1:23" s="4" customFormat="1" ht="14.5" x14ac:dyDescent="0.35">
      <c r="A61" s="5"/>
      <c r="B61" s="705" t="s">
        <v>940</v>
      </c>
      <c r="C61" s="177"/>
      <c r="D61" s="177"/>
      <c r="E61" s="112"/>
      <c r="F61" s="178"/>
      <c r="G61" s="179"/>
      <c r="H61" s="5"/>
      <c r="I61" s="5"/>
      <c r="J61" s="180"/>
      <c r="K61" s="179"/>
      <c r="L61" s="179"/>
      <c r="M61" s="179"/>
      <c r="N61" s="179"/>
      <c r="O61" s="179"/>
      <c r="P61" s="179"/>
      <c r="Q61" s="179"/>
      <c r="R61" s="180"/>
      <c r="S61" s="5"/>
      <c r="T61" s="5"/>
      <c r="W61" s="3"/>
    </row>
    <row r="62" spans="1:23" s="4" customFormat="1" ht="14" x14ac:dyDescent="0.3">
      <c r="A62" s="5"/>
      <c r="B62" s="177"/>
      <c r="C62" s="177"/>
      <c r="D62" s="177"/>
      <c r="E62" s="112"/>
      <c r="F62" s="178"/>
      <c r="G62" s="179"/>
      <c r="H62" s="5"/>
      <c r="I62" s="5"/>
      <c r="J62" s="180"/>
      <c r="K62" s="179"/>
      <c r="L62" s="179"/>
      <c r="M62" s="179"/>
      <c r="N62" s="179"/>
      <c r="O62" s="179"/>
      <c r="P62" s="179"/>
      <c r="Q62" s="179"/>
      <c r="R62" s="180"/>
      <c r="S62" s="5"/>
      <c r="T62" s="5"/>
      <c r="W62" s="3"/>
    </row>
    <row r="63" spans="1:23" s="4" customFormat="1" ht="14.5" x14ac:dyDescent="0.35">
      <c r="A63" s="5"/>
      <c r="B63" s="411" t="s">
        <v>936</v>
      </c>
      <c r="C63" s="177"/>
      <c r="D63" s="177"/>
      <c r="E63" s="112"/>
      <c r="F63" s="178"/>
      <c r="G63" s="179"/>
      <c r="H63" s="5"/>
      <c r="I63" s="5"/>
      <c r="J63" s="180"/>
      <c r="K63" s="179"/>
      <c r="L63" s="179"/>
      <c r="M63" s="179"/>
      <c r="N63" s="179"/>
      <c r="O63" s="179"/>
      <c r="P63" s="179"/>
      <c r="Q63" s="179"/>
      <c r="R63" s="180"/>
      <c r="S63" s="5"/>
      <c r="T63" s="5"/>
      <c r="W63" s="3"/>
    </row>
    <row r="64" spans="1:23" s="4" customFormat="1" ht="14.5" x14ac:dyDescent="0.35">
      <c r="A64" s="5"/>
      <c r="B64" s="242" t="s">
        <v>762</v>
      </c>
      <c r="C64" s="244" t="s">
        <v>763</v>
      </c>
      <c r="D64" s="247" t="s">
        <v>765</v>
      </c>
      <c r="E64" s="406"/>
      <c r="F64" s="407"/>
      <c r="G64" s="408"/>
      <c r="H64" s="409"/>
      <c r="I64" s="408"/>
      <c r="J64" s="409"/>
      <c r="K64" s="408"/>
      <c r="L64" s="409"/>
      <c r="M64" s="408"/>
      <c r="N64" s="412" t="s">
        <v>766</v>
      </c>
      <c r="O64" s="707" t="s">
        <v>944</v>
      </c>
      <c r="P64" s="179"/>
      <c r="Q64" s="179"/>
      <c r="R64" s="180"/>
      <c r="S64" s="5"/>
      <c r="T64" s="5"/>
      <c r="W64" s="3"/>
    </row>
    <row r="65" spans="1:23" s="4" customFormat="1" ht="19.25" customHeight="1" x14ac:dyDescent="0.35">
      <c r="A65" s="5"/>
      <c r="B65" s="582" t="s">
        <v>771</v>
      </c>
      <c r="C65" s="599" t="s">
        <v>1047</v>
      </c>
      <c r="D65" s="811" t="s">
        <v>941</v>
      </c>
      <c r="E65" s="812"/>
      <c r="F65" s="812"/>
      <c r="G65" s="812"/>
      <c r="H65" s="812"/>
      <c r="I65" s="596"/>
      <c r="J65" s="596"/>
      <c r="K65" s="596"/>
      <c r="L65" s="595"/>
      <c r="M65" s="597"/>
      <c r="N65" s="598">
        <v>84</v>
      </c>
      <c r="O65" s="708">
        <f>C54</f>
        <v>26</v>
      </c>
      <c r="P65" s="179"/>
      <c r="Q65" s="179"/>
      <c r="R65" s="180"/>
      <c r="S65" s="5"/>
      <c r="T65" s="5"/>
      <c r="W65" s="3"/>
    </row>
    <row r="66" spans="1:23" s="4" customFormat="1" ht="14.5" x14ac:dyDescent="0.3">
      <c r="A66" s="5"/>
      <c r="B66" s="627" t="s">
        <v>772</v>
      </c>
      <c r="C66" s="5"/>
      <c r="D66" s="177"/>
      <c r="E66" s="112"/>
      <c r="F66" s="178"/>
      <c r="G66" s="179"/>
      <c r="H66" s="5"/>
      <c r="I66" s="5"/>
      <c r="J66" s="180"/>
      <c r="K66" s="179"/>
      <c r="L66" s="179"/>
      <c r="M66" s="179"/>
      <c r="N66" s="179"/>
      <c r="O66" s="179"/>
      <c r="P66" s="179"/>
      <c r="Q66" s="179"/>
      <c r="R66" s="180"/>
      <c r="S66" s="5"/>
      <c r="T66" s="5"/>
      <c r="W66" s="3"/>
    </row>
    <row r="67" spans="1:23" s="4" customFormat="1" ht="14.5" x14ac:dyDescent="0.35">
      <c r="A67" s="5"/>
      <c r="B67" s="192" t="s">
        <v>937</v>
      </c>
      <c r="C67" s="5"/>
      <c r="D67" s="177"/>
      <c r="E67" s="112"/>
      <c r="F67" s="178"/>
      <c r="G67" s="179"/>
      <c r="H67" s="5"/>
      <c r="I67" s="5"/>
      <c r="J67" s="180"/>
      <c r="K67" s="179"/>
      <c r="L67" s="179"/>
      <c r="M67" s="179"/>
      <c r="N67" s="179"/>
      <c r="O67" s="179"/>
      <c r="P67" s="179"/>
      <c r="Q67" s="179"/>
      <c r="R67" s="180"/>
      <c r="S67" s="5"/>
      <c r="T67" s="5"/>
      <c r="W67" s="3"/>
    </row>
    <row r="68" spans="1:23" s="4" customFormat="1" ht="14.5" x14ac:dyDescent="0.35">
      <c r="A68" s="5"/>
      <c r="B68" s="192"/>
      <c r="C68" s="5"/>
      <c r="D68" s="177"/>
      <c r="E68" s="112"/>
      <c r="F68" s="178"/>
      <c r="G68" s="179"/>
      <c r="H68" s="5"/>
      <c r="I68" s="5"/>
      <c r="J68" s="180"/>
      <c r="K68" s="179"/>
      <c r="L68" s="179"/>
      <c r="M68" s="179"/>
      <c r="N68" s="179"/>
      <c r="O68" s="179"/>
      <c r="P68" s="179"/>
      <c r="Q68" s="179"/>
      <c r="R68" s="180"/>
      <c r="S68" s="5"/>
      <c r="T68" s="5"/>
      <c r="W68" s="3"/>
    </row>
    <row r="69" spans="1:23" s="4" customFormat="1" ht="14.5" x14ac:dyDescent="0.35">
      <c r="A69" s="5"/>
      <c r="B69" s="192"/>
      <c r="C69" s="5"/>
      <c r="D69" s="177"/>
      <c r="E69" s="112"/>
      <c r="F69" s="178"/>
      <c r="G69" s="179"/>
      <c r="H69" s="5"/>
      <c r="I69" s="5"/>
      <c r="J69" s="180"/>
      <c r="K69" s="179"/>
      <c r="L69" s="179"/>
      <c r="M69" s="179"/>
      <c r="N69" s="179"/>
      <c r="O69" s="179"/>
      <c r="P69" s="179"/>
      <c r="Q69" s="179"/>
      <c r="R69" s="180"/>
      <c r="S69" s="5"/>
      <c r="T69" s="5"/>
      <c r="W69" s="3"/>
    </row>
    <row r="70" spans="1:23" s="4" customFormat="1" ht="14.5" x14ac:dyDescent="0.35">
      <c r="A70" s="5"/>
      <c r="B70" s="411" t="s">
        <v>942</v>
      </c>
      <c r="C70" s="177"/>
      <c r="D70" s="177"/>
      <c r="E70" s="112"/>
      <c r="F70" s="178"/>
      <c r="G70" s="179"/>
      <c r="H70" s="5"/>
      <c r="I70" s="5"/>
      <c r="J70" s="180"/>
      <c r="K70" s="179"/>
      <c r="L70" s="179"/>
      <c r="M70" s="179"/>
      <c r="N70" s="179"/>
      <c r="O70" s="179"/>
      <c r="P70" s="179"/>
      <c r="Q70" s="179"/>
      <c r="R70" s="180"/>
      <c r="S70" s="5"/>
      <c r="T70" s="5"/>
      <c r="W70" s="3"/>
    </row>
    <row r="71" spans="1:23" s="4" customFormat="1" ht="14.5" x14ac:dyDescent="0.35">
      <c r="A71" s="5"/>
      <c r="B71" s="242" t="s">
        <v>762</v>
      </c>
      <c r="C71" s="244" t="s">
        <v>763</v>
      </c>
      <c r="D71" s="247" t="s">
        <v>765</v>
      </c>
      <c r="E71" s="406"/>
      <c r="F71" s="407"/>
      <c r="G71" s="408"/>
      <c r="H71" s="409"/>
      <c r="I71" s="408"/>
      <c r="J71" s="409"/>
      <c r="K71" s="408"/>
      <c r="L71" s="409"/>
      <c r="M71" s="408"/>
      <c r="N71" s="412" t="s">
        <v>766</v>
      </c>
      <c r="O71" s="707" t="s">
        <v>944</v>
      </c>
      <c r="P71" s="707" t="s">
        <v>955</v>
      </c>
      <c r="Q71" s="179"/>
      <c r="R71" s="180"/>
      <c r="S71" s="5"/>
      <c r="T71" s="5"/>
      <c r="W71" s="3"/>
    </row>
    <row r="72" spans="1:23" s="4" customFormat="1" ht="14.5" x14ac:dyDescent="0.35">
      <c r="A72" s="5"/>
      <c r="B72" s="582" t="s">
        <v>891</v>
      </c>
      <c r="C72" s="599" t="s">
        <v>1048</v>
      </c>
      <c r="D72" s="593" t="s">
        <v>943</v>
      </c>
      <c r="E72" s="600"/>
      <c r="F72" s="594"/>
      <c r="G72" s="595"/>
      <c r="H72" s="596"/>
      <c r="I72" s="596"/>
      <c r="J72" s="596"/>
      <c r="K72" s="596"/>
      <c r="L72" s="595"/>
      <c r="M72" s="597"/>
      <c r="N72" s="598">
        <v>140</v>
      </c>
      <c r="O72" s="709">
        <f>C57</f>
        <v>3</v>
      </c>
      <c r="P72" s="709">
        <f>N72*80%</f>
        <v>112</v>
      </c>
      <c r="Q72" s="179"/>
      <c r="R72" s="180"/>
      <c r="S72" s="5"/>
      <c r="T72" s="5"/>
      <c r="W72" s="3"/>
    </row>
    <row r="73" spans="1:23" s="4" customFormat="1" ht="14.5" x14ac:dyDescent="0.3">
      <c r="A73" s="5"/>
      <c r="B73" s="627" t="s">
        <v>772</v>
      </c>
      <c r="C73" s="5"/>
      <c r="D73" s="177"/>
      <c r="E73" s="112"/>
      <c r="F73" s="178"/>
      <c r="G73" s="179"/>
      <c r="H73" s="5"/>
      <c r="I73" s="5"/>
      <c r="J73" s="180"/>
      <c r="K73" s="179"/>
      <c r="L73" s="179"/>
      <c r="M73" s="179"/>
      <c r="N73" s="179"/>
      <c r="O73" s="179"/>
      <c r="P73" s="179"/>
      <c r="Q73" s="179"/>
      <c r="R73" s="180"/>
      <c r="S73" s="5"/>
      <c r="T73" s="5"/>
      <c r="W73" s="3"/>
    </row>
    <row r="74" spans="1:23" s="4" customFormat="1" ht="14.5" x14ac:dyDescent="0.35">
      <c r="A74" s="5"/>
      <c r="B74" s="721" t="s">
        <v>965</v>
      </c>
      <c r="C74" s="5"/>
      <c r="D74" s="177"/>
      <c r="E74" s="112"/>
      <c r="F74" s="178"/>
      <c r="G74" s="179"/>
      <c r="H74" s="5"/>
      <c r="I74" s="5"/>
      <c r="J74" s="180"/>
      <c r="K74" s="179"/>
      <c r="L74" s="179"/>
      <c r="M74" s="179"/>
      <c r="N74" s="179"/>
      <c r="O74" s="179"/>
      <c r="P74" s="179"/>
      <c r="Q74" s="179"/>
      <c r="R74" s="180"/>
      <c r="S74" s="5"/>
      <c r="T74" s="5"/>
      <c r="W74" s="3"/>
    </row>
    <row r="75" spans="1:23" s="4" customFormat="1" ht="14.5" x14ac:dyDescent="0.35">
      <c r="A75" s="5"/>
      <c r="B75" s="192"/>
      <c r="C75" s="5"/>
      <c r="D75" s="177"/>
      <c r="E75" s="112"/>
      <c r="F75" s="178"/>
      <c r="G75" s="179"/>
      <c r="H75" s="5"/>
      <c r="I75" s="5"/>
      <c r="J75" s="180"/>
      <c r="K75" s="179"/>
      <c r="L75" s="179"/>
      <c r="M75" s="179"/>
      <c r="N75" s="179"/>
      <c r="O75" s="179"/>
      <c r="P75" s="179"/>
      <c r="Q75" s="179"/>
      <c r="R75" s="180"/>
      <c r="S75" s="5"/>
      <c r="T75" s="5"/>
      <c r="W75" s="3"/>
    </row>
    <row r="76" spans="1:23" s="4" customFormat="1" ht="14.5" x14ac:dyDescent="0.35">
      <c r="A76" s="5"/>
      <c r="B76" s="239" t="s">
        <v>783</v>
      </c>
      <c r="C76" s="5"/>
      <c r="D76" s="5"/>
      <c r="E76" s="5"/>
      <c r="F76" s="5"/>
      <c r="G76" s="5"/>
      <c r="H76" s="5"/>
      <c r="I76" s="5"/>
      <c r="J76" s="5"/>
      <c r="K76" s="5"/>
      <c r="L76" s="5"/>
      <c r="M76" s="5"/>
      <c r="N76" s="5"/>
      <c r="O76" s="5"/>
      <c r="P76" s="5"/>
      <c r="Q76" s="179"/>
      <c r="R76" s="5"/>
      <c r="S76" s="5"/>
      <c r="T76" s="5"/>
      <c r="W76" s="3"/>
    </row>
    <row r="77" spans="1:23" s="4" customFormat="1" ht="14.5" x14ac:dyDescent="0.35">
      <c r="A77" s="5"/>
      <c r="B77" t="s">
        <v>923</v>
      </c>
      <c r="C77"/>
      <c r="D77"/>
      <c r="E77"/>
      <c r="F77"/>
      <c r="G77"/>
      <c r="H77"/>
      <c r="I77"/>
      <c r="J77"/>
      <c r="K77"/>
      <c r="L77"/>
      <c r="M77" s="191"/>
      <c r="N77" s="191"/>
      <c r="O77" s="191"/>
      <c r="P77" s="191"/>
      <c r="Q77" s="191"/>
      <c r="R77" s="191"/>
      <c r="S77" s="5"/>
      <c r="T77" s="5"/>
      <c r="W77" s="3"/>
    </row>
    <row r="78" spans="1:23" s="4" customFormat="1" ht="14.5" x14ac:dyDescent="0.35">
      <c r="A78" s="5"/>
      <c r="B78" t="s">
        <v>924</v>
      </c>
      <c r="C78"/>
      <c r="D78"/>
      <c r="E78"/>
      <c r="F78"/>
      <c r="G78"/>
      <c r="H78"/>
      <c r="I78"/>
      <c r="J78"/>
      <c r="K78"/>
      <c r="L78"/>
      <c r="M78" s="191"/>
      <c r="N78" s="191"/>
      <c r="O78" s="191"/>
      <c r="P78" s="191"/>
      <c r="Q78" s="191"/>
      <c r="R78" s="191"/>
      <c r="S78" s="5"/>
      <c r="T78" s="5"/>
      <c r="W78" s="3"/>
    </row>
    <row r="79" spans="1:23" s="4" customFormat="1" ht="14.5" x14ac:dyDescent="0.3">
      <c r="A79" s="5"/>
      <c r="B79" s="682" t="s">
        <v>925</v>
      </c>
      <c r="C79" s="191"/>
      <c r="D79" s="191"/>
      <c r="E79" s="191"/>
      <c r="F79" s="191"/>
      <c r="G79" s="191"/>
      <c r="H79" s="191"/>
      <c r="I79" s="191"/>
      <c r="J79" s="191"/>
      <c r="K79" s="191"/>
      <c r="L79" s="191"/>
      <c r="M79" s="191"/>
      <c r="N79" s="191"/>
      <c r="O79" s="191"/>
      <c r="P79" s="191"/>
      <c r="Q79" s="191"/>
      <c r="R79" s="191"/>
      <c r="S79" s="5"/>
      <c r="T79" s="5"/>
      <c r="W79" s="3"/>
    </row>
    <row r="80" spans="1:23" x14ac:dyDescent="0.25">
      <c r="A80" s="191"/>
      <c r="B80" s="191"/>
      <c r="C80" s="317"/>
      <c r="D80" s="317"/>
      <c r="E80" s="317"/>
      <c r="F80" s="317"/>
      <c r="G80" s="317"/>
      <c r="H80" s="317"/>
      <c r="I80" s="191"/>
      <c r="J80" s="191"/>
      <c r="K80" s="191"/>
      <c r="L80" s="191"/>
      <c r="M80" s="191"/>
      <c r="N80" s="191"/>
      <c r="O80" s="191"/>
      <c r="P80" s="191"/>
      <c r="Q80" s="191"/>
      <c r="R80" s="191"/>
      <c r="S80" s="191"/>
      <c r="T80" s="191"/>
    </row>
  </sheetData>
  <sheetProtection algorithmName="SHA-512" hashValue="NGpPaI1ZJaEse5z7hTw5AmK1jasF9TPZwaUtKppYAhgqzh9JgyHMaBaDw2Q9vn+ns8MKUy3WHthVDz8sEYS9cw==" saltValue="6Zy5wk48euF9+xmACqSwkw==" spinCount="100000" sheet="1" objects="1" scenarios="1"/>
  <protectedRanges>
    <protectedRange sqref="B72:P72" name="Range7"/>
    <protectedRange sqref="B65:O65" name="Range6"/>
    <protectedRange sqref="B31:O38" name="Range5"/>
    <protectedRange sqref="B22:S22" name="Range4"/>
    <protectedRange sqref="B18:S18" name="Range3"/>
    <protectedRange sqref="B14:S14" name="Range2"/>
    <protectedRange sqref="B10:S10" name="Range1"/>
  </protectedRanges>
  <mergeCells count="3">
    <mergeCell ref="E38:M38"/>
    <mergeCell ref="D65:H65"/>
    <mergeCell ref="B50:Q50"/>
  </mergeCells>
  <hyperlinks>
    <hyperlink ref="B25" r:id="rId1" location="National-Tariff-Payment-System" display="https://www.england.nhs.uk/pay-syst/national-tariff/national-tariff-payment-system/#National-Tariff-Payment-System" xr:uid="{07A42822-B2C2-47CD-8645-06CEF4ED32D8}"/>
    <hyperlink ref="B26" r:id="rId2" display="Drug costs from eMIT: online [accessed 09.12.22]" xr:uid="{CC0ACBE2-E3F6-4532-8E07-FCA9B516F166}"/>
    <hyperlink ref="B27" r:id="rId3" display="Drug costs from BNF: online [accessed 22.08.23]" xr:uid="{23B287D2-BC68-4DB2-B3B7-46BC31F7E3BF}"/>
    <hyperlink ref="B39" r:id="rId4" location="National-Tariff-Payment-System" xr:uid="{20EB959E-79F7-4539-9E86-3ADDF93D0860}"/>
    <hyperlink ref="B66" r:id="rId5" location="National-Tariff-Payment-System" xr:uid="{F3BC5873-6E66-475B-821A-EF39B8D5033A}"/>
    <hyperlink ref="B73" r:id="rId6" location="National-Tariff-Payment-System" xr:uid="{9885F19C-CDD8-4680-A296-B6B7F5893CA7}"/>
    <hyperlink ref="B60" r:id="rId7" location="gref" display="https://www.medicines.org.uk/emc/product/10011/smpc - gref" xr:uid="{F040A48E-CCC4-4D55-993A-B39B0A7F3B62}"/>
    <hyperlink ref="B49" r:id="rId8" location=":~:text=Ongoing%20Clinical%20Trials,-The%20open%2Dlabel&amp;text=The%20trial%20enrolled%20adults%20with,of%20140%20weeks%20%5B16%5D." display="https://www.ncbi.nlm.nih.gov/pmc/articles/PMC11101359/ - :~:text=Ongoing%20Clinical%20Trials,-The%20open%2Dlabel&amp;text=The%20trial%20enrolled%20adults%20with,of%20140%20weeks%20%5B16%5D." xr:uid="{08879CCA-6095-4F69-A1F4-0EFFFD36A7D9}"/>
  </hyperlinks>
  <pageMargins left="0.70866141732283472" right="0.70866141732283472" top="0.74803149606299213" bottom="0.74803149606299213" header="0.31496062992125984" footer="0.31496062992125984"/>
  <pageSetup paperSize="9" scale="35"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6"/>
  <sheetViews>
    <sheetView showGridLines="0" topLeftCell="A4" zoomScale="80" zoomScaleNormal="80" zoomScaleSheetLayoutView="80" workbookViewId="0">
      <selection activeCell="B24" sqref="B24"/>
    </sheetView>
  </sheetViews>
  <sheetFormatPr defaultColWidth="8.6328125" defaultRowHeight="14.5" x14ac:dyDescent="0.35"/>
  <cols>
    <col min="1" max="1" width="3.54296875" customWidth="1"/>
    <col min="2" max="2" width="64.90625" style="1" customWidth="1"/>
    <col min="3" max="3" width="12.6328125" style="1" customWidth="1"/>
    <col min="4" max="8" width="12.6328125" customWidth="1"/>
    <col min="9" max="9" width="44.453125" customWidth="1"/>
    <col min="10" max="10" width="11.54296875" customWidth="1"/>
    <col min="11" max="11" width="1.453125" customWidth="1"/>
  </cols>
  <sheetData>
    <row r="1" spans="2:10" ht="30" customHeight="1" x14ac:dyDescent="0.35">
      <c r="B1" s="494" t="str">
        <f>'Inputs and eligible population'!B1</f>
        <v>Eplontersen for treating hereditary transthyretin amyloidosis</v>
      </c>
      <c r="C1" s="144"/>
      <c r="D1" s="141"/>
      <c r="E1" s="141"/>
      <c r="F1" s="141"/>
      <c r="G1" s="141"/>
      <c r="H1" s="141"/>
      <c r="I1" s="141"/>
      <c r="J1" s="141"/>
    </row>
    <row r="2" spans="2:10" ht="30" customHeight="1" x14ac:dyDescent="0.35">
      <c r="B2" s="356" t="s">
        <v>16</v>
      </c>
      <c r="C2" s="141"/>
      <c r="E2" s="127" t="s">
        <v>734</v>
      </c>
      <c r="F2" s="127" t="s">
        <v>734</v>
      </c>
      <c r="G2" s="127" t="s">
        <v>734</v>
      </c>
      <c r="H2" s="127" t="s">
        <v>734</v>
      </c>
      <c r="I2" s="127" t="s">
        <v>734</v>
      </c>
      <c r="J2" s="141"/>
    </row>
    <row r="3" spans="2:10" x14ac:dyDescent="0.35">
      <c r="B3" s="130" t="s">
        <v>734</v>
      </c>
      <c r="C3" s="130"/>
      <c r="D3" s="133" t="s">
        <v>734</v>
      </c>
      <c r="E3" s="133" t="s">
        <v>734</v>
      </c>
      <c r="F3" s="133" t="s">
        <v>734</v>
      </c>
      <c r="G3" s="133" t="s">
        <v>734</v>
      </c>
      <c r="H3" s="133" t="s">
        <v>734</v>
      </c>
      <c r="I3" s="133" t="s">
        <v>734</v>
      </c>
      <c r="J3" s="141"/>
    </row>
    <row r="4" spans="2:10" ht="43.5" x14ac:dyDescent="0.35">
      <c r="B4" s="252" t="s">
        <v>784</v>
      </c>
      <c r="C4" s="234" t="s">
        <v>785</v>
      </c>
      <c r="D4" s="265" t="s">
        <v>677</v>
      </c>
      <c r="E4" s="265" t="s">
        <v>678</v>
      </c>
      <c r="F4" s="266" t="s">
        <v>786</v>
      </c>
      <c r="G4" s="266" t="s">
        <v>787</v>
      </c>
      <c r="H4" s="265" t="s">
        <v>788</v>
      </c>
      <c r="J4" s="141"/>
    </row>
    <row r="5" spans="2:10" s="148" customFormat="1" x14ac:dyDescent="0.35">
      <c r="B5" s="167" t="s">
        <v>789</v>
      </c>
      <c r="C5" s="128">
        <f>'Inputs and eligible population'!F40</f>
        <v>161</v>
      </c>
      <c r="D5" s="128">
        <f>'Inputs and eligible population'!G40</f>
        <v>162.55233100169255</v>
      </c>
      <c r="E5" s="128">
        <f>'Inputs and eligible population'!H40</f>
        <v>164.1196292800237</v>
      </c>
      <c r="F5" s="128">
        <f>'Inputs and eligible population'!I40</f>
        <v>165.70203914659308</v>
      </c>
      <c r="G5" s="128">
        <f>'Inputs and eligible population'!J40</f>
        <v>167.29970630442494</v>
      </c>
      <c r="H5" s="128">
        <f>'Inputs and eligible population'!K40</f>
        <v>168.91277786138403</v>
      </c>
      <c r="I5"/>
      <c r="J5" s="141"/>
    </row>
    <row r="6" spans="2:10" x14ac:dyDescent="0.35">
      <c r="B6" s="254" t="s">
        <v>888</v>
      </c>
      <c r="C6" s="473">
        <f>'Inputs and eligible population'!E63</f>
        <v>0</v>
      </c>
      <c r="D6" s="473">
        <f>'Inputs and eligible population'!F63</f>
        <v>7.3821999999999999E-2</v>
      </c>
      <c r="E6" s="473">
        <f>'Inputs and eligible population'!G63</f>
        <v>0.146234</v>
      </c>
      <c r="F6" s="473">
        <f>'Inputs and eligible population'!H63</f>
        <v>0.21725700000000001</v>
      </c>
      <c r="G6" s="473">
        <f>'Inputs and eligible population'!I63</f>
        <v>0.28691</v>
      </c>
      <c r="H6" s="473">
        <f>'Inputs and eligible population'!J63</f>
        <v>0.355213</v>
      </c>
      <c r="J6" s="141"/>
    </row>
    <row r="7" spans="2:10" x14ac:dyDescent="0.35">
      <c r="B7" s="167" t="s">
        <v>998</v>
      </c>
      <c r="C7" s="128">
        <f>C5*C6</f>
        <v>0</v>
      </c>
      <c r="D7" s="128">
        <f t="shared" ref="D7:H7" si="0">D5*D6</f>
        <v>11.999938179206946</v>
      </c>
      <c r="E7" s="128">
        <f t="shared" si="0"/>
        <v>23.999869868134986</v>
      </c>
      <c r="F7" s="128">
        <f t="shared" si="0"/>
        <v>35.999927918871371</v>
      </c>
      <c r="G7" s="128">
        <f t="shared" si="0"/>
        <v>47.999958735802558</v>
      </c>
      <c r="H7" s="128">
        <f t="shared" si="0"/>
        <v>60.000014562475805</v>
      </c>
      <c r="J7" s="133"/>
    </row>
    <row r="8" spans="2:10" ht="14.75" customHeight="1" x14ac:dyDescent="0.35">
      <c r="B8" s="240"/>
      <c r="C8" s="240"/>
      <c r="D8" s="133"/>
      <c r="E8" s="133"/>
      <c r="F8" s="133"/>
      <c r="G8" s="133"/>
      <c r="H8" s="133"/>
      <c r="J8" s="133"/>
    </row>
    <row r="9" spans="2:10" ht="43.5" x14ac:dyDescent="0.35">
      <c r="B9" s="259" t="s">
        <v>1052</v>
      </c>
      <c r="C9" s="234" t="s">
        <v>785</v>
      </c>
      <c r="D9" s="265" t="s">
        <v>677</v>
      </c>
      <c r="E9" s="265" t="s">
        <v>678</v>
      </c>
      <c r="F9" s="266" t="s">
        <v>786</v>
      </c>
      <c r="G9" s="266" t="s">
        <v>787</v>
      </c>
      <c r="H9" s="265" t="s">
        <v>788</v>
      </c>
      <c r="J9" s="133"/>
    </row>
    <row r="10" spans="2:10" x14ac:dyDescent="0.35">
      <c r="B10" s="328" t="s">
        <v>999</v>
      </c>
      <c r="C10" s="128">
        <f>'Inputs and eligible population'!L64</f>
        <v>156.16999999999999</v>
      </c>
      <c r="D10" s="128">
        <f>'Inputs and eligible population'!M64</f>
        <v>150.55239282248559</v>
      </c>
      <c r="E10" s="128">
        <f>'Inputs and eligible population'!N64</f>
        <v>140.11975941188871</v>
      </c>
      <c r="F10" s="128">
        <f>'Inputs and eligible population'!O64</f>
        <v>129.7021112277217</v>
      </c>
      <c r="G10" s="128">
        <f>'Inputs and eligible population'!P64</f>
        <v>119.29974756862238</v>
      </c>
      <c r="H10" s="128">
        <f>'Inputs and eligible population'!Q64</f>
        <v>108.91276329890822</v>
      </c>
      <c r="J10" s="133"/>
    </row>
    <row r="11" spans="2:10" x14ac:dyDescent="0.35">
      <c r="B11" s="328" t="s">
        <v>1000</v>
      </c>
      <c r="C11" s="128">
        <f>'Inputs and eligible population'!L65</f>
        <v>1.61</v>
      </c>
      <c r="D11" s="128">
        <f>'Inputs and eligible population'!M65</f>
        <v>0</v>
      </c>
      <c r="E11" s="128">
        <f>'Inputs and eligible population'!N65</f>
        <v>0</v>
      </c>
      <c r="F11" s="128">
        <f>'Inputs and eligible population'!O65</f>
        <v>0</v>
      </c>
      <c r="G11" s="128">
        <f>'Inputs and eligible population'!P65</f>
        <v>0</v>
      </c>
      <c r="H11" s="128">
        <f>'Inputs and eligible population'!Q65</f>
        <v>0</v>
      </c>
      <c r="J11" s="133"/>
    </row>
    <row r="12" spans="2:10" x14ac:dyDescent="0.35">
      <c r="B12" s="328" t="s">
        <v>1001</v>
      </c>
      <c r="C12" s="128">
        <f>'Inputs and eligible population'!L66</f>
        <v>3.22</v>
      </c>
      <c r="D12" s="128">
        <f>'Inputs and eligible population'!M66</f>
        <v>0</v>
      </c>
      <c r="E12" s="128">
        <f>'Inputs and eligible population'!N66</f>
        <v>0</v>
      </c>
      <c r="F12" s="128">
        <f>'Inputs and eligible population'!O66</f>
        <v>0</v>
      </c>
      <c r="G12" s="128">
        <f>'Inputs and eligible population'!P66</f>
        <v>0</v>
      </c>
      <c r="H12" s="128">
        <f>'Inputs and eligible population'!Q66</f>
        <v>0</v>
      </c>
      <c r="J12" s="133"/>
    </row>
    <row r="13" spans="2:10" x14ac:dyDescent="0.35">
      <c r="B13" s="260"/>
      <c r="C13" s="181">
        <f>SUM(C10:C12)</f>
        <v>161</v>
      </c>
      <c r="D13" s="181">
        <f t="shared" ref="D13:H13" si="1">SUM(D10:D12)</f>
        <v>150.55239282248559</v>
      </c>
      <c r="E13" s="181">
        <f t="shared" si="1"/>
        <v>140.11975941188871</v>
      </c>
      <c r="F13" s="181">
        <f t="shared" si="1"/>
        <v>129.7021112277217</v>
      </c>
      <c r="G13" s="181">
        <f t="shared" si="1"/>
        <v>119.29974756862238</v>
      </c>
      <c r="H13" s="181">
        <f t="shared" si="1"/>
        <v>108.91276329890822</v>
      </c>
      <c r="J13" s="133"/>
    </row>
    <row r="14" spans="2:10" x14ac:dyDescent="0.35">
      <c r="B14" s="262"/>
      <c r="C14" s="789">
        <f>C13+C7</f>
        <v>161</v>
      </c>
      <c r="D14" s="790">
        <f t="shared" ref="D14:H14" si="2">D13+D7</f>
        <v>162.55233100169252</v>
      </c>
      <c r="E14" s="790">
        <f t="shared" si="2"/>
        <v>164.1196292800237</v>
      </c>
      <c r="F14" s="790">
        <f t="shared" si="2"/>
        <v>165.70203914659308</v>
      </c>
      <c r="G14" s="790">
        <f t="shared" si="2"/>
        <v>167.29970630442494</v>
      </c>
      <c r="H14" s="791">
        <f t="shared" si="2"/>
        <v>168.91277786138403</v>
      </c>
      <c r="I14" s="133"/>
      <c r="J14" s="133"/>
    </row>
    <row r="15" spans="2:10" ht="15" thickBot="1" x14ac:dyDescent="0.4">
      <c r="B15" s="452"/>
      <c r="C15" s="788"/>
      <c r="D15" s="788"/>
      <c r="E15" s="788"/>
      <c r="F15" s="788"/>
      <c r="G15" s="788"/>
      <c r="H15" s="788"/>
      <c r="I15" s="454"/>
      <c r="J15" s="133"/>
    </row>
    <row r="16" spans="2:10" x14ac:dyDescent="0.35">
      <c r="B16" s="262"/>
      <c r="C16" s="262"/>
      <c r="D16" s="319"/>
      <c r="E16" s="319"/>
      <c r="F16" s="319"/>
      <c r="G16" s="319"/>
      <c r="H16" s="319"/>
      <c r="I16" s="133"/>
      <c r="J16" s="133"/>
    </row>
    <row r="17" spans="1:10" ht="43.5" x14ac:dyDescent="0.35">
      <c r="B17" s="255" t="s">
        <v>790</v>
      </c>
      <c r="C17" s="234" t="s">
        <v>785</v>
      </c>
      <c r="D17" s="265" t="s">
        <v>677</v>
      </c>
      <c r="E17" s="265" t="s">
        <v>678</v>
      </c>
      <c r="F17" s="266" t="s">
        <v>786</v>
      </c>
      <c r="G17" s="266" t="s">
        <v>787</v>
      </c>
      <c r="H17" s="265" t="s">
        <v>788</v>
      </c>
      <c r="I17" s="133"/>
      <c r="J17" s="133"/>
    </row>
    <row r="18" spans="1:10" x14ac:dyDescent="0.35">
      <c r="B18" s="285" t="s">
        <v>791</v>
      </c>
      <c r="C18" s="633" t="s">
        <v>792</v>
      </c>
      <c r="D18" s="633" t="s">
        <v>792</v>
      </c>
      <c r="E18" s="633" t="s">
        <v>792</v>
      </c>
      <c r="F18" s="633" t="s">
        <v>792</v>
      </c>
      <c r="G18" s="633" t="s">
        <v>792</v>
      </c>
      <c r="H18" s="633" t="s">
        <v>792</v>
      </c>
      <c r="I18" s="133"/>
      <c r="J18" s="133"/>
    </row>
    <row r="19" spans="1:10" x14ac:dyDescent="0.35">
      <c r="B19" s="261" t="s">
        <v>793</v>
      </c>
      <c r="C19" s="248">
        <f>'Financial impact (cash)'!D30</f>
        <v>0</v>
      </c>
      <c r="D19" s="248">
        <f>'Financial impact (cash)'!E30</f>
        <v>0</v>
      </c>
      <c r="E19" s="248">
        <f>'Financial impact (cash)'!F30</f>
        <v>0</v>
      </c>
      <c r="F19" s="248">
        <f>'Financial impact (cash)'!G30</f>
        <v>0</v>
      </c>
      <c r="G19" s="248">
        <f>'Financial impact (cash)'!H30</f>
        <v>0</v>
      </c>
      <c r="H19" s="248">
        <f>'Financial impact (cash)'!I30</f>
        <v>0</v>
      </c>
      <c r="I19" s="133"/>
      <c r="J19" s="133"/>
    </row>
    <row r="20" spans="1:10" x14ac:dyDescent="0.35">
      <c r="C20" s="78"/>
      <c r="D20" s="195">
        <f>D19-$C$19</f>
        <v>0</v>
      </c>
      <c r="E20" s="195">
        <f>E19-$C$19</f>
        <v>0</v>
      </c>
      <c r="F20" s="195">
        <f>F19-$C$19</f>
        <v>0</v>
      </c>
      <c r="G20" s="195">
        <f>G19-$C$19</f>
        <v>0</v>
      </c>
      <c r="H20" s="195">
        <f>H19-$C$19</f>
        <v>0</v>
      </c>
      <c r="I20" s="413" t="s">
        <v>794</v>
      </c>
      <c r="J20" s="133"/>
    </row>
    <row r="21" spans="1:10" x14ac:dyDescent="0.35">
      <c r="C21" s="88"/>
      <c r="D21" s="195">
        <f>D19-C19</f>
        <v>0</v>
      </c>
      <c r="E21" s="195">
        <f>E19-D19</f>
        <v>0</v>
      </c>
      <c r="F21" s="195">
        <f>F19-E19</f>
        <v>0</v>
      </c>
      <c r="G21" s="195">
        <f>G19-F19</f>
        <v>0</v>
      </c>
      <c r="H21" s="195">
        <f>H19-G19</f>
        <v>0</v>
      </c>
      <c r="I21" s="413" t="s">
        <v>795</v>
      </c>
      <c r="J21" s="133"/>
    </row>
    <row r="22" spans="1:10" x14ac:dyDescent="0.35">
      <c r="B22" s="262"/>
      <c r="C22" s="262"/>
      <c r="D22" s="374"/>
      <c r="E22" s="374"/>
      <c r="F22" s="374"/>
      <c r="G22" s="374"/>
      <c r="H22" s="374"/>
      <c r="J22" s="133"/>
    </row>
    <row r="23" spans="1:10" x14ac:dyDescent="0.35">
      <c r="B23" t="s">
        <v>796</v>
      </c>
      <c r="C23" s="262"/>
      <c r="D23" s="374"/>
      <c r="E23" s="374"/>
      <c r="F23" s="374"/>
      <c r="G23" s="374"/>
      <c r="H23" s="374"/>
      <c r="J23" s="133"/>
    </row>
    <row r="24" spans="1:10" x14ac:dyDescent="0.35">
      <c r="B24" s="560" t="s">
        <v>55</v>
      </c>
      <c r="C24" s="262"/>
      <c r="D24" s="374"/>
      <c r="E24" s="374"/>
      <c r="F24" s="374"/>
      <c r="G24" s="374"/>
      <c r="H24" s="374"/>
      <c r="J24" s="133"/>
    </row>
    <row r="25" spans="1:10" x14ac:dyDescent="0.35">
      <c r="B25" s="262"/>
      <c r="C25" s="262"/>
      <c r="D25" s="374"/>
      <c r="E25" s="374"/>
      <c r="F25" s="374"/>
      <c r="G25" s="374"/>
      <c r="H25" s="374"/>
      <c r="J25" s="133"/>
    </row>
    <row r="26" spans="1:10" ht="43.5" x14ac:dyDescent="0.35">
      <c r="A26" s="374"/>
      <c r="B26" s="255" t="s">
        <v>797</v>
      </c>
      <c r="C26" s="234" t="s">
        <v>785</v>
      </c>
      <c r="D26" s="265" t="s">
        <v>677</v>
      </c>
      <c r="E26" s="265" t="s">
        <v>678</v>
      </c>
      <c r="F26" s="266" t="s">
        <v>786</v>
      </c>
      <c r="G26" s="266" t="s">
        <v>787</v>
      </c>
      <c r="H26" s="265" t="s">
        <v>788</v>
      </c>
      <c r="J26" s="133"/>
    </row>
    <row r="27" spans="1:10" x14ac:dyDescent="0.35">
      <c r="A27" s="374"/>
      <c r="B27" s="285" t="s">
        <v>798</v>
      </c>
      <c r="C27" s="633" t="s">
        <v>792</v>
      </c>
      <c r="D27" s="633" t="s">
        <v>792</v>
      </c>
      <c r="E27" s="633" t="s">
        <v>792</v>
      </c>
      <c r="F27" s="633" t="s">
        <v>792</v>
      </c>
      <c r="G27" s="633" t="s">
        <v>792</v>
      </c>
      <c r="H27" s="633" t="s">
        <v>792</v>
      </c>
      <c r="J27" s="133"/>
    </row>
    <row r="28" spans="1:10" x14ac:dyDescent="0.35">
      <c r="A28" s="374"/>
      <c r="B28" s="261" t="s">
        <v>799</v>
      </c>
      <c r="C28" s="248">
        <f>IF($B$24="national prices",'Capacity (national prices)'!L15,IF($B$24="local prices",'Capacity (local prices)'!L15,0))</f>
        <v>32.752212174999997</v>
      </c>
      <c r="D28" s="248">
        <f>IF($B$24="national prices",'Capacity (national prices)'!M15,IF($B$24="local prices",'Capacity (local prices)'!M15,0))</f>
        <v>25.383133429871069</v>
      </c>
      <c r="E28" s="248">
        <f>IF($B$24="national prices",'Capacity (national prices)'!N15,IF($B$24="local prices",'Capacity (local prices)'!N15,0))</f>
        <v>23.624191436844441</v>
      </c>
      <c r="F28" s="248">
        <f>IF($B$24="national prices",'Capacity (national prices)'!O15,IF($B$24="local prices",'Capacity (local prices)'!O15,0))</f>
        <v>21.867775952993878</v>
      </c>
      <c r="G28" s="248">
        <f>IF($B$24="national prices",'Capacity (national prices)'!P15,IF($B$24="local prices",'Capacity (local prices)'!P15,0))</f>
        <v>20.113937440069733</v>
      </c>
      <c r="H28" s="248">
        <f>IF($B$24="national prices",'Capacity (national prices)'!Q15,IF($B$24="local prices",'Capacity (local prices)'!Q15,0))</f>
        <v>18.362691892195926</v>
      </c>
      <c r="J28" s="133"/>
    </row>
    <row r="29" spans="1:10" x14ac:dyDescent="0.35">
      <c r="A29" s="374"/>
      <c r="C29" s="78"/>
      <c r="D29" s="195">
        <f>D28-$C$28</f>
        <v>-7.3690787451289275</v>
      </c>
      <c r="E29" s="195">
        <f>E28-$C$28</f>
        <v>-9.1280207381555556</v>
      </c>
      <c r="F29" s="195">
        <f>F28-$C$28</f>
        <v>-10.884436222006119</v>
      </c>
      <c r="G29" s="195">
        <f>G28-$C$28</f>
        <v>-12.638274734930263</v>
      </c>
      <c r="H29" s="195">
        <f>H28-$C$28</f>
        <v>-14.389520282804071</v>
      </c>
      <c r="I29" s="413" t="s">
        <v>794</v>
      </c>
      <c r="J29" s="133"/>
    </row>
    <row r="30" spans="1:10" x14ac:dyDescent="0.35">
      <c r="A30" s="374"/>
      <c r="C30" s="88"/>
      <c r="D30" s="195">
        <f>D28-C28</f>
        <v>-7.3690787451289275</v>
      </c>
      <c r="E30" s="195">
        <f>E28-D28</f>
        <v>-1.7589419930266281</v>
      </c>
      <c r="F30" s="195">
        <f>F28-E28</f>
        <v>-1.7564154838505637</v>
      </c>
      <c r="G30" s="195">
        <f>G28-F28</f>
        <v>-1.7538385129241441</v>
      </c>
      <c r="H30" s="195">
        <f>H28-G28</f>
        <v>-1.7512455478738076</v>
      </c>
      <c r="I30" s="413" t="s">
        <v>795</v>
      </c>
      <c r="J30" s="133"/>
    </row>
    <row r="31" spans="1:10" x14ac:dyDescent="0.35">
      <c r="A31" s="374"/>
      <c r="B31" s="374"/>
      <c r="C31" s="374"/>
      <c r="D31" s="374"/>
      <c r="E31" s="374"/>
      <c r="F31" s="374"/>
      <c r="G31" s="374"/>
      <c r="H31" s="374"/>
      <c r="J31" s="133"/>
    </row>
    <row r="32" spans="1:10" ht="43.5" x14ac:dyDescent="0.35">
      <c r="A32" s="374"/>
      <c r="B32" s="255" t="s">
        <v>800</v>
      </c>
      <c r="C32" s="234" t="s">
        <v>785</v>
      </c>
      <c r="D32" s="265" t="s">
        <v>677</v>
      </c>
      <c r="E32" s="265" t="s">
        <v>678</v>
      </c>
      <c r="F32" s="266" t="s">
        <v>786</v>
      </c>
      <c r="G32" s="266" t="s">
        <v>787</v>
      </c>
      <c r="H32" s="265" t="s">
        <v>788</v>
      </c>
      <c r="J32" s="133"/>
    </row>
    <row r="33" spans="2:10" x14ac:dyDescent="0.35">
      <c r="B33" s="285"/>
      <c r="C33" s="633" t="s">
        <v>792</v>
      </c>
      <c r="D33" s="633" t="s">
        <v>792</v>
      </c>
      <c r="E33" s="633" t="s">
        <v>792</v>
      </c>
      <c r="F33" s="633" t="s">
        <v>792</v>
      </c>
      <c r="G33" s="633" t="s">
        <v>792</v>
      </c>
      <c r="H33" s="633" t="s">
        <v>792</v>
      </c>
      <c r="I33" s="133"/>
      <c r="J33" s="133"/>
    </row>
    <row r="34" spans="2:10" x14ac:dyDescent="0.35">
      <c r="B34" s="448" t="s">
        <v>801</v>
      </c>
      <c r="C34" s="467">
        <f>C19+C28</f>
        <v>32.752212174999997</v>
      </c>
      <c r="D34" s="467">
        <f t="shared" ref="D34:H34" si="3">D19+D28</f>
        <v>25.383133429871069</v>
      </c>
      <c r="E34" s="467">
        <f t="shared" si="3"/>
        <v>23.624191436844441</v>
      </c>
      <c r="F34" s="467">
        <f t="shared" si="3"/>
        <v>21.867775952993878</v>
      </c>
      <c r="G34" s="467">
        <f t="shared" si="3"/>
        <v>20.113937440069733</v>
      </c>
      <c r="H34" s="467">
        <f t="shared" si="3"/>
        <v>18.362691892195926</v>
      </c>
      <c r="I34" s="133"/>
      <c r="J34" s="133"/>
    </row>
    <row r="35" spans="2:10" x14ac:dyDescent="0.35">
      <c r="B35" s="447"/>
      <c r="C35" s="449"/>
      <c r="D35" s="450">
        <f>D34-$C$34</f>
        <v>-7.3690787451289275</v>
      </c>
      <c r="E35" s="450">
        <f t="shared" ref="E35:H35" si="4">E34-$C$34</f>
        <v>-9.1280207381555556</v>
      </c>
      <c r="F35" s="450">
        <f t="shared" si="4"/>
        <v>-10.884436222006119</v>
      </c>
      <c r="G35" s="450">
        <f t="shared" si="4"/>
        <v>-12.638274734930263</v>
      </c>
      <c r="H35" s="450">
        <f t="shared" si="4"/>
        <v>-14.389520282804071</v>
      </c>
      <c r="I35" s="413" t="s">
        <v>794</v>
      </c>
      <c r="J35" s="133"/>
    </row>
    <row r="36" spans="2:10" x14ac:dyDescent="0.35">
      <c r="B36" s="447"/>
      <c r="C36" s="449"/>
      <c r="D36" s="451">
        <f>D34-C34</f>
        <v>-7.3690787451289275</v>
      </c>
      <c r="E36" s="451">
        <f>E34-D34</f>
        <v>-1.7589419930266281</v>
      </c>
      <c r="F36" s="451">
        <f>F34-E34</f>
        <v>-1.7564154838505637</v>
      </c>
      <c r="G36" s="451">
        <f>G34-F34</f>
        <v>-1.7538385129241441</v>
      </c>
      <c r="H36" s="451">
        <f>H34-G34</f>
        <v>-1.7512455478738076</v>
      </c>
      <c r="I36" s="413" t="s">
        <v>795</v>
      </c>
      <c r="J36" s="133"/>
    </row>
    <row r="37" spans="2:10" ht="15" thickBot="1" x14ac:dyDescent="0.4">
      <c r="B37" s="452"/>
      <c r="C37" s="452"/>
      <c r="D37" s="453"/>
      <c r="E37" s="453"/>
      <c r="F37" s="453"/>
      <c r="G37" s="453"/>
      <c r="H37" s="453"/>
      <c r="I37" s="454"/>
      <c r="J37" s="133"/>
    </row>
    <row r="38" spans="2:10" x14ac:dyDescent="0.35">
      <c r="B38" s="262"/>
      <c r="C38" s="262"/>
      <c r="D38" s="319"/>
      <c r="E38" s="319"/>
      <c r="F38" s="319"/>
      <c r="G38" s="319"/>
      <c r="H38" s="319"/>
      <c r="I38" s="133"/>
      <c r="J38" s="133"/>
    </row>
    <row r="39" spans="2:10" ht="43.5" x14ac:dyDescent="0.35">
      <c r="B39" s="255" t="s">
        <v>802</v>
      </c>
      <c r="C39" s="440"/>
      <c r="D39" s="265" t="s">
        <v>677</v>
      </c>
      <c r="E39" s="265" t="s">
        <v>678</v>
      </c>
      <c r="F39" s="266" t="s">
        <v>786</v>
      </c>
      <c r="G39" s="266" t="s">
        <v>787</v>
      </c>
      <c r="H39" s="265" t="s">
        <v>788</v>
      </c>
      <c r="I39" s="133"/>
      <c r="J39" s="133"/>
    </row>
    <row r="40" spans="2:10" x14ac:dyDescent="0.35">
      <c r="B40" s="443"/>
      <c r="C40" s="441"/>
      <c r="D40" s="442"/>
      <c r="E40" s="442"/>
      <c r="F40" s="442"/>
      <c r="G40" s="442"/>
      <c r="H40" s="442"/>
      <c r="I40" s="133"/>
      <c r="J40" s="133"/>
    </row>
    <row r="41" spans="2:10" x14ac:dyDescent="0.35">
      <c r="B41" s="255" t="s">
        <v>803</v>
      </c>
      <c r="C41" s="253"/>
      <c r="D41" s="249"/>
      <c r="E41" s="249"/>
      <c r="F41" s="249"/>
      <c r="G41" s="249"/>
      <c r="H41" s="250"/>
      <c r="I41" s="133"/>
      <c r="J41" s="133"/>
    </row>
    <row r="42" spans="2:10" x14ac:dyDescent="0.35">
      <c r="B42" s="257" t="str">
        <f>'Capacity (local prices)'!B10</f>
        <v xml:space="preserve">Home care nurse administrations - number of cycles </v>
      </c>
      <c r="C42" s="258"/>
      <c r="D42" s="181">
        <f>'Capacity (local prices)'!E25</f>
        <v>-50.472928710057658</v>
      </c>
      <c r="E42" s="181">
        <f>'Capacity (local prices)'!F25</f>
        <v>-92.203462352445172</v>
      </c>
      <c r="F42" s="181">
        <f>'Capacity (local prices)'!G25</f>
        <v>-133.8740550891132</v>
      </c>
      <c r="G42" s="181">
        <f>'Capacity (local prices)'!H25</f>
        <v>-175.48350972551049</v>
      </c>
      <c r="H42" s="181">
        <f>'Capacity (local prices)'!I25</f>
        <v>-217.03144680436714</v>
      </c>
      <c r="I42" s="133"/>
      <c r="J42" s="133"/>
    </row>
    <row r="43" spans="2:10" x14ac:dyDescent="0.35">
      <c r="B43" s="255" t="s">
        <v>804</v>
      </c>
      <c r="C43" s="256"/>
      <c r="D43" s="249"/>
      <c r="E43" s="249"/>
      <c r="F43" s="249"/>
      <c r="G43" s="249"/>
      <c r="H43" s="250"/>
      <c r="I43" s="133"/>
      <c r="J43" s="133"/>
    </row>
    <row r="44" spans="2:10" x14ac:dyDescent="0.35">
      <c r="B44" s="257" t="str">
        <f>'Capacity (local prices)'!B29</f>
        <v>Administrations - duration of homecare  administrations (hours)</v>
      </c>
      <c r="C44" s="258"/>
      <c r="D44" s="181">
        <f>'Capacity (local prices)'!E34</f>
        <v>-50.472928710057658</v>
      </c>
      <c r="E44" s="181">
        <f>'Capacity (local prices)'!F34</f>
        <v>-92.203462352445058</v>
      </c>
      <c r="F44" s="181">
        <f>'Capacity (local prices)'!G34</f>
        <v>-133.8740550891132</v>
      </c>
      <c r="G44" s="181">
        <f>'Capacity (local prices)'!H34</f>
        <v>-175.48350972551049</v>
      </c>
      <c r="H44" s="181">
        <f>'Capacity (local prices)'!I34</f>
        <v>-217.03144680436714</v>
      </c>
      <c r="I44" s="133"/>
      <c r="J44" s="133"/>
    </row>
    <row r="45" spans="2:10" x14ac:dyDescent="0.35">
      <c r="B45" s="257" t="s">
        <v>970</v>
      </c>
      <c r="C45" s="258"/>
      <c r="D45" s="181">
        <f>'Capacity (national prices)'!E40</f>
        <v>-83.72</v>
      </c>
      <c r="E45" s="181">
        <f>'Capacity (national prices)'!F40</f>
        <v>-83.72</v>
      </c>
      <c r="F45" s="181">
        <f>'Capacity (national prices)'!G40</f>
        <v>-83.72</v>
      </c>
      <c r="G45" s="181">
        <f>'Capacity (national prices)'!H40</f>
        <v>-83.72</v>
      </c>
      <c r="H45" s="181">
        <f>'Capacity (national prices)'!I40</f>
        <v>-83.72</v>
      </c>
      <c r="I45" s="629"/>
      <c r="J45" s="133"/>
    </row>
    <row r="46" spans="2:10" x14ac:dyDescent="0.35">
      <c r="B46" s="257" t="s">
        <v>971</v>
      </c>
      <c r="C46" s="258"/>
      <c r="D46" s="181">
        <f>'Capacity (local prices)'!E40</f>
        <v>-55.813333333333333</v>
      </c>
      <c r="E46" s="181">
        <f>'Capacity (local prices)'!F40</f>
        <v>-55.813333333333333</v>
      </c>
      <c r="F46" s="181">
        <f>'Capacity (local prices)'!G40</f>
        <v>-55.813333333333333</v>
      </c>
      <c r="G46" s="181">
        <f>'Capacity (local prices)'!H40</f>
        <v>-55.813333333333333</v>
      </c>
      <c r="H46" s="181">
        <f>'Capacity (local prices)'!I40</f>
        <v>-55.813333333333333</v>
      </c>
      <c r="I46" s="133"/>
      <c r="J46" s="133"/>
    </row>
    <row r="47" spans="2:10" x14ac:dyDescent="0.35">
      <c r="I47" s="133"/>
      <c r="J47" s="133"/>
    </row>
    <row r="48" spans="2:10" x14ac:dyDescent="0.35">
      <c r="B48" s="255" t="s">
        <v>805</v>
      </c>
      <c r="C48" s="256"/>
      <c r="D48" s="249"/>
      <c r="E48" s="249"/>
      <c r="F48" s="249"/>
      <c r="G48" s="249"/>
      <c r="H48" s="250"/>
      <c r="I48" s="133"/>
      <c r="J48" s="133"/>
    </row>
    <row r="49" spans="2:14" x14ac:dyDescent="0.35">
      <c r="B49" s="326" t="str">
        <f>'Capacity (local prices)'!B44</f>
        <v>Pharmacy support (preparations)</v>
      </c>
      <c r="C49" s="263"/>
      <c r="D49" s="355">
        <f>'Capacity (local prices)'!E48</f>
        <v>-38.64</v>
      </c>
      <c r="E49" s="355">
        <f>'Capacity (local prices)'!F48</f>
        <v>-38.64</v>
      </c>
      <c r="F49" s="355">
        <f>'Capacity (local prices)'!G48</f>
        <v>-38.64</v>
      </c>
      <c r="G49" s="355">
        <f>'Capacity (local prices)'!H48</f>
        <v>-38.64</v>
      </c>
      <c r="H49" s="355">
        <f>'Capacity (local prices)'!I48</f>
        <v>-38.64</v>
      </c>
      <c r="I49" s="629"/>
      <c r="J49" s="133"/>
    </row>
    <row r="50" spans="2:14" x14ac:dyDescent="0.35">
      <c r="I50" s="133"/>
      <c r="J50" s="133"/>
    </row>
    <row r="51" spans="2:14" x14ac:dyDescent="0.35">
      <c r="B51" s="255" t="s">
        <v>968</v>
      </c>
      <c r="C51" s="256"/>
      <c r="D51" s="249"/>
      <c r="E51" s="249"/>
      <c r="F51" s="249"/>
      <c r="G51" s="249"/>
      <c r="H51" s="250"/>
      <c r="I51" s="133"/>
      <c r="J51" s="133"/>
    </row>
    <row r="52" spans="2:14" x14ac:dyDescent="0.35">
      <c r="B52" s="326" t="str">
        <f>'Capacity (local prices)'!B51</f>
        <v>Appointments with supporting specialty haematology</v>
      </c>
      <c r="C52" s="263"/>
      <c r="D52" s="355">
        <f>'Capacity (local prices)'!E55</f>
        <v>-9.66</v>
      </c>
      <c r="E52" s="355">
        <f>'Capacity (local prices)'!F55</f>
        <v>-9.66</v>
      </c>
      <c r="F52" s="355">
        <f>'Capacity (local prices)'!G55</f>
        <v>-9.66</v>
      </c>
      <c r="G52" s="355">
        <f>'Capacity (local prices)'!H55</f>
        <v>-9.66</v>
      </c>
      <c r="H52" s="355">
        <f>'Capacity (local prices)'!I55</f>
        <v>-9.66</v>
      </c>
      <c r="I52" s="629"/>
      <c r="J52" s="133"/>
    </row>
    <row r="53" spans="2:14" x14ac:dyDescent="0.35">
      <c r="I53" s="133"/>
      <c r="J53" s="133"/>
    </row>
    <row r="54" spans="2:14" x14ac:dyDescent="0.35">
      <c r="D54" s="813"/>
      <c r="E54" s="814"/>
      <c r="F54" s="814"/>
      <c r="G54" s="814"/>
      <c r="H54" s="814"/>
      <c r="I54" s="814"/>
      <c r="J54" s="814"/>
      <c r="K54" s="814"/>
      <c r="L54" s="814"/>
      <c r="M54" s="814"/>
      <c r="N54" s="814"/>
    </row>
    <row r="55" spans="2:14" x14ac:dyDescent="0.35">
      <c r="D55" s="814"/>
      <c r="E55" s="814"/>
      <c r="F55" s="814"/>
      <c r="G55" s="814"/>
      <c r="H55" s="814"/>
      <c r="I55" s="814"/>
      <c r="J55" s="814"/>
      <c r="K55" s="814"/>
      <c r="L55" s="814"/>
      <c r="M55" s="814"/>
      <c r="N55" s="814"/>
    </row>
    <row r="56" spans="2:14" x14ac:dyDescent="0.35">
      <c r="D56" s="813"/>
      <c r="E56" s="814"/>
      <c r="F56" s="814"/>
      <c r="G56" s="814"/>
      <c r="H56" s="814"/>
      <c r="I56" s="814"/>
      <c r="J56" s="814"/>
      <c r="K56" s="814"/>
      <c r="L56" s="814"/>
      <c r="M56" s="814"/>
      <c r="N56" s="814"/>
    </row>
  </sheetData>
  <sheetProtection algorithmName="SHA-512" hashValue="NbDQrhtakC1sWTB6yvLlPpbv8piRDuci/c9gZcRDySKc3achN3wYmz+iFEy0dfURL6zEQKmzzz+sRmh3pO27Cw==" saltValue="bGAWXAQWDWo5HyiNe76Whg==" spinCount="100000" sheet="1" objects="1" scenarios="1"/>
  <protectedRanges>
    <protectedRange sqref="B24" name="Range1"/>
  </protectedRanges>
  <mergeCells count="2">
    <mergeCell ref="D54:N55"/>
    <mergeCell ref="D56:N56"/>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6"/>
  <sheetViews>
    <sheetView showGridLines="0" zoomScale="80" zoomScaleNormal="80" zoomScaleSheetLayoutView="80" workbookViewId="0">
      <selection activeCell="C27" sqref="C27"/>
    </sheetView>
  </sheetViews>
  <sheetFormatPr defaultColWidth="8.6328125" defaultRowHeight="14.5" x14ac:dyDescent="0.35"/>
  <cols>
    <col min="1" max="1" width="3.54296875" customWidth="1"/>
    <col min="2" max="2" width="72.08984375" style="1" customWidth="1"/>
    <col min="3" max="3" width="13.36328125" customWidth="1"/>
    <col min="4" max="8" width="11.54296875" customWidth="1"/>
    <col min="9" max="9" width="10.453125" customWidth="1"/>
    <col min="10" max="12" width="11.453125" bestFit="1" customWidth="1"/>
    <col min="13" max="13" width="11.453125" customWidth="1"/>
    <col min="14" max="14" width="1.54296875" customWidth="1"/>
    <col min="15" max="20" width="10.6328125" customWidth="1"/>
    <col min="22" max="35" width="8.6328125" customWidth="1"/>
  </cols>
  <sheetData>
    <row r="1" spans="2:34" ht="30" customHeight="1" x14ac:dyDescent="0.35">
      <c r="B1" s="494" t="str">
        <f>'Inputs and eligible population'!B1</f>
        <v>Eplontersen for treating hereditary transthyretin amyloidosis</v>
      </c>
      <c r="C1" s="127"/>
      <c r="D1" s="127"/>
      <c r="E1" s="127"/>
      <c r="F1" s="127"/>
      <c r="G1" s="127"/>
      <c r="H1" s="127"/>
      <c r="I1" s="127"/>
      <c r="J1" s="127"/>
      <c r="K1" s="127"/>
      <c r="L1" s="127"/>
      <c r="M1" s="127"/>
      <c r="N1" s="127"/>
      <c r="O1" s="127"/>
      <c r="P1" s="127"/>
      <c r="Q1" s="127"/>
      <c r="R1" s="127"/>
      <c r="S1" s="127"/>
      <c r="T1" s="127"/>
    </row>
    <row r="2" spans="2:34" ht="38.15" customHeight="1" x14ac:dyDescent="0.35">
      <c r="B2" s="353" t="s">
        <v>806</v>
      </c>
      <c r="C2" s="127" t="s">
        <v>734</v>
      </c>
      <c r="D2" s="127" t="s">
        <v>734</v>
      </c>
      <c r="E2" s="127" t="s">
        <v>734</v>
      </c>
      <c r="F2" s="127" t="s">
        <v>734</v>
      </c>
      <c r="G2" s="127" t="s">
        <v>734</v>
      </c>
      <c r="H2" s="127"/>
      <c r="I2" s="127" t="s">
        <v>734</v>
      </c>
      <c r="J2" s="127" t="s">
        <v>734</v>
      </c>
      <c r="K2" s="133"/>
      <c r="L2" s="127"/>
      <c r="M2" s="127"/>
      <c r="N2" s="127"/>
      <c r="O2" s="127"/>
      <c r="P2" s="127"/>
      <c r="Q2" s="127"/>
      <c r="R2" s="127"/>
      <c r="S2" s="127"/>
      <c r="T2" s="127"/>
    </row>
    <row r="3" spans="2:34" x14ac:dyDescent="0.35">
      <c r="B3" s="130" t="s">
        <v>734</v>
      </c>
      <c r="C3" s="133" t="s">
        <v>734</v>
      </c>
      <c r="D3" s="133" t="s">
        <v>734</v>
      </c>
      <c r="E3" s="133" t="s">
        <v>734</v>
      </c>
      <c r="F3" s="133" t="s">
        <v>734</v>
      </c>
      <c r="G3" s="133" t="s">
        <v>734</v>
      </c>
      <c r="H3" s="133" t="s">
        <v>734</v>
      </c>
      <c r="I3" s="133" t="s">
        <v>734</v>
      </c>
      <c r="J3" s="133" t="s">
        <v>734</v>
      </c>
      <c r="K3" s="133"/>
      <c r="L3" s="133"/>
      <c r="M3" s="133"/>
      <c r="N3" s="133"/>
      <c r="O3" s="133"/>
      <c r="P3" s="133"/>
      <c r="Q3" s="133"/>
      <c r="R3" s="133"/>
      <c r="S3" s="133"/>
      <c r="T3" s="133"/>
    </row>
    <row r="4" spans="2:34" s="238" customFormat="1" x14ac:dyDescent="0.35">
      <c r="B4" s="243" t="s">
        <v>807</v>
      </c>
      <c r="F4" s="133"/>
      <c r="G4" s="133"/>
      <c r="H4" s="133"/>
      <c r="I4" s="133"/>
      <c r="J4" s="133" t="s">
        <v>734</v>
      </c>
      <c r="K4" s="133"/>
      <c r="L4" s="133"/>
      <c r="M4" s="133"/>
      <c r="N4" s="133"/>
      <c r="O4" s="133"/>
      <c r="P4" s="133"/>
      <c r="Q4" s="133"/>
      <c r="R4" s="133"/>
      <c r="S4" s="133"/>
      <c r="T4" s="133"/>
    </row>
    <row r="5" spans="2:34" s="238" customFormat="1" x14ac:dyDescent="0.35">
      <c r="B5" s="243" t="s">
        <v>808</v>
      </c>
      <c r="F5" s="133"/>
      <c r="G5" s="133"/>
      <c r="H5" s="133"/>
      <c r="I5" s="133"/>
      <c r="J5" s="133"/>
      <c r="K5" s="133"/>
      <c r="L5" s="133"/>
      <c r="M5" s="133"/>
      <c r="N5" s="133"/>
      <c r="O5" s="133"/>
      <c r="P5" s="133"/>
      <c r="Q5" s="133"/>
      <c r="R5" s="133"/>
      <c r="S5" s="133"/>
      <c r="T5" s="133"/>
    </row>
    <row r="6" spans="2:34" s="238" customFormat="1" x14ac:dyDescent="0.35">
      <c r="B6" s="243"/>
      <c r="C6" s="133" t="s">
        <v>734</v>
      </c>
      <c r="D6" s="133" t="s">
        <v>734</v>
      </c>
      <c r="E6" s="133"/>
      <c r="F6" s="133"/>
      <c r="G6" s="133"/>
      <c r="H6" s="133"/>
      <c r="I6" s="133" t="s">
        <v>734</v>
      </c>
      <c r="J6" s="133" t="s">
        <v>734</v>
      </c>
      <c r="K6" s="133"/>
      <c r="L6" s="133"/>
      <c r="M6" s="133"/>
      <c r="N6" s="133"/>
      <c r="O6" s="133"/>
      <c r="P6" s="133"/>
      <c r="Q6" s="133"/>
      <c r="R6" s="133"/>
      <c r="S6" s="133"/>
      <c r="T6" s="133"/>
    </row>
    <row r="7" spans="2:34" s="238" customFormat="1" ht="43.5" x14ac:dyDescent="0.35">
      <c r="B7" s="252" t="s">
        <v>789</v>
      </c>
      <c r="C7" s="264"/>
      <c r="D7" s="386" t="s">
        <v>809</v>
      </c>
      <c r="E7" s="265" t="s">
        <v>677</v>
      </c>
      <c r="F7" s="265" t="s">
        <v>678</v>
      </c>
      <c r="G7" s="266" t="s">
        <v>786</v>
      </c>
      <c r="H7" s="266" t="s">
        <v>787</v>
      </c>
      <c r="I7" s="265" t="s">
        <v>788</v>
      </c>
      <c r="K7" s="133"/>
      <c r="L7" s="133"/>
      <c r="N7" s="133"/>
      <c r="O7" s="133"/>
      <c r="P7" s="133"/>
      <c r="Q7" s="133"/>
      <c r="R7" s="133"/>
      <c r="S7" s="133"/>
      <c r="T7" s="133"/>
    </row>
    <row r="8" spans="2:34" s="238" customFormat="1" x14ac:dyDescent="0.35">
      <c r="B8" s="232" t="s">
        <v>789</v>
      </c>
      <c r="C8" s="711"/>
      <c r="D8" s="712">
        <f>'Inputs and eligible population'!F40</f>
        <v>161</v>
      </c>
      <c r="E8" s="713">
        <f>'Inputs and eligible population'!G40</f>
        <v>162.55233100169255</v>
      </c>
      <c r="F8" s="713">
        <f>'Inputs and eligible population'!H40</f>
        <v>164.1196292800237</v>
      </c>
      <c r="G8" s="713">
        <f>'Inputs and eligible population'!I40</f>
        <v>165.70203914659308</v>
      </c>
      <c r="H8" s="713">
        <f>'Inputs and eligible population'!J40</f>
        <v>167.29970630442494</v>
      </c>
      <c r="I8" s="713">
        <f>'Inputs and eligible population'!K40</f>
        <v>168.91277786138403</v>
      </c>
      <c r="K8" s="133"/>
      <c r="L8" s="133"/>
      <c r="N8" s="133"/>
      <c r="O8" s="133"/>
      <c r="P8" s="133"/>
      <c r="Q8" s="133"/>
      <c r="R8" s="133"/>
      <c r="S8" s="133"/>
      <c r="T8" s="133"/>
    </row>
    <row r="9" spans="2:34" s="238" customFormat="1" x14ac:dyDescent="0.35">
      <c r="B9" s="232" t="s">
        <v>1002</v>
      </c>
      <c r="C9" s="711"/>
      <c r="D9" s="712"/>
      <c r="E9" s="713"/>
      <c r="F9" s="713"/>
      <c r="G9" s="713"/>
      <c r="H9" s="713"/>
      <c r="I9" s="713"/>
      <c r="K9" s="133"/>
      <c r="L9" s="133"/>
      <c r="N9" s="133"/>
      <c r="O9" s="133"/>
      <c r="P9" s="133"/>
      <c r="Q9" s="133"/>
      <c r="R9" s="133"/>
      <c r="S9" s="133"/>
      <c r="T9" s="133"/>
    </row>
    <row r="10" spans="2:34" s="238" customFormat="1" x14ac:dyDescent="0.35">
      <c r="B10" s="232" t="s">
        <v>1003</v>
      </c>
      <c r="C10" s="711"/>
      <c r="D10" s="712">
        <f>D8-D11</f>
        <v>138</v>
      </c>
      <c r="E10" s="759">
        <f t="shared" ref="E10:I10" si="0">E8-E11</f>
        <v>139.33056943002219</v>
      </c>
      <c r="F10" s="759">
        <f t="shared" si="0"/>
        <v>140.67396795430602</v>
      </c>
      <c r="G10" s="759">
        <f t="shared" si="0"/>
        <v>142.03031926850835</v>
      </c>
      <c r="H10" s="759">
        <f t="shared" si="0"/>
        <v>143.39974826093567</v>
      </c>
      <c r="I10" s="759">
        <f t="shared" si="0"/>
        <v>144.78238102404345</v>
      </c>
      <c r="K10" s="133"/>
      <c r="L10" s="133"/>
      <c r="N10" s="133"/>
      <c r="O10" s="133"/>
      <c r="P10" s="133"/>
      <c r="Q10" s="133"/>
      <c r="R10" s="133"/>
      <c r="S10" s="133"/>
      <c r="T10" s="133"/>
    </row>
    <row r="11" spans="2:34" s="238" customFormat="1" x14ac:dyDescent="0.35">
      <c r="B11" s="232" t="s">
        <v>1004</v>
      </c>
      <c r="C11" s="711"/>
      <c r="D11" s="714">
        <v>23</v>
      </c>
      <c r="E11" s="713">
        <f>$D$11*'Inputs and eligible population'!G37</f>
        <v>23.221761571670363</v>
      </c>
      <c r="F11" s="713">
        <f>$D$11*'Inputs and eligible population'!H37</f>
        <v>23.445661325717673</v>
      </c>
      <c r="G11" s="713">
        <f>$D$11*'Inputs and eligible population'!I37</f>
        <v>23.671719878084726</v>
      </c>
      <c r="H11" s="713">
        <f>$D$11*'Inputs and eligible population'!J37</f>
        <v>23.899958043489278</v>
      </c>
      <c r="I11" s="713">
        <f>$D$11*'Inputs and eligible population'!K37</f>
        <v>24.130396837340577</v>
      </c>
      <c r="K11" s="133"/>
      <c r="L11" s="133"/>
      <c r="N11" s="133"/>
      <c r="O11" s="133"/>
      <c r="P11" s="133"/>
      <c r="Q11" s="133"/>
      <c r="R11" s="133"/>
      <c r="S11" s="133"/>
      <c r="T11" s="133"/>
    </row>
    <row r="12" spans="2:34" s="148" customFormat="1" x14ac:dyDescent="0.35">
      <c r="B12" s="221" t="s">
        <v>789</v>
      </c>
      <c r="C12" s="182"/>
      <c r="D12" s="181">
        <f>SUM(D10:D11)</f>
        <v>161</v>
      </c>
      <c r="E12" s="181">
        <f t="shared" ref="E12:I12" si="1">SUM(E10:E11)</f>
        <v>162.55233100169255</v>
      </c>
      <c r="F12" s="181">
        <f t="shared" si="1"/>
        <v>164.1196292800237</v>
      </c>
      <c r="G12" s="181">
        <f t="shared" si="1"/>
        <v>165.70203914659308</v>
      </c>
      <c r="H12" s="181">
        <f t="shared" si="1"/>
        <v>167.29970630442494</v>
      </c>
      <c r="I12" s="181">
        <f t="shared" si="1"/>
        <v>168.91277786138403</v>
      </c>
      <c r="K12" s="133"/>
      <c r="L12" s="133"/>
    </row>
    <row r="13" spans="2:34" s="148" customFormat="1" x14ac:dyDescent="0.35">
      <c r="B13" t="s">
        <v>1005</v>
      </c>
      <c r="C13" s="760"/>
      <c r="D13" s="339"/>
      <c r="E13" s="339"/>
      <c r="F13" s="339"/>
      <c r="G13" s="339"/>
      <c r="H13" s="339"/>
      <c r="I13" s="339"/>
      <c r="K13" s="133"/>
      <c r="L13" s="133"/>
    </row>
    <row r="14" spans="2:34" s="238" customFormat="1" x14ac:dyDescent="0.35">
      <c r="B14" s="240" t="s">
        <v>734</v>
      </c>
      <c r="C14" s="133" t="s">
        <v>734</v>
      </c>
      <c r="D14" s="133" t="s">
        <v>734</v>
      </c>
      <c r="E14" s="133" t="s">
        <v>734</v>
      </c>
      <c r="F14" s="133" t="s">
        <v>734</v>
      </c>
      <c r="G14" s="133" t="s">
        <v>734</v>
      </c>
      <c r="H14" s="133"/>
      <c r="I14" s="133"/>
      <c r="K14" s="133"/>
      <c r="L14" s="133"/>
      <c r="N14" s="133"/>
      <c r="O14" s="133"/>
      <c r="P14" s="133"/>
      <c r="Q14" s="133"/>
      <c r="R14" s="133"/>
      <c r="S14" s="133"/>
      <c r="T14" s="133"/>
      <c r="AD14" s="267"/>
      <c r="AE14" s="267"/>
      <c r="AF14" s="267"/>
      <c r="AG14" s="267"/>
      <c r="AH14" s="267"/>
    </row>
    <row r="15" spans="2:34" s="238" customFormat="1" x14ac:dyDescent="0.35">
      <c r="B15" s="322" t="s">
        <v>791</v>
      </c>
      <c r="C15" s="323"/>
      <c r="D15" s="324"/>
      <c r="E15" s="324"/>
      <c r="F15" s="324"/>
      <c r="G15" s="324"/>
      <c r="H15" s="324"/>
      <c r="I15" s="325"/>
      <c r="K15" s="133"/>
      <c r="L15" s="133"/>
      <c r="N15" s="133"/>
      <c r="O15" s="133"/>
      <c r="P15" s="133"/>
      <c r="Q15" s="133"/>
      <c r="R15" s="133"/>
      <c r="S15" s="133"/>
      <c r="T15" s="133"/>
    </row>
    <row r="16" spans="2:34" s="238" customFormat="1" x14ac:dyDescent="0.35">
      <c r="B16" s="240"/>
      <c r="C16" s="133"/>
      <c r="D16" s="133"/>
      <c r="E16" s="133"/>
      <c r="F16" s="133"/>
      <c r="G16" s="133"/>
      <c r="H16" s="133"/>
      <c r="I16" s="133"/>
      <c r="N16" s="133"/>
      <c r="O16" s="133"/>
      <c r="P16" s="133"/>
      <c r="Q16" s="133"/>
      <c r="R16" s="133"/>
      <c r="S16" s="133"/>
      <c r="T16" s="133"/>
      <c r="AD16" s="267"/>
      <c r="AE16" s="267"/>
      <c r="AF16" s="267"/>
      <c r="AG16" s="267"/>
      <c r="AH16" s="267"/>
    </row>
    <row r="17" spans="2:34" s="238" customFormat="1" x14ac:dyDescent="0.35">
      <c r="B17" s="273" t="s">
        <v>810</v>
      </c>
      <c r="C17" s="268"/>
      <c r="D17" s="183"/>
      <c r="E17" s="183"/>
      <c r="F17" s="183"/>
      <c r="G17" s="183"/>
      <c r="H17" s="183"/>
      <c r="I17" s="184"/>
      <c r="N17" s="133"/>
      <c r="O17" s="133"/>
      <c r="P17" s="133"/>
      <c r="Q17" s="133"/>
      <c r="R17" s="133"/>
      <c r="S17" s="133"/>
      <c r="T17" s="133"/>
    </row>
    <row r="18" spans="2:34" s="238" customFormat="1" x14ac:dyDescent="0.35">
      <c r="B18" s="347" t="s">
        <v>1012</v>
      </c>
      <c r="C18" s="711"/>
      <c r="D18" s="712"/>
      <c r="E18" s="759"/>
      <c r="F18" s="759"/>
      <c r="G18" s="759"/>
      <c r="H18" s="759"/>
      <c r="I18" s="759"/>
      <c r="K18" s="133"/>
      <c r="L18" s="133"/>
      <c r="N18" s="133"/>
      <c r="O18" s="133"/>
      <c r="P18" s="133"/>
      <c r="Q18" s="133"/>
      <c r="R18" s="133"/>
      <c r="S18" s="133"/>
      <c r="T18" s="133"/>
    </row>
    <row r="19" spans="2:34" s="238" customFormat="1" x14ac:dyDescent="0.35">
      <c r="B19" s="330" t="s">
        <v>892</v>
      </c>
      <c r="C19" s="331"/>
      <c r="D19" s="269">
        <f>'Inputs and eligible population'!L63</f>
        <v>0</v>
      </c>
      <c r="E19" s="269">
        <f>'Inputs and eligible population'!M63</f>
        <v>11.999938179206946</v>
      </c>
      <c r="F19" s="269">
        <f>'Inputs and eligible population'!N63</f>
        <v>23.999869868134986</v>
      </c>
      <c r="G19" s="269">
        <f>'Inputs and eligible population'!O63</f>
        <v>35.999927918871371</v>
      </c>
      <c r="H19" s="269">
        <f>'Inputs and eligible population'!P63</f>
        <v>47.999958735802558</v>
      </c>
      <c r="I19" s="269">
        <f>'Inputs and eligible population'!Q63</f>
        <v>60.000014562475805</v>
      </c>
      <c r="N19" s="133"/>
      <c r="O19" s="133"/>
      <c r="P19" s="133"/>
      <c r="Q19" s="133"/>
      <c r="R19" s="133"/>
      <c r="S19" s="133"/>
      <c r="T19" s="133"/>
      <c r="V19" s="267"/>
      <c r="W19" s="267"/>
      <c r="X19" s="267"/>
      <c r="Y19" s="267"/>
      <c r="Z19" s="267"/>
      <c r="AA19" s="267"/>
      <c r="AC19" s="267"/>
      <c r="AD19" s="267"/>
      <c r="AE19" s="267"/>
      <c r="AF19" s="267"/>
      <c r="AG19" s="267"/>
      <c r="AH19" s="267"/>
    </row>
    <row r="20" spans="2:34" s="238" customFormat="1" x14ac:dyDescent="0.35">
      <c r="B20" s="330" t="s">
        <v>889</v>
      </c>
      <c r="C20" s="762"/>
      <c r="D20" s="269">
        <f>'Inputs and eligible population'!L64</f>
        <v>156.16999999999999</v>
      </c>
      <c r="E20" s="269">
        <f>'Inputs and eligible population'!M64</f>
        <v>150.55239282248559</v>
      </c>
      <c r="F20" s="269">
        <f>'Inputs and eligible population'!N64</f>
        <v>140.11975941188871</v>
      </c>
      <c r="G20" s="269">
        <f>'Inputs and eligible population'!O64</f>
        <v>129.7021112277217</v>
      </c>
      <c r="H20" s="269">
        <f>'Inputs and eligible population'!P64</f>
        <v>119.29974756862238</v>
      </c>
      <c r="I20" s="269">
        <f>'Inputs and eligible population'!Q64</f>
        <v>108.91276329890822</v>
      </c>
      <c r="N20" s="133"/>
      <c r="O20" s="133"/>
      <c r="P20" s="133"/>
      <c r="Q20" s="133"/>
      <c r="R20" s="133"/>
      <c r="S20" s="133"/>
      <c r="T20" s="133"/>
      <c r="V20" s="267"/>
      <c r="W20" s="267"/>
      <c r="X20" s="267"/>
      <c r="Y20" s="267"/>
      <c r="Z20" s="267"/>
      <c r="AA20" s="267"/>
      <c r="AC20" s="267"/>
      <c r="AD20" s="267"/>
      <c r="AE20" s="267"/>
      <c r="AF20" s="267"/>
      <c r="AG20" s="267"/>
      <c r="AH20" s="267"/>
    </row>
    <row r="21" spans="2:34" s="238" customFormat="1" x14ac:dyDescent="0.35">
      <c r="B21" s="330" t="s">
        <v>890</v>
      </c>
      <c r="C21" s="762"/>
      <c r="D21" s="269">
        <f>'Inputs and eligible population'!L65</f>
        <v>1.61</v>
      </c>
      <c r="E21" s="269">
        <f>'Inputs and eligible population'!M65</f>
        <v>0</v>
      </c>
      <c r="F21" s="269">
        <f>'Inputs and eligible population'!N65</f>
        <v>0</v>
      </c>
      <c r="G21" s="269">
        <f>'Inputs and eligible population'!O65</f>
        <v>0</v>
      </c>
      <c r="H21" s="269">
        <f>'Inputs and eligible population'!P65</f>
        <v>0</v>
      </c>
      <c r="I21" s="269">
        <f>'Inputs and eligible population'!Q65</f>
        <v>0</v>
      </c>
      <c r="N21" s="133"/>
      <c r="O21" s="133"/>
      <c r="P21" s="133"/>
      <c r="Q21" s="133"/>
      <c r="R21" s="133"/>
      <c r="S21" s="133"/>
      <c r="T21" s="133"/>
      <c r="V21" s="267"/>
      <c r="W21" s="267"/>
      <c r="X21" s="267"/>
      <c r="Y21" s="267"/>
      <c r="Z21" s="267"/>
      <c r="AA21" s="267"/>
      <c r="AC21" s="267"/>
      <c r="AD21" s="267"/>
      <c r="AE21" s="267"/>
      <c r="AF21" s="267"/>
      <c r="AG21" s="267"/>
      <c r="AH21" s="267"/>
    </row>
    <row r="22" spans="2:34" s="238" customFormat="1" x14ac:dyDescent="0.35">
      <c r="B22" s="330" t="s">
        <v>891</v>
      </c>
      <c r="C22" s="762"/>
      <c r="D22" s="269">
        <f>'Inputs and eligible population'!L66</f>
        <v>3.22</v>
      </c>
      <c r="E22" s="269">
        <f>'Inputs and eligible population'!M66</f>
        <v>0</v>
      </c>
      <c r="F22" s="269">
        <f>'Inputs and eligible population'!N66</f>
        <v>0</v>
      </c>
      <c r="G22" s="269">
        <f>'Inputs and eligible population'!O66</f>
        <v>0</v>
      </c>
      <c r="H22" s="269">
        <f>'Inputs and eligible population'!P66</f>
        <v>0</v>
      </c>
      <c r="I22" s="269">
        <f>'Inputs and eligible population'!Q66</f>
        <v>0</v>
      </c>
      <c r="N22" s="133"/>
      <c r="O22" s="133"/>
      <c r="P22" s="133"/>
      <c r="Q22" s="133"/>
      <c r="R22" s="133"/>
      <c r="S22" s="133"/>
      <c r="T22" s="133"/>
      <c r="V22" s="267"/>
      <c r="W22" s="267"/>
      <c r="X22" s="267"/>
      <c r="Y22" s="267"/>
      <c r="Z22" s="267"/>
      <c r="AA22" s="267"/>
      <c r="AC22" s="267"/>
      <c r="AD22" s="267"/>
      <c r="AE22" s="267"/>
      <c r="AF22" s="267"/>
      <c r="AG22" s="267"/>
      <c r="AH22" s="267"/>
    </row>
    <row r="23" spans="2:34" s="238" customFormat="1" x14ac:dyDescent="0.35">
      <c r="B23" s="274" t="s">
        <v>966</v>
      </c>
      <c r="C23" s="602"/>
      <c r="D23" s="185">
        <f>SUM(D19:D22)</f>
        <v>161</v>
      </c>
      <c r="E23" s="185">
        <f t="shared" ref="E23:I23" si="2">SUM(E19:E22)</f>
        <v>162.55233100169252</v>
      </c>
      <c r="F23" s="185">
        <f t="shared" si="2"/>
        <v>164.1196292800237</v>
      </c>
      <c r="G23" s="185">
        <f t="shared" si="2"/>
        <v>165.70203914659308</v>
      </c>
      <c r="H23" s="185">
        <f t="shared" si="2"/>
        <v>167.29970630442494</v>
      </c>
      <c r="I23" s="185">
        <f t="shared" si="2"/>
        <v>168.91277786138403</v>
      </c>
      <c r="L23" s="723"/>
      <c r="N23" s="133"/>
      <c r="O23" s="133"/>
      <c r="P23" s="133"/>
      <c r="Q23" s="133"/>
      <c r="R23" s="133"/>
      <c r="S23" s="133"/>
      <c r="T23" s="133"/>
      <c r="V23" s="267"/>
      <c r="W23" s="267"/>
      <c r="X23" s="267"/>
      <c r="Y23" s="267"/>
      <c r="Z23" s="267"/>
      <c r="AA23" s="267"/>
      <c r="AC23" s="267"/>
      <c r="AD23" s="267"/>
      <c r="AE23" s="267"/>
      <c r="AF23" s="267"/>
      <c r="AG23" s="267"/>
      <c r="AH23" s="267"/>
    </row>
    <row r="24" spans="2:34" s="238" customFormat="1" x14ac:dyDescent="0.35">
      <c r="B24" s="275"/>
      <c r="C24" s="133"/>
      <c r="D24" s="133"/>
      <c r="E24" s="769"/>
      <c r="F24" s="769"/>
      <c r="G24" s="769"/>
      <c r="H24" s="769"/>
      <c r="I24" s="769"/>
      <c r="N24" s="133"/>
      <c r="O24" s="133"/>
      <c r="P24" s="133"/>
      <c r="Q24" s="133"/>
      <c r="R24" s="133"/>
      <c r="S24" s="133"/>
      <c r="T24" s="133"/>
      <c r="AD24" s="267"/>
      <c r="AE24" s="267"/>
      <c r="AF24" s="267"/>
      <c r="AG24" s="267"/>
      <c r="AH24" s="267"/>
    </row>
    <row r="25" spans="2:34" s="238" customFormat="1" x14ac:dyDescent="0.35">
      <c r="B25" s="276" t="s">
        <v>811</v>
      </c>
      <c r="C25" s="270" t="s">
        <v>812</v>
      </c>
      <c r="D25" s="633" t="s">
        <v>792</v>
      </c>
      <c r="E25" s="633" t="s">
        <v>792</v>
      </c>
      <c r="F25" s="633" t="s">
        <v>792</v>
      </c>
      <c r="G25" s="633" t="s">
        <v>792</v>
      </c>
      <c r="H25" s="633" t="s">
        <v>792</v>
      </c>
      <c r="I25" s="633" t="s">
        <v>792</v>
      </c>
      <c r="N25" s="133"/>
      <c r="O25" s="133"/>
      <c r="P25" s="133"/>
      <c r="Q25" s="133"/>
      <c r="R25" s="133"/>
      <c r="S25" s="133"/>
      <c r="T25" s="133"/>
      <c r="AD25" s="267"/>
      <c r="AE25" s="267"/>
      <c r="AF25" s="267"/>
      <c r="AG25" s="267"/>
      <c r="AH25" s="267"/>
    </row>
    <row r="26" spans="2:34" s="238" customFormat="1" x14ac:dyDescent="0.35">
      <c r="B26" s="329" t="s">
        <v>892</v>
      </c>
      <c r="C26" s="271">
        <f>'Unit costs'!S11</f>
        <v>0</v>
      </c>
      <c r="D26" s="271">
        <f t="shared" ref="D26:I28" si="3">D19*$C26/1000</f>
        <v>0</v>
      </c>
      <c r="E26" s="271">
        <f t="shared" si="3"/>
        <v>0</v>
      </c>
      <c r="F26" s="271">
        <f t="shared" si="3"/>
        <v>0</v>
      </c>
      <c r="G26" s="271">
        <f t="shared" si="3"/>
        <v>0</v>
      </c>
      <c r="H26" s="271">
        <f t="shared" si="3"/>
        <v>0</v>
      </c>
      <c r="I26" s="271">
        <f t="shared" si="3"/>
        <v>0</v>
      </c>
      <c r="N26" s="133"/>
      <c r="O26" s="133"/>
      <c r="P26" s="133"/>
      <c r="Q26" s="133"/>
      <c r="R26" s="133"/>
      <c r="S26" s="133"/>
      <c r="T26" s="133"/>
      <c r="AD26" s="267"/>
      <c r="AE26" s="267"/>
      <c r="AF26" s="267"/>
      <c r="AG26" s="267"/>
      <c r="AH26" s="267"/>
    </row>
    <row r="27" spans="2:34" s="238" customFormat="1" x14ac:dyDescent="0.35">
      <c r="B27" s="329" t="s">
        <v>889</v>
      </c>
      <c r="C27" s="271">
        <f>'Unit costs'!S15</f>
        <v>0</v>
      </c>
      <c r="D27" s="271">
        <f t="shared" si="3"/>
        <v>0</v>
      </c>
      <c r="E27" s="271">
        <f t="shared" si="3"/>
        <v>0</v>
      </c>
      <c r="F27" s="271">
        <f t="shared" si="3"/>
        <v>0</v>
      </c>
      <c r="G27" s="271">
        <f t="shared" si="3"/>
        <v>0</v>
      </c>
      <c r="H27" s="271">
        <f t="shared" si="3"/>
        <v>0</v>
      </c>
      <c r="I27" s="271">
        <f t="shared" si="3"/>
        <v>0</v>
      </c>
      <c r="N27" s="133"/>
      <c r="O27" s="133"/>
      <c r="P27" s="133"/>
      <c r="Q27" s="133"/>
      <c r="R27" s="133"/>
      <c r="S27" s="133"/>
      <c r="T27" s="133"/>
      <c r="AD27" s="267"/>
      <c r="AE27" s="267"/>
      <c r="AF27" s="267"/>
      <c r="AG27" s="267"/>
      <c r="AH27" s="267"/>
    </row>
    <row r="28" spans="2:34" s="238" customFormat="1" x14ac:dyDescent="0.35">
      <c r="B28" s="329" t="s">
        <v>890</v>
      </c>
      <c r="C28" s="271">
        <f>'Unit costs'!S19</f>
        <v>0</v>
      </c>
      <c r="D28" s="271">
        <f t="shared" si="3"/>
        <v>0</v>
      </c>
      <c r="E28" s="271">
        <f t="shared" si="3"/>
        <v>0</v>
      </c>
      <c r="F28" s="271">
        <f t="shared" si="3"/>
        <v>0</v>
      </c>
      <c r="G28" s="271">
        <f t="shared" si="3"/>
        <v>0</v>
      </c>
      <c r="H28" s="271">
        <f t="shared" si="3"/>
        <v>0</v>
      </c>
      <c r="I28" s="271">
        <f t="shared" si="3"/>
        <v>0</v>
      </c>
      <c r="N28" s="133"/>
      <c r="O28" s="133"/>
      <c r="P28" s="133"/>
      <c r="Q28" s="133"/>
      <c r="R28" s="133"/>
      <c r="S28" s="133"/>
      <c r="T28" s="133"/>
      <c r="AD28" s="267"/>
      <c r="AE28" s="267"/>
      <c r="AF28" s="267"/>
      <c r="AG28" s="267"/>
      <c r="AH28" s="267"/>
    </row>
    <row r="29" spans="2:34" s="238" customFormat="1" x14ac:dyDescent="0.35">
      <c r="B29" s="330" t="s">
        <v>891</v>
      </c>
      <c r="C29" s="271">
        <f>'Unit costs'!S23</f>
        <v>0</v>
      </c>
      <c r="D29" s="271">
        <f>D22*$C$29/1000</f>
        <v>0</v>
      </c>
      <c r="E29" s="271">
        <f t="shared" ref="E29:I29" si="4">E22*$C$29/1000</f>
        <v>0</v>
      </c>
      <c r="F29" s="271">
        <f t="shared" si="4"/>
        <v>0</v>
      </c>
      <c r="G29" s="271">
        <f t="shared" si="4"/>
        <v>0</v>
      </c>
      <c r="H29" s="271">
        <f t="shared" si="4"/>
        <v>0</v>
      </c>
      <c r="I29" s="271">
        <f t="shared" si="4"/>
        <v>0</v>
      </c>
      <c r="N29" s="133"/>
      <c r="O29" s="133"/>
      <c r="P29" s="133"/>
      <c r="Q29" s="133"/>
      <c r="R29" s="133"/>
      <c r="S29" s="133"/>
      <c r="T29" s="133"/>
      <c r="AD29" s="267"/>
      <c r="AE29" s="267"/>
      <c r="AF29" s="267"/>
      <c r="AG29" s="267"/>
      <c r="AH29" s="267"/>
    </row>
    <row r="30" spans="2:34" s="238" customFormat="1" x14ac:dyDescent="0.35">
      <c r="B30" s="274" t="s">
        <v>813</v>
      </c>
      <c r="C30" s="602"/>
      <c r="D30" s="186">
        <f t="shared" ref="D30:I30" si="5">SUM(D26:D29)</f>
        <v>0</v>
      </c>
      <c r="E30" s="186">
        <f t="shared" si="5"/>
        <v>0</v>
      </c>
      <c r="F30" s="186">
        <f t="shared" si="5"/>
        <v>0</v>
      </c>
      <c r="G30" s="186">
        <f t="shared" si="5"/>
        <v>0</v>
      </c>
      <c r="H30" s="187">
        <f t="shared" si="5"/>
        <v>0</v>
      </c>
      <c r="I30" s="186">
        <f t="shared" si="5"/>
        <v>0</v>
      </c>
      <c r="J30" s="761"/>
      <c r="N30" s="133"/>
      <c r="O30" s="133"/>
      <c r="P30" s="133"/>
      <c r="Q30" s="133"/>
      <c r="R30" s="133"/>
      <c r="S30" s="133"/>
      <c r="T30" s="133"/>
      <c r="AD30" s="267"/>
      <c r="AE30" s="267"/>
      <c r="AF30" s="267"/>
      <c r="AG30" s="267"/>
      <c r="AH30" s="267"/>
    </row>
    <row r="31" spans="2:34" s="238" customFormat="1" x14ac:dyDescent="0.35">
      <c r="B31" s="275"/>
      <c r="C31" s="133"/>
      <c r="D31" s="133"/>
      <c r="E31" s="133"/>
      <c r="F31" s="133"/>
      <c r="G31" s="133"/>
      <c r="H31" s="133"/>
      <c r="I31" s="133"/>
      <c r="N31" s="133"/>
      <c r="O31" s="133"/>
      <c r="P31" s="133"/>
      <c r="Q31" s="133"/>
      <c r="R31" s="133"/>
      <c r="S31" s="133"/>
      <c r="T31" s="133"/>
      <c r="AD31" s="267"/>
      <c r="AE31" s="267"/>
      <c r="AF31" s="267"/>
      <c r="AG31" s="267"/>
      <c r="AH31" s="267"/>
    </row>
    <row r="32" spans="2:34" s="238" customFormat="1" x14ac:dyDescent="0.35">
      <c r="B32" s="354"/>
      <c r="C32" s="272"/>
      <c r="D32" s="336" t="s">
        <v>794</v>
      </c>
      <c r="E32" s="186">
        <f>E30-$D$30</f>
        <v>0</v>
      </c>
      <c r="F32" s="186">
        <f t="shared" ref="F32:I32" si="6">F30-$D$30</f>
        <v>0</v>
      </c>
      <c r="G32" s="186">
        <f t="shared" si="6"/>
        <v>0</v>
      </c>
      <c r="H32" s="186">
        <f t="shared" si="6"/>
        <v>0</v>
      </c>
      <c r="I32" s="186">
        <f t="shared" si="6"/>
        <v>0</v>
      </c>
      <c r="N32" s="133"/>
      <c r="O32" s="133"/>
      <c r="P32" s="133"/>
      <c r="Q32" s="133"/>
      <c r="R32" s="133"/>
      <c r="S32" s="133"/>
      <c r="T32" s="133"/>
      <c r="AD32" s="267"/>
      <c r="AE32" s="267"/>
      <c r="AF32" s="267"/>
      <c r="AG32" s="267"/>
      <c r="AH32" s="267"/>
    </row>
    <row r="33" spans="2:34" s="238" customFormat="1" x14ac:dyDescent="0.35">
      <c r="B33" s="354"/>
      <c r="C33" s="272"/>
      <c r="D33" s="278" t="s">
        <v>814</v>
      </c>
      <c r="E33" s="186">
        <f>E32</f>
        <v>0</v>
      </c>
      <c r="F33" s="188">
        <f>F32-E32</f>
        <v>0</v>
      </c>
      <c r="G33" s="188">
        <f t="shared" ref="G33:I33" si="7">G32-F32</f>
        <v>0</v>
      </c>
      <c r="H33" s="188">
        <f t="shared" si="7"/>
        <v>0</v>
      </c>
      <c r="I33" s="188">
        <f t="shared" si="7"/>
        <v>0</v>
      </c>
      <c r="J33" s="133"/>
      <c r="K33" s="133"/>
      <c r="L33" s="133"/>
      <c r="M33" s="133"/>
      <c r="N33" s="133"/>
      <c r="O33" s="133"/>
      <c r="P33" s="133"/>
      <c r="Q33" s="133"/>
      <c r="R33" s="133"/>
      <c r="S33" s="133"/>
      <c r="T33" s="133"/>
      <c r="AD33" s="267"/>
      <c r="AE33" s="267"/>
      <c r="AF33" s="267"/>
      <c r="AG33" s="267"/>
      <c r="AH33" s="267"/>
    </row>
    <row r="34" spans="2:34" x14ac:dyDescent="0.35">
      <c r="J34" s="238"/>
      <c r="K34" s="238"/>
    </row>
    <row r="35" spans="2:34" x14ac:dyDescent="0.35">
      <c r="J35" s="238"/>
      <c r="K35" s="238"/>
    </row>
    <row r="36" spans="2:34" x14ac:dyDescent="0.35">
      <c r="J36" s="238"/>
      <c r="K36" s="238"/>
    </row>
  </sheetData>
  <sheetProtection algorithmName="SHA-512" hashValue="8ZcS59Z3JsQ9+l86NKP/AxhqM7+zJmyzMEV/INBpcXRjYjl2PZFwKwmYTScGhrn8XI0X+txNECdhxPTqEKM5UA==" saltValue="Zh5WZIN9Iz8cxZ5CpggiMQ=="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61"/>
  <sheetViews>
    <sheetView showGridLines="0" zoomScale="80" zoomScaleNormal="80" zoomScaleSheetLayoutView="30" workbookViewId="0">
      <selection activeCell="E25" sqref="E25"/>
    </sheetView>
  </sheetViews>
  <sheetFormatPr defaultColWidth="8.6328125" defaultRowHeight="14.5" x14ac:dyDescent="0.35"/>
  <cols>
    <col min="1" max="1" width="3.54296875" customWidth="1"/>
    <col min="2" max="2" width="65.453125" style="1" customWidth="1"/>
    <col min="3" max="9" width="12.54296875" customWidth="1"/>
    <col min="10" max="10" width="1.6328125" customWidth="1"/>
    <col min="11" max="18" width="11.54296875" customWidth="1"/>
    <col min="19" max="19" width="11.453125" customWidth="1"/>
    <col min="20" max="20" width="11.54296875" customWidth="1"/>
    <col min="21" max="26" width="10.6328125" customWidth="1"/>
    <col min="28" max="41" width="0" hidden="1" customWidth="1"/>
  </cols>
  <sheetData>
    <row r="1" spans="1:40" ht="30" customHeight="1" x14ac:dyDescent="0.35">
      <c r="B1" s="494" t="str">
        <f>'Inputs and eligible population'!B1</f>
        <v>Eplontersen for treating hereditary transthyretin amyloidosis</v>
      </c>
      <c r="C1" s="127"/>
      <c r="D1" s="127"/>
      <c r="F1" s="127"/>
      <c r="G1" s="127"/>
      <c r="H1" s="127"/>
      <c r="I1" s="127"/>
      <c r="J1" s="127"/>
      <c r="K1" s="127"/>
      <c r="L1" s="127"/>
      <c r="M1" s="127"/>
      <c r="N1" s="127"/>
      <c r="O1" s="127"/>
      <c r="P1" s="127"/>
      <c r="R1" s="127"/>
      <c r="S1" s="127"/>
      <c r="T1" s="127"/>
      <c r="U1" s="127"/>
      <c r="V1" s="127"/>
      <c r="W1" s="127"/>
      <c r="X1" s="127"/>
      <c r="Y1" s="127"/>
      <c r="Z1" s="127"/>
    </row>
    <row r="2" spans="1:40" ht="42.65" customHeight="1" x14ac:dyDescent="0.35">
      <c r="B2" s="214" t="s">
        <v>815</v>
      </c>
      <c r="C2" s="127" t="s">
        <v>734</v>
      </c>
      <c r="D2" s="127" t="s">
        <v>734</v>
      </c>
      <c r="E2" s="446"/>
      <c r="F2" s="127" t="s">
        <v>734</v>
      </c>
      <c r="G2" s="127" t="s">
        <v>734</v>
      </c>
      <c r="H2" s="127" t="s">
        <v>734</v>
      </c>
      <c r="I2" s="127" t="s">
        <v>734</v>
      </c>
      <c r="J2" s="127"/>
      <c r="K2" s="127"/>
      <c r="L2" s="127"/>
      <c r="M2" s="127"/>
      <c r="N2" s="127"/>
      <c r="O2" s="127"/>
      <c r="P2" s="127"/>
      <c r="Q2" s="127"/>
      <c r="R2" s="127"/>
      <c r="S2" s="127"/>
      <c r="T2" s="127"/>
      <c r="U2" s="127"/>
      <c r="V2" s="127"/>
      <c r="W2" s="127"/>
      <c r="X2" s="127"/>
      <c r="Y2" s="127"/>
      <c r="Z2" s="127"/>
    </row>
    <row r="3" spans="1:40" ht="14.75" customHeight="1" x14ac:dyDescent="0.35">
      <c r="B3" s="130" t="s">
        <v>734</v>
      </c>
      <c r="C3" s="133" t="s">
        <v>734</v>
      </c>
      <c r="D3" s="133" t="s">
        <v>734</v>
      </c>
      <c r="F3" s="133" t="s">
        <v>734</v>
      </c>
      <c r="G3" s="133" t="s">
        <v>734</v>
      </c>
      <c r="H3" s="133" t="s">
        <v>734</v>
      </c>
      <c r="I3" s="133" t="s">
        <v>734</v>
      </c>
      <c r="J3" s="127"/>
      <c r="K3" s="127"/>
      <c r="L3" s="127"/>
      <c r="M3" s="127"/>
      <c r="N3" s="127"/>
      <c r="O3" s="127"/>
      <c r="P3" s="127"/>
      <c r="Q3" s="133"/>
      <c r="R3" s="133"/>
      <c r="S3" s="133"/>
      <c r="T3" s="133"/>
      <c r="U3" s="133"/>
      <c r="V3" s="133"/>
      <c r="W3" s="133"/>
      <c r="X3" s="133"/>
      <c r="Y3" s="133"/>
      <c r="Z3" s="133"/>
    </row>
    <row r="4" spans="1:40" ht="14.75" customHeight="1" x14ac:dyDescent="0.35">
      <c r="B4" t="s">
        <v>816</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33"/>
      <c r="T5" s="133"/>
      <c r="U5" s="133"/>
      <c r="V5" s="133"/>
      <c r="W5" s="133"/>
      <c r="X5" s="133"/>
      <c r="Y5" s="133"/>
      <c r="Z5" s="133"/>
    </row>
    <row r="6" spans="1:40" ht="43.5" x14ac:dyDescent="0.35">
      <c r="B6" s="252" t="s">
        <v>789</v>
      </c>
      <c r="C6" s="209"/>
      <c r="D6" s="386" t="s">
        <v>809</v>
      </c>
      <c r="E6" s="250" t="s">
        <v>677</v>
      </c>
      <c r="F6" s="250" t="s">
        <v>678</v>
      </c>
      <c r="G6" s="165" t="s">
        <v>786</v>
      </c>
      <c r="H6" s="165" t="s">
        <v>787</v>
      </c>
      <c r="I6" s="250" t="s">
        <v>788</v>
      </c>
      <c r="L6" s="386" t="s">
        <v>809</v>
      </c>
      <c r="M6" s="250" t="s">
        <v>677</v>
      </c>
      <c r="N6" s="250" t="s">
        <v>678</v>
      </c>
      <c r="O6" s="165" t="s">
        <v>786</v>
      </c>
      <c r="P6" s="165" t="s">
        <v>787</v>
      </c>
      <c r="Q6" s="250" t="s">
        <v>788</v>
      </c>
      <c r="R6" s="133"/>
      <c r="S6" s="133"/>
      <c r="T6" s="133"/>
      <c r="U6" s="133"/>
      <c r="V6" s="133"/>
      <c r="W6" s="133"/>
      <c r="X6" s="133"/>
      <c r="Y6" s="133"/>
      <c r="Z6" s="133"/>
      <c r="AJ6" s="280"/>
      <c r="AK6" s="280"/>
      <c r="AL6" s="280"/>
      <c r="AM6" s="280"/>
      <c r="AN6" s="280"/>
    </row>
    <row r="7" spans="1:40" x14ac:dyDescent="0.35">
      <c r="B7" s="221" t="s">
        <v>789</v>
      </c>
      <c r="C7" s="168"/>
      <c r="D7" s="355">
        <f>'Inputs and eligible population'!F40</f>
        <v>161</v>
      </c>
      <c r="E7" s="355">
        <f>'Inputs and eligible population'!G40</f>
        <v>162.55233100169255</v>
      </c>
      <c r="F7" s="355">
        <f>'Inputs and eligible population'!H40</f>
        <v>164.1196292800237</v>
      </c>
      <c r="G7" s="355">
        <f>'Inputs and eligible population'!I40</f>
        <v>165.70203914659308</v>
      </c>
      <c r="H7" s="355">
        <f>'Inputs and eligible population'!J40</f>
        <v>167.29970630442494</v>
      </c>
      <c r="I7" s="355">
        <f>'Inputs and eligible population'!K40</f>
        <v>168.91277786138403</v>
      </c>
      <c r="P7" s="133"/>
      <c r="Q7" s="133"/>
      <c r="R7" s="133"/>
      <c r="S7" s="133"/>
      <c r="T7" s="133"/>
      <c r="U7" s="133"/>
      <c r="V7" s="133"/>
      <c r="W7" s="133"/>
      <c r="X7" s="133"/>
      <c r="Y7" s="133"/>
      <c r="Z7" s="133"/>
      <c r="AJ7" s="280"/>
      <c r="AK7" s="280"/>
      <c r="AL7" s="280"/>
      <c r="AM7" s="280"/>
      <c r="AN7" s="280"/>
    </row>
    <row r="8" spans="1:40" x14ac:dyDescent="0.35">
      <c r="B8"/>
      <c r="P8" s="133"/>
      <c r="Q8" s="133"/>
      <c r="R8" s="133"/>
      <c r="S8" s="133"/>
      <c r="T8" s="133"/>
      <c r="U8" s="133"/>
      <c r="V8" s="133"/>
      <c r="W8" s="133"/>
      <c r="X8" s="133"/>
      <c r="Y8" s="133"/>
      <c r="Z8" s="133"/>
      <c r="AJ8" s="280"/>
      <c r="AK8" s="280"/>
      <c r="AL8" s="280"/>
      <c r="AM8" s="280"/>
      <c r="AN8" s="280"/>
    </row>
    <row r="9" spans="1:40" x14ac:dyDescent="0.35">
      <c r="B9" s="273" t="s">
        <v>817</v>
      </c>
      <c r="C9" s="395"/>
      <c r="D9" s="395"/>
      <c r="E9" s="396"/>
      <c r="F9" s="395"/>
      <c r="G9" s="397"/>
      <c r="H9" s="398"/>
      <c r="I9" s="508"/>
      <c r="L9" s="633" t="s">
        <v>792</v>
      </c>
      <c r="M9" s="633" t="s">
        <v>792</v>
      </c>
      <c r="N9" s="633" t="s">
        <v>792</v>
      </c>
      <c r="O9" s="633" t="s">
        <v>792</v>
      </c>
      <c r="P9" s="633" t="s">
        <v>792</v>
      </c>
      <c r="Q9" s="633" t="s">
        <v>792</v>
      </c>
      <c r="R9" s="133"/>
      <c r="S9" s="133"/>
      <c r="T9" s="133"/>
      <c r="U9" s="133"/>
      <c r="V9" s="133"/>
      <c r="W9" s="133"/>
      <c r="X9" s="133"/>
      <c r="Y9" s="133"/>
      <c r="Z9" s="133"/>
      <c r="AJ9" s="280"/>
      <c r="AK9" s="280"/>
      <c r="AL9" s="280"/>
      <c r="AM9" s="280"/>
      <c r="AN9" s="280"/>
    </row>
    <row r="10" spans="1:40" x14ac:dyDescent="0.35">
      <c r="A10" s="287"/>
      <c r="B10" s="399" t="str">
        <f>B20</f>
        <v xml:space="preserve">Home care nurse administrations - number of cycles </v>
      </c>
      <c r="C10" s="383"/>
      <c r="D10" s="382">
        <f>D24</f>
        <v>652.6825</v>
      </c>
      <c r="E10" s="382">
        <f t="shared" ref="E10:I10" si="0">E24</f>
        <v>602.20957128994235</v>
      </c>
      <c r="F10" s="382">
        <f t="shared" si="0"/>
        <v>560.47903764755483</v>
      </c>
      <c r="G10" s="382">
        <f t="shared" si="0"/>
        <v>518.80844491088681</v>
      </c>
      <c r="H10" s="382">
        <f t="shared" si="0"/>
        <v>477.19899027448952</v>
      </c>
      <c r="I10" s="382">
        <f t="shared" si="0"/>
        <v>435.65105319563287</v>
      </c>
      <c r="L10" s="207"/>
      <c r="M10" s="207"/>
      <c r="N10" s="207"/>
      <c r="O10" s="207"/>
      <c r="P10" s="381"/>
      <c r="Q10" s="381"/>
      <c r="R10" s="133"/>
      <c r="S10" s="133"/>
      <c r="T10" s="133"/>
      <c r="U10" s="133"/>
      <c r="V10" s="133"/>
      <c r="W10" s="133"/>
      <c r="X10" s="133"/>
      <c r="Y10" s="133"/>
      <c r="Z10" s="133"/>
      <c r="AJ10" s="280"/>
      <c r="AK10" s="280"/>
      <c r="AL10" s="280"/>
      <c r="AM10" s="280"/>
      <c r="AN10" s="280"/>
    </row>
    <row r="11" spans="1:40" x14ac:dyDescent="0.35">
      <c r="A11" s="281"/>
      <c r="B11" s="400" t="str">
        <f>B29</f>
        <v>Administrations - duration of homecare  administrations (hours)</v>
      </c>
      <c r="C11" s="403"/>
      <c r="D11" s="384">
        <f>D33</f>
        <v>652.6825</v>
      </c>
      <c r="E11" s="384">
        <f t="shared" ref="E11:I11" si="1">E33</f>
        <v>602.20957128994235</v>
      </c>
      <c r="F11" s="384">
        <f t="shared" si="1"/>
        <v>560.47903764755495</v>
      </c>
      <c r="G11" s="384">
        <f t="shared" si="1"/>
        <v>518.80844491088681</v>
      </c>
      <c r="H11" s="384">
        <f t="shared" si="1"/>
        <v>477.19899027448952</v>
      </c>
      <c r="I11" s="384">
        <f t="shared" si="1"/>
        <v>435.65105319563287</v>
      </c>
      <c r="L11" s="283">
        <f>L33</f>
        <v>27.510567374999997</v>
      </c>
      <c r="M11" s="283">
        <f t="shared" ref="M11:Q11" si="2">M33</f>
        <v>25.383133429871069</v>
      </c>
      <c r="N11" s="283">
        <f t="shared" si="2"/>
        <v>23.624191436844441</v>
      </c>
      <c r="O11" s="283">
        <f t="shared" si="2"/>
        <v>21.867775952993878</v>
      </c>
      <c r="P11" s="283">
        <f t="shared" si="2"/>
        <v>20.113937440069733</v>
      </c>
      <c r="Q11" s="283">
        <f t="shared" si="2"/>
        <v>18.362691892195926</v>
      </c>
      <c r="R11" s="133"/>
      <c r="S11" s="133"/>
      <c r="T11" s="133"/>
      <c r="U11" s="133"/>
      <c r="V11" s="133"/>
      <c r="W11" s="133"/>
      <c r="X11" s="133"/>
      <c r="Y11" s="133"/>
      <c r="Z11" s="133"/>
      <c r="AJ11" s="280"/>
      <c r="AK11" s="280"/>
      <c r="AL11" s="280"/>
      <c r="AM11" s="280"/>
      <c r="AN11" s="280"/>
    </row>
    <row r="12" spans="1:40" x14ac:dyDescent="0.35">
      <c r="A12" s="281"/>
      <c r="B12" s="400" t="str">
        <f>B36</f>
        <v>Monitoring visits ( hours)</v>
      </c>
      <c r="C12" s="403"/>
      <c r="D12" s="384">
        <f>D39</f>
        <v>55.813333333333333</v>
      </c>
      <c r="E12" s="384">
        <f t="shared" ref="E12:I12" si="3">E39</f>
        <v>0</v>
      </c>
      <c r="F12" s="384">
        <f t="shared" si="3"/>
        <v>0</v>
      </c>
      <c r="G12" s="384">
        <f t="shared" si="3"/>
        <v>0</v>
      </c>
      <c r="H12" s="384">
        <f t="shared" si="3"/>
        <v>0</v>
      </c>
      <c r="I12" s="384">
        <f t="shared" si="3"/>
        <v>0</v>
      </c>
      <c r="L12" s="283">
        <f>L39</f>
        <v>2.3525319999999996</v>
      </c>
      <c r="M12" s="283">
        <f t="shared" ref="M12:Q12" si="4">M39</f>
        <v>0</v>
      </c>
      <c r="N12" s="283">
        <f t="shared" si="4"/>
        <v>0</v>
      </c>
      <c r="O12" s="283">
        <f t="shared" si="4"/>
        <v>0</v>
      </c>
      <c r="P12" s="283">
        <f t="shared" si="4"/>
        <v>0</v>
      </c>
      <c r="Q12" s="283">
        <f t="shared" si="4"/>
        <v>0</v>
      </c>
      <c r="R12" s="133"/>
      <c r="S12" s="133"/>
      <c r="T12" s="133"/>
      <c r="U12" s="133"/>
      <c r="V12" s="133"/>
      <c r="W12" s="133"/>
      <c r="X12" s="133"/>
      <c r="Y12" s="133"/>
      <c r="Z12" s="133"/>
      <c r="AJ12" s="280"/>
      <c r="AK12" s="280"/>
      <c r="AL12" s="280"/>
      <c r="AM12" s="280"/>
      <c r="AN12" s="280"/>
    </row>
    <row r="13" spans="1:40" x14ac:dyDescent="0.35">
      <c r="A13" s="282"/>
      <c r="B13" s="401" t="str">
        <f>B44</f>
        <v>Pharmacy support (preparations)</v>
      </c>
      <c r="C13" s="404"/>
      <c r="D13" s="385">
        <f>D47</f>
        <v>38.64</v>
      </c>
      <c r="E13" s="385">
        <f t="shared" ref="E13:I13" si="5">E47</f>
        <v>0</v>
      </c>
      <c r="F13" s="385">
        <f t="shared" si="5"/>
        <v>0</v>
      </c>
      <c r="G13" s="385">
        <f t="shared" si="5"/>
        <v>0</v>
      </c>
      <c r="H13" s="385">
        <f t="shared" si="5"/>
        <v>0</v>
      </c>
      <c r="I13" s="385">
        <f t="shared" si="5"/>
        <v>0</v>
      </c>
      <c r="L13" s="283">
        <f>L47</f>
        <v>1.8071927999999999</v>
      </c>
      <c r="M13" s="283">
        <f t="shared" ref="M13:Q13" si="6">M47</f>
        <v>0</v>
      </c>
      <c r="N13" s="283">
        <f t="shared" si="6"/>
        <v>0</v>
      </c>
      <c r="O13" s="283">
        <f t="shared" si="6"/>
        <v>0</v>
      </c>
      <c r="P13" s="283">
        <f t="shared" si="6"/>
        <v>0</v>
      </c>
      <c r="Q13" s="283">
        <f t="shared" si="6"/>
        <v>0</v>
      </c>
      <c r="R13" s="133"/>
      <c r="S13" s="133"/>
      <c r="T13" s="133"/>
      <c r="U13" s="133"/>
      <c r="V13" s="133"/>
      <c r="W13" s="133"/>
      <c r="X13" s="133"/>
      <c r="Y13" s="133"/>
      <c r="Z13" s="133"/>
      <c r="AJ13" s="280"/>
      <c r="AK13" s="280"/>
      <c r="AL13" s="280"/>
      <c r="AM13" s="280"/>
      <c r="AN13" s="280"/>
    </row>
    <row r="14" spans="1:40" x14ac:dyDescent="0.35">
      <c r="A14" s="310"/>
      <c r="B14" s="402" t="str">
        <f>B51</f>
        <v>Appointments with supporting specialty haematology</v>
      </c>
      <c r="C14" s="405"/>
      <c r="D14" s="388">
        <f>D54</f>
        <v>9.66</v>
      </c>
      <c r="E14" s="388">
        <f t="shared" ref="E14:I14" si="7">E54</f>
        <v>0</v>
      </c>
      <c r="F14" s="388">
        <f t="shared" si="7"/>
        <v>0</v>
      </c>
      <c r="G14" s="388">
        <f t="shared" si="7"/>
        <v>0</v>
      </c>
      <c r="H14" s="388">
        <f t="shared" si="7"/>
        <v>0</v>
      </c>
      <c r="I14" s="388">
        <f t="shared" si="7"/>
        <v>0</v>
      </c>
      <c r="L14" s="283">
        <f>L54</f>
        <v>1.08192</v>
      </c>
      <c r="M14" s="283">
        <f t="shared" ref="M14:Q14" si="8">M54</f>
        <v>0</v>
      </c>
      <c r="N14" s="283">
        <f t="shared" si="8"/>
        <v>0</v>
      </c>
      <c r="O14" s="283">
        <f t="shared" si="8"/>
        <v>0</v>
      </c>
      <c r="P14" s="283">
        <f t="shared" si="8"/>
        <v>0</v>
      </c>
      <c r="Q14" s="283">
        <f t="shared" si="8"/>
        <v>0</v>
      </c>
      <c r="R14" s="133"/>
      <c r="S14" s="133"/>
      <c r="T14" s="133"/>
      <c r="U14" s="133"/>
      <c r="V14" s="133"/>
      <c r="W14" s="133"/>
      <c r="X14" s="133"/>
      <c r="Y14" s="133"/>
      <c r="Z14" s="133"/>
      <c r="AJ14" s="280"/>
      <c r="AK14" s="280"/>
      <c r="AL14" s="280"/>
      <c r="AM14" s="280"/>
      <c r="AN14" s="280"/>
    </row>
    <row r="15" spans="1:40" x14ac:dyDescent="0.35">
      <c r="B15" s="243"/>
      <c r="D15" s="280"/>
      <c r="F15" s="133"/>
      <c r="G15" s="133"/>
      <c r="H15" s="133"/>
      <c r="I15" s="133"/>
      <c r="J15" s="133"/>
      <c r="K15" s="133"/>
      <c r="L15" s="284">
        <f t="shared" ref="L15:Q15" si="9">SUM(L10:L14)</f>
        <v>32.752212174999997</v>
      </c>
      <c r="M15" s="284">
        <f t="shared" si="9"/>
        <v>25.383133429871069</v>
      </c>
      <c r="N15" s="284">
        <f t="shared" si="9"/>
        <v>23.624191436844441</v>
      </c>
      <c r="O15" s="284">
        <f t="shared" si="9"/>
        <v>21.867775952993878</v>
      </c>
      <c r="P15" s="284">
        <f t="shared" si="9"/>
        <v>20.113937440069733</v>
      </c>
      <c r="Q15" s="284">
        <f t="shared" si="9"/>
        <v>18.362691892195926</v>
      </c>
      <c r="R15" s="133"/>
      <c r="S15" s="133"/>
      <c r="T15" s="133"/>
      <c r="U15" s="133"/>
      <c r="V15" s="133"/>
      <c r="W15" s="133"/>
      <c r="X15" s="133"/>
      <c r="Y15" s="133"/>
      <c r="Z15" s="133"/>
    </row>
    <row r="16" spans="1:40" x14ac:dyDescent="0.35">
      <c r="B16" s="302"/>
      <c r="C16" s="302"/>
      <c r="D16" s="302"/>
      <c r="E16" s="302"/>
      <c r="F16" s="302"/>
      <c r="G16" s="302"/>
      <c r="H16" s="302"/>
      <c r="I16" s="302"/>
      <c r="J16" s="302"/>
      <c r="K16" s="302"/>
      <c r="L16" s="302"/>
      <c r="P16" s="133"/>
      <c r="Q16" s="133"/>
      <c r="R16" s="133"/>
      <c r="S16" s="133"/>
      <c r="V16" s="133"/>
      <c r="W16" s="133"/>
      <c r="X16" s="133"/>
      <c r="Y16" s="133"/>
      <c r="Z16" s="133"/>
      <c r="AJ16" s="280"/>
      <c r="AK16" s="280"/>
      <c r="AL16" s="280"/>
      <c r="AM16" s="280"/>
      <c r="AN16" s="280"/>
    </row>
    <row r="17" spans="1:40" x14ac:dyDescent="0.35">
      <c r="B17" s="347" t="s">
        <v>818</v>
      </c>
      <c r="C17" s="348"/>
      <c r="D17" s="348"/>
      <c r="E17" s="349"/>
      <c r="F17" s="348"/>
      <c r="G17" s="350"/>
      <c r="H17" s="351"/>
      <c r="I17" s="351"/>
      <c r="J17" s="351"/>
      <c r="K17" s="351"/>
      <c r="L17" s="351"/>
      <c r="M17" s="351"/>
      <c r="N17" s="351"/>
      <c r="O17" s="351"/>
      <c r="P17" s="351"/>
      <c r="Q17" s="352"/>
      <c r="R17" s="133"/>
      <c r="S17" s="133"/>
      <c r="T17" s="133"/>
      <c r="U17" s="133"/>
      <c r="V17" s="133"/>
      <c r="W17" s="133"/>
      <c r="X17" s="133"/>
      <c r="Y17" s="133"/>
      <c r="Z17" s="133"/>
      <c r="AJ17" s="280"/>
      <c r="AK17" s="280"/>
      <c r="AL17" s="280"/>
      <c r="AM17" s="280"/>
      <c r="AN17" s="280"/>
    </row>
    <row r="18" spans="1:40" x14ac:dyDescent="0.35">
      <c r="A18" s="287"/>
      <c r="B18" s="303" t="s">
        <v>820</v>
      </c>
      <c r="C18" s="288"/>
      <c r="D18" s="288"/>
      <c r="E18" s="289"/>
      <c r="F18" s="290"/>
      <c r="G18" s="291"/>
      <c r="H18" s="291"/>
      <c r="I18" s="391"/>
      <c r="J18" s="392"/>
      <c r="K18" s="287"/>
      <c r="L18" s="287"/>
      <c r="M18" s="287"/>
      <c r="N18" s="287"/>
      <c r="O18" s="287"/>
      <c r="P18" s="287"/>
      <c r="Q18" s="215"/>
      <c r="R18" s="133"/>
      <c r="S18" s="133"/>
      <c r="V18" s="133"/>
    </row>
    <row r="19" spans="1:40" x14ac:dyDescent="0.35">
      <c r="A19" s="295"/>
      <c r="B19" s="304"/>
      <c r="C19" s="293"/>
      <c r="D19" s="292"/>
      <c r="E19" s="293"/>
      <c r="F19" s="294"/>
      <c r="G19" s="287"/>
      <c r="H19" s="287"/>
      <c r="I19" s="291"/>
      <c r="J19" s="215"/>
      <c r="K19" s="215"/>
      <c r="L19" s="215"/>
      <c r="M19" s="215"/>
      <c r="N19" s="215"/>
      <c r="O19" s="215"/>
      <c r="P19" s="215"/>
      <c r="Q19" s="215"/>
      <c r="V19" s="133"/>
      <c r="AJ19" s="280"/>
      <c r="AK19" s="280"/>
      <c r="AL19" s="280"/>
      <c r="AM19" s="280"/>
      <c r="AN19" s="280"/>
    </row>
    <row r="20" spans="1:40" x14ac:dyDescent="0.35">
      <c r="A20" s="295"/>
      <c r="B20" s="361" t="s">
        <v>1024</v>
      </c>
      <c r="C20" s="288"/>
      <c r="D20" s="715"/>
      <c r="E20" s="715"/>
      <c r="F20" s="715"/>
      <c r="G20" s="715"/>
      <c r="H20" s="715"/>
      <c r="I20" s="383"/>
      <c r="J20" s="215"/>
      <c r="K20" s="215"/>
      <c r="L20" s="215"/>
      <c r="M20" s="215"/>
      <c r="N20" s="215"/>
      <c r="O20" s="215"/>
      <c r="P20" s="215"/>
      <c r="Q20" s="215"/>
      <c r="V20" s="133"/>
      <c r="AJ20" s="280"/>
      <c r="AK20" s="280"/>
      <c r="AL20" s="280"/>
      <c r="AM20" s="280"/>
      <c r="AN20" s="280"/>
    </row>
    <row r="21" spans="1:40" ht="43.5" x14ac:dyDescent="0.35">
      <c r="A21" s="295"/>
      <c r="B21" s="301" t="s">
        <v>762</v>
      </c>
      <c r="C21" s="166" t="s">
        <v>749</v>
      </c>
      <c r="D21" s="386" t="s">
        <v>809</v>
      </c>
      <c r="E21" s="250" t="s">
        <v>677</v>
      </c>
      <c r="F21" s="250" t="s">
        <v>678</v>
      </c>
      <c r="G21" s="165" t="s">
        <v>786</v>
      </c>
      <c r="H21" s="165" t="s">
        <v>787</v>
      </c>
      <c r="I21" s="250" t="s">
        <v>788</v>
      </c>
      <c r="J21" s="215"/>
      <c r="K21" s="215"/>
      <c r="L21" s="215"/>
      <c r="M21" s="215"/>
      <c r="N21" s="215"/>
      <c r="O21" s="215"/>
      <c r="P21" s="215"/>
      <c r="Q21" s="215"/>
      <c r="V21" s="133"/>
      <c r="AJ21" s="280"/>
      <c r="AK21" s="280"/>
      <c r="AL21" s="280"/>
      <c r="AM21" s="280"/>
      <c r="AN21" s="280"/>
    </row>
    <row r="22" spans="1:40" x14ac:dyDescent="0.35">
      <c r="A22" s="295"/>
      <c r="B22" s="330" t="s">
        <v>889</v>
      </c>
      <c r="C22" s="286">
        <f>'Unit costs'!D31</f>
        <v>4</v>
      </c>
      <c r="D22" s="128">
        <f>'Financial impact (cash)'!D20*'Capacity (local prices)'!$C22</f>
        <v>624.67999999999995</v>
      </c>
      <c r="E22" s="128">
        <f>'Financial impact (cash)'!E20*'Capacity (local prices)'!$C22</f>
        <v>602.20957128994235</v>
      </c>
      <c r="F22" s="128">
        <f>'Financial impact (cash)'!F20*'Capacity (local prices)'!$C22</f>
        <v>560.47903764755483</v>
      </c>
      <c r="G22" s="128">
        <f>'Financial impact (cash)'!G20*'Capacity (local prices)'!$C22</f>
        <v>518.80844491088681</v>
      </c>
      <c r="H22" s="128">
        <f>'Financial impact (cash)'!H20*'Capacity (local prices)'!$C22</f>
        <v>477.19899027448952</v>
      </c>
      <c r="I22" s="128">
        <f>'Financial impact (cash)'!I20*'Capacity (local prices)'!$C22</f>
        <v>435.65105319563287</v>
      </c>
      <c r="J22" s="215"/>
      <c r="K22" s="215"/>
      <c r="L22" s="215"/>
      <c r="M22" s="215"/>
      <c r="N22" s="215"/>
      <c r="O22" s="215"/>
      <c r="P22" s="215"/>
      <c r="Q22" s="215"/>
      <c r="V22" s="133"/>
      <c r="AJ22" s="280"/>
      <c r="AK22" s="280"/>
      <c r="AL22" s="280"/>
      <c r="AM22" s="280"/>
      <c r="AN22" s="280"/>
    </row>
    <row r="23" spans="1:40" x14ac:dyDescent="0.35">
      <c r="A23" s="295"/>
      <c r="B23" s="330" t="s">
        <v>890</v>
      </c>
      <c r="C23" s="286">
        <f>'Unit costs'!D33</f>
        <v>17.392857142857142</v>
      </c>
      <c r="D23" s="128">
        <f>'Financial impact (cash)'!D21*'Capacity (local prices)'!$C23</f>
        <v>28.002500000000001</v>
      </c>
      <c r="E23" s="128">
        <f>'Financial impact (cash)'!E21*'Capacity (local prices)'!$C23</f>
        <v>0</v>
      </c>
      <c r="F23" s="128">
        <f>'Financial impact (cash)'!F21*'Capacity (local prices)'!$C23</f>
        <v>0</v>
      </c>
      <c r="G23" s="128">
        <f>'Financial impact (cash)'!G21*'Capacity (local prices)'!$C23</f>
        <v>0</v>
      </c>
      <c r="H23" s="128">
        <f>'Financial impact (cash)'!H21*'Capacity (local prices)'!$C23</f>
        <v>0</v>
      </c>
      <c r="I23" s="128">
        <f>'Financial impact (cash)'!I21*'Capacity (local prices)'!$C23</f>
        <v>0</v>
      </c>
      <c r="J23" s="287"/>
      <c r="K23" s="287"/>
      <c r="L23" s="287"/>
      <c r="M23" s="287"/>
      <c r="N23" s="287"/>
      <c r="O23" s="287"/>
      <c r="P23" s="287"/>
      <c r="Q23" s="287"/>
      <c r="V23" s="133"/>
      <c r="AJ23" s="280"/>
      <c r="AK23" s="280"/>
      <c r="AL23" s="280"/>
      <c r="AM23" s="280"/>
      <c r="AN23" s="280"/>
    </row>
    <row r="24" spans="1:40" x14ac:dyDescent="0.35">
      <c r="A24" s="295"/>
      <c r="B24" s="305"/>
      <c r="C24" s="305"/>
      <c r="D24" s="185">
        <f>SUM(D22:D23)</f>
        <v>652.6825</v>
      </c>
      <c r="E24" s="185">
        <f t="shared" ref="E24:I24" si="10">SUM(E22:E23)</f>
        <v>602.20957128994235</v>
      </c>
      <c r="F24" s="185">
        <f t="shared" si="10"/>
        <v>560.47903764755483</v>
      </c>
      <c r="G24" s="185">
        <f t="shared" si="10"/>
        <v>518.80844491088681</v>
      </c>
      <c r="H24" s="185">
        <f t="shared" si="10"/>
        <v>477.19899027448952</v>
      </c>
      <c r="I24" s="185">
        <f t="shared" si="10"/>
        <v>435.65105319563287</v>
      </c>
      <c r="J24" s="287"/>
      <c r="K24" s="287"/>
      <c r="L24" s="287"/>
      <c r="M24" s="287"/>
      <c r="N24" s="287"/>
      <c r="O24" s="287"/>
      <c r="P24" s="287"/>
      <c r="Q24" s="287"/>
      <c r="V24" s="133"/>
      <c r="AJ24" s="280"/>
      <c r="AK24" s="280"/>
      <c r="AL24" s="280"/>
      <c r="AM24" s="280"/>
      <c r="AN24" s="280"/>
    </row>
    <row r="25" spans="1:40" x14ac:dyDescent="0.35">
      <c r="A25" s="295"/>
      <c r="B25" s="251"/>
      <c r="C25" s="251"/>
      <c r="D25" s="279" t="s">
        <v>821</v>
      </c>
      <c r="E25" s="185">
        <f>E24-$D$24</f>
        <v>-50.472928710057658</v>
      </c>
      <c r="F25" s="185">
        <f>F24-$D$24</f>
        <v>-92.203462352445172</v>
      </c>
      <c r="G25" s="185">
        <f>G24-$D$24</f>
        <v>-133.8740550891132</v>
      </c>
      <c r="H25" s="185">
        <f>H24-$D$24</f>
        <v>-175.48350972551049</v>
      </c>
      <c r="I25" s="185">
        <f>I24-$D$24</f>
        <v>-217.03144680436714</v>
      </c>
      <c r="J25" s="287"/>
      <c r="K25" s="287"/>
      <c r="L25" s="287"/>
      <c r="M25" s="287"/>
      <c r="N25" s="287"/>
      <c r="O25" s="287"/>
      <c r="P25" s="287"/>
      <c r="Q25" s="287"/>
      <c r="S25" s="133"/>
      <c r="T25" s="133"/>
      <c r="U25" s="133"/>
      <c r="V25" s="133"/>
      <c r="W25" s="133"/>
      <c r="X25" s="133"/>
      <c r="Y25" s="133"/>
      <c r="Z25" s="133"/>
      <c r="AJ25" s="280"/>
      <c r="AK25" s="280"/>
      <c r="AL25" s="280"/>
      <c r="AM25" s="280"/>
      <c r="AN25" s="280"/>
    </row>
    <row r="26" spans="1:40" x14ac:dyDescent="0.35">
      <c r="A26" s="287"/>
      <c r="B26" s="304"/>
      <c r="C26" s="293"/>
      <c r="D26" s="293"/>
      <c r="E26" s="294"/>
      <c r="F26" s="287"/>
      <c r="G26" s="287"/>
      <c r="H26" s="215"/>
      <c r="I26" s="215"/>
      <c r="J26" s="215"/>
      <c r="K26" s="215"/>
      <c r="L26" s="215"/>
      <c r="M26" s="215"/>
      <c r="N26" s="215"/>
      <c r="O26" s="215"/>
      <c r="P26" s="215"/>
      <c r="Q26" s="215"/>
      <c r="S26" s="133"/>
      <c r="T26" s="133"/>
      <c r="U26" s="133"/>
      <c r="V26" s="133"/>
      <c r="W26" s="133"/>
      <c r="X26" s="133"/>
      <c r="Y26" s="133"/>
      <c r="Z26" s="133"/>
      <c r="AJ26" s="280"/>
      <c r="AK26" s="280"/>
      <c r="AL26" s="280"/>
      <c r="AM26" s="280"/>
      <c r="AN26" s="280"/>
    </row>
    <row r="27" spans="1:40" x14ac:dyDescent="0.35">
      <c r="A27" s="281"/>
      <c r="B27" s="306" t="s">
        <v>822</v>
      </c>
      <c r="C27" s="296"/>
      <c r="D27" s="296"/>
      <c r="E27" s="297"/>
      <c r="F27" s="298"/>
      <c r="G27" s="299"/>
      <c r="H27" s="299"/>
      <c r="I27" s="299"/>
      <c r="J27" s="393"/>
      <c r="K27" s="281"/>
      <c r="L27" s="281"/>
      <c r="M27" s="281"/>
      <c r="N27" s="281"/>
      <c r="O27" s="281"/>
      <c r="P27" s="281"/>
      <c r="Q27" s="217"/>
      <c r="V27" s="133"/>
    </row>
    <row r="28" spans="1:40" x14ac:dyDescent="0.35">
      <c r="A28" s="281"/>
      <c r="B28" s="307"/>
      <c r="C28" s="217"/>
      <c r="D28" s="217"/>
      <c r="E28" s="217"/>
      <c r="F28" s="217"/>
      <c r="G28" s="217"/>
      <c r="H28" s="217"/>
      <c r="I28" s="217"/>
      <c r="J28" s="217"/>
      <c r="K28" s="217"/>
      <c r="L28" s="217"/>
      <c r="M28" s="217"/>
      <c r="N28" s="217"/>
      <c r="O28" s="217"/>
      <c r="P28" s="217"/>
      <c r="Q28" s="217"/>
      <c r="S28" s="133"/>
      <c r="T28" s="133"/>
      <c r="U28" s="133"/>
      <c r="V28" s="133"/>
      <c r="W28" s="133"/>
      <c r="X28" s="133"/>
      <c r="Y28" s="133"/>
      <c r="Z28" s="133"/>
      <c r="AJ28" s="280"/>
      <c r="AK28" s="280"/>
      <c r="AL28" s="280"/>
      <c r="AM28" s="280"/>
      <c r="AN28" s="280"/>
    </row>
    <row r="29" spans="1:40" x14ac:dyDescent="0.35">
      <c r="A29" s="281"/>
      <c r="B29" s="362" t="s">
        <v>1023</v>
      </c>
      <c r="C29" s="363"/>
      <c r="D29" s="363"/>
      <c r="E29" s="363"/>
      <c r="F29" s="363"/>
      <c r="G29" s="363"/>
      <c r="H29" s="363"/>
      <c r="I29" s="216"/>
      <c r="J29" s="390"/>
      <c r="K29" s="217"/>
      <c r="L29" s="389"/>
      <c r="M29" s="389"/>
      <c r="N29" s="389"/>
      <c r="O29" s="389"/>
      <c r="P29" s="389"/>
      <c r="Q29" s="389"/>
      <c r="S29" s="133"/>
      <c r="T29" s="133"/>
      <c r="U29" s="133"/>
      <c r="V29" s="133"/>
      <c r="W29" s="133"/>
      <c r="X29" s="133"/>
      <c r="Y29" s="133"/>
      <c r="Z29" s="133"/>
      <c r="AJ29" s="280"/>
      <c r="AK29" s="280"/>
      <c r="AL29" s="280"/>
      <c r="AM29" s="280"/>
      <c r="AN29" s="280"/>
    </row>
    <row r="30" spans="1:40" ht="58" x14ac:dyDescent="0.35">
      <c r="A30" s="281"/>
      <c r="B30" s="276" t="s">
        <v>762</v>
      </c>
      <c r="C30" s="166" t="s">
        <v>823</v>
      </c>
      <c r="D30" s="386" t="s">
        <v>809</v>
      </c>
      <c r="E30" s="250" t="s">
        <v>677</v>
      </c>
      <c r="F30" s="250" t="s">
        <v>678</v>
      </c>
      <c r="G30" s="165" t="s">
        <v>786</v>
      </c>
      <c r="H30" s="165" t="s">
        <v>787</v>
      </c>
      <c r="I30" s="250" t="s">
        <v>788</v>
      </c>
      <c r="J30" s="281"/>
      <c r="K30" s="497" t="s">
        <v>819</v>
      </c>
      <c r="L30" s="386" t="s">
        <v>809</v>
      </c>
      <c r="M30" s="250" t="s">
        <v>677</v>
      </c>
      <c r="N30" s="250" t="s">
        <v>678</v>
      </c>
      <c r="O30" s="165" t="s">
        <v>786</v>
      </c>
      <c r="P30" s="165" t="s">
        <v>787</v>
      </c>
      <c r="Q30" s="250" t="s">
        <v>788</v>
      </c>
      <c r="S30" s="133"/>
      <c r="T30" s="133"/>
      <c r="U30" s="133"/>
      <c r="V30" s="133"/>
      <c r="W30" s="133"/>
      <c r="X30" s="133"/>
      <c r="Y30" s="133"/>
      <c r="Z30" s="133"/>
      <c r="AJ30" s="280"/>
      <c r="AK30" s="280"/>
      <c r="AL30" s="280"/>
      <c r="AM30" s="280"/>
      <c r="AN30" s="280"/>
    </row>
    <row r="31" spans="1:40" x14ac:dyDescent="0.35">
      <c r="A31" s="281"/>
      <c r="B31" s="330" t="str">
        <f>B22</f>
        <v>Vutrisiran</v>
      </c>
      <c r="C31" s="149">
        <f>'Inputs and eligible population'!G79</f>
        <v>60</v>
      </c>
      <c r="D31" s="128">
        <f t="shared" ref="D31:I32" si="11">(D22*$C31)/60</f>
        <v>624.67999999999995</v>
      </c>
      <c r="E31" s="128">
        <f t="shared" si="11"/>
        <v>602.20957128994235</v>
      </c>
      <c r="F31" s="128">
        <f t="shared" si="11"/>
        <v>560.47903764755495</v>
      </c>
      <c r="G31" s="128">
        <f t="shared" si="11"/>
        <v>518.80844491088681</v>
      </c>
      <c r="H31" s="128">
        <f t="shared" si="11"/>
        <v>477.19899027448952</v>
      </c>
      <c r="I31" s="128">
        <f t="shared" si="11"/>
        <v>435.65105319563287</v>
      </c>
      <c r="J31" s="281"/>
      <c r="K31" s="503">
        <f>'Inputs and eligible population'!L79</f>
        <v>42.15</v>
      </c>
      <c r="L31" s="283">
        <f>(D31*$K31)/1000</f>
        <v>26.330261999999998</v>
      </c>
      <c r="M31" s="283">
        <f t="shared" ref="M31:Q32" si="12">(E31*$K31)/1000</f>
        <v>25.383133429871069</v>
      </c>
      <c r="N31" s="283">
        <f t="shared" si="12"/>
        <v>23.624191436844441</v>
      </c>
      <c r="O31" s="283">
        <f t="shared" si="12"/>
        <v>21.867775952993878</v>
      </c>
      <c r="P31" s="283">
        <f t="shared" si="12"/>
        <v>20.113937440069733</v>
      </c>
      <c r="Q31" s="283">
        <f t="shared" si="12"/>
        <v>18.362691892195926</v>
      </c>
      <c r="S31" s="133"/>
      <c r="T31" s="133"/>
      <c r="U31" s="133"/>
      <c r="V31" s="133"/>
      <c r="W31" s="133"/>
      <c r="X31" s="133"/>
      <c r="Y31" s="133"/>
      <c r="Z31" s="133"/>
      <c r="AJ31" s="280"/>
      <c r="AK31" s="280"/>
      <c r="AL31" s="280"/>
      <c r="AM31" s="280"/>
      <c r="AN31" s="280"/>
    </row>
    <row r="32" spans="1:40" x14ac:dyDescent="0.35">
      <c r="A32" s="281"/>
      <c r="B32" s="330" t="str">
        <f>B23</f>
        <v>Patisiran</v>
      </c>
      <c r="C32" s="149">
        <f>'Inputs and eligible population'!H79</f>
        <v>60</v>
      </c>
      <c r="D32" s="128">
        <f t="shared" si="11"/>
        <v>28.002500000000001</v>
      </c>
      <c r="E32" s="128">
        <f t="shared" si="11"/>
        <v>0</v>
      </c>
      <c r="F32" s="128">
        <f t="shared" si="11"/>
        <v>0</v>
      </c>
      <c r="G32" s="128">
        <f t="shared" si="11"/>
        <v>0</v>
      </c>
      <c r="H32" s="128">
        <f t="shared" si="11"/>
        <v>0</v>
      </c>
      <c r="I32" s="128">
        <f t="shared" si="11"/>
        <v>0</v>
      </c>
      <c r="J32" s="281"/>
      <c r="K32" s="503">
        <f>'Inputs and eligible population'!L79</f>
        <v>42.15</v>
      </c>
      <c r="L32" s="283">
        <f t="shared" ref="L32" si="13">(D32*$K32)/1000</f>
        <v>1.1803053749999999</v>
      </c>
      <c r="M32" s="283">
        <f t="shared" si="12"/>
        <v>0</v>
      </c>
      <c r="N32" s="283">
        <f t="shared" si="12"/>
        <v>0</v>
      </c>
      <c r="O32" s="283">
        <f t="shared" si="12"/>
        <v>0</v>
      </c>
      <c r="P32" s="283">
        <f t="shared" si="12"/>
        <v>0</v>
      </c>
      <c r="Q32" s="283">
        <f t="shared" si="12"/>
        <v>0</v>
      </c>
      <c r="S32" s="133"/>
      <c r="T32" s="133"/>
      <c r="U32" s="133"/>
      <c r="V32" s="133"/>
      <c r="W32" s="133"/>
      <c r="X32" s="133"/>
      <c r="Y32" s="133"/>
      <c r="Z32" s="133"/>
      <c r="AJ32" s="280"/>
      <c r="AK32" s="280"/>
      <c r="AL32" s="280"/>
      <c r="AM32" s="280"/>
      <c r="AN32" s="280"/>
    </row>
    <row r="33" spans="1:40" x14ac:dyDescent="0.35">
      <c r="A33" s="281"/>
      <c r="B33" s="277"/>
      <c r="C33" s="277"/>
      <c r="D33" s="185">
        <f t="shared" ref="D33:I33" si="14">SUM(D31:D32)</f>
        <v>652.6825</v>
      </c>
      <c r="E33" s="185">
        <f t="shared" si="14"/>
        <v>602.20957128994235</v>
      </c>
      <c r="F33" s="185">
        <f t="shared" si="14"/>
        <v>560.47903764755495</v>
      </c>
      <c r="G33" s="185">
        <f t="shared" si="14"/>
        <v>518.80844491088681</v>
      </c>
      <c r="H33" s="185">
        <f t="shared" si="14"/>
        <v>477.19899027448952</v>
      </c>
      <c r="I33" s="185">
        <f t="shared" si="14"/>
        <v>435.65105319563287</v>
      </c>
      <c r="J33" s="281"/>
      <c r="K33" s="281"/>
      <c r="L33" s="284">
        <f t="shared" ref="L33:Q33" si="15">SUM(L31:L32)</f>
        <v>27.510567374999997</v>
      </c>
      <c r="M33" s="284">
        <f t="shared" si="15"/>
        <v>25.383133429871069</v>
      </c>
      <c r="N33" s="284">
        <f t="shared" si="15"/>
        <v>23.624191436844441</v>
      </c>
      <c r="O33" s="284">
        <f t="shared" si="15"/>
        <v>21.867775952993878</v>
      </c>
      <c r="P33" s="284">
        <f t="shared" si="15"/>
        <v>20.113937440069733</v>
      </c>
      <c r="Q33" s="284">
        <f t="shared" si="15"/>
        <v>18.362691892195926</v>
      </c>
      <c r="S33" s="133"/>
      <c r="T33" s="133"/>
      <c r="U33" s="133"/>
      <c r="V33" s="133"/>
      <c r="W33" s="133"/>
      <c r="X33" s="133"/>
      <c r="Y33" s="133"/>
      <c r="Z33" s="133"/>
      <c r="AJ33" s="280"/>
      <c r="AK33" s="280"/>
      <c r="AL33" s="280"/>
      <c r="AM33" s="280"/>
      <c r="AN33" s="280"/>
    </row>
    <row r="34" spans="1:40" x14ac:dyDescent="0.35">
      <c r="A34" s="281"/>
      <c r="B34" s="277"/>
      <c r="C34" s="277"/>
      <c r="D34" s="279" t="s">
        <v>824</v>
      </c>
      <c r="E34" s="185">
        <f>E33-$D$33</f>
        <v>-50.472928710057658</v>
      </c>
      <c r="F34" s="185">
        <f>F33-$D$33</f>
        <v>-92.203462352445058</v>
      </c>
      <c r="G34" s="185">
        <f>G33-$D$33</f>
        <v>-133.8740550891132</v>
      </c>
      <c r="H34" s="185">
        <f>H33-$D$33</f>
        <v>-175.48350972551049</v>
      </c>
      <c r="I34" s="185">
        <f>I33-$D$33</f>
        <v>-217.03144680436714</v>
      </c>
      <c r="J34" s="281"/>
      <c r="K34" s="281"/>
      <c r="L34" s="485"/>
      <c r="M34" s="284">
        <f>M33-$L$33</f>
        <v>-2.1274339451289279</v>
      </c>
      <c r="N34" s="284">
        <f t="shared" ref="N34:Q34" si="16">N33-$L$33</f>
        <v>-3.886375938155556</v>
      </c>
      <c r="O34" s="284">
        <f t="shared" si="16"/>
        <v>-5.6427914220061197</v>
      </c>
      <c r="P34" s="284">
        <f t="shared" si="16"/>
        <v>-7.3966299349302638</v>
      </c>
      <c r="Q34" s="284">
        <f t="shared" si="16"/>
        <v>-9.1478754828040714</v>
      </c>
      <c r="S34" s="133"/>
      <c r="T34" s="133"/>
      <c r="U34" s="133"/>
      <c r="V34" s="133"/>
      <c r="W34" s="133"/>
      <c r="X34" s="133"/>
      <c r="Y34" s="133"/>
      <c r="Z34" s="133"/>
      <c r="AJ34" s="280"/>
      <c r="AK34" s="280"/>
      <c r="AL34" s="280"/>
      <c r="AM34" s="280"/>
      <c r="AN34" s="280"/>
    </row>
    <row r="35" spans="1:40" x14ac:dyDescent="0.35">
      <c r="A35" s="281"/>
      <c r="B35" s="307"/>
      <c r="C35" s="217"/>
      <c r="D35" s="217"/>
      <c r="E35" s="217"/>
      <c r="F35" s="217"/>
      <c r="G35" s="217"/>
      <c r="H35" s="217"/>
      <c r="I35" s="217"/>
      <c r="J35" s="217"/>
      <c r="K35" s="217"/>
      <c r="L35" s="217"/>
      <c r="M35" s="217"/>
      <c r="N35" s="217"/>
      <c r="O35" s="217"/>
      <c r="P35" s="217"/>
      <c r="Q35" s="217"/>
      <c r="S35" s="133"/>
      <c r="T35" s="133"/>
      <c r="U35" s="133"/>
      <c r="V35" s="133"/>
      <c r="W35" s="133"/>
      <c r="X35" s="133"/>
      <c r="Y35" s="133"/>
      <c r="Z35" s="133"/>
      <c r="AJ35" s="280"/>
      <c r="AK35" s="280"/>
      <c r="AL35" s="280"/>
      <c r="AM35" s="280"/>
      <c r="AN35" s="280"/>
    </row>
    <row r="36" spans="1:40" x14ac:dyDescent="0.35">
      <c r="A36" s="281"/>
      <c r="B36" s="362" t="s">
        <v>969</v>
      </c>
      <c r="C36" s="363"/>
      <c r="D36" s="363"/>
      <c r="E36" s="363"/>
      <c r="F36" s="363"/>
      <c r="G36" s="363"/>
      <c r="H36" s="363"/>
      <c r="I36" s="216"/>
      <c r="J36" s="390"/>
      <c r="K36" s="217"/>
      <c r="L36" s="389"/>
      <c r="M36" s="389"/>
      <c r="N36" s="389"/>
      <c r="O36" s="389"/>
      <c r="P36" s="389"/>
      <c r="Q36" s="389"/>
      <c r="S36" s="133"/>
      <c r="T36" s="133"/>
      <c r="U36" s="133"/>
      <c r="V36" s="133"/>
      <c r="W36" s="133"/>
      <c r="X36" s="133"/>
      <c r="Y36" s="133"/>
      <c r="Z36" s="133"/>
      <c r="AJ36" s="280"/>
      <c r="AK36" s="280"/>
      <c r="AL36" s="280"/>
      <c r="AM36" s="280"/>
      <c r="AN36" s="280"/>
    </row>
    <row r="37" spans="1:40" ht="58" x14ac:dyDescent="0.35">
      <c r="A37" s="281"/>
      <c r="B37" s="276" t="s">
        <v>762</v>
      </c>
      <c r="C37" s="166" t="s">
        <v>960</v>
      </c>
      <c r="D37" s="386" t="s">
        <v>809</v>
      </c>
      <c r="E37" s="250" t="s">
        <v>677</v>
      </c>
      <c r="F37" s="250" t="s">
        <v>678</v>
      </c>
      <c r="G37" s="165" t="s">
        <v>786</v>
      </c>
      <c r="H37" s="165" t="s">
        <v>787</v>
      </c>
      <c r="I37" s="250" t="s">
        <v>788</v>
      </c>
      <c r="J37" s="281"/>
      <c r="K37" s="497" t="s">
        <v>819</v>
      </c>
      <c r="L37" s="386" t="s">
        <v>809</v>
      </c>
      <c r="M37" s="250" t="s">
        <v>677</v>
      </c>
      <c r="N37" s="250" t="s">
        <v>678</v>
      </c>
      <c r="O37" s="165" t="s">
        <v>786</v>
      </c>
      <c r="P37" s="165" t="s">
        <v>787</v>
      </c>
      <c r="Q37" s="250" t="s">
        <v>788</v>
      </c>
      <c r="S37" s="133"/>
      <c r="T37" s="133"/>
      <c r="U37" s="133"/>
      <c r="V37" s="133"/>
      <c r="W37" s="133"/>
      <c r="X37" s="133"/>
      <c r="Y37" s="133"/>
      <c r="Z37" s="133"/>
      <c r="AJ37" s="280"/>
      <c r="AK37" s="280"/>
      <c r="AL37" s="280"/>
      <c r="AM37" s="280"/>
      <c r="AN37" s="280"/>
    </row>
    <row r="38" spans="1:40" x14ac:dyDescent="0.35">
      <c r="A38" s="281"/>
      <c r="B38" s="330" t="s">
        <v>958</v>
      </c>
      <c r="C38" s="634">
        <f>('Inputs and eligible population'!I82*'Inputs and eligible population'!I81)/60</f>
        <v>17.333333333333332</v>
      </c>
      <c r="D38" s="128">
        <f>('Financial impact (cash)'!D22*'Capacity (local prices)'!$C38)</f>
        <v>55.813333333333333</v>
      </c>
      <c r="E38" s="128">
        <f>('Financial impact (cash)'!E22*'Capacity (local prices)'!$C38)</f>
        <v>0</v>
      </c>
      <c r="F38" s="128">
        <f>('Financial impact (cash)'!F22*'Capacity (local prices)'!$C38)</f>
        <v>0</v>
      </c>
      <c r="G38" s="128">
        <f>('Financial impact (cash)'!G22*'Capacity (local prices)'!$C38)</f>
        <v>0</v>
      </c>
      <c r="H38" s="128">
        <f>('Financial impact (cash)'!H22*'Capacity (local prices)'!$C38)</f>
        <v>0</v>
      </c>
      <c r="I38" s="128">
        <f>('Financial impact (cash)'!I22*'Capacity (local prices)'!$C38)</f>
        <v>0</v>
      </c>
      <c r="J38" s="281"/>
      <c r="K38" s="503">
        <f>'Inputs and eligible population'!L82</f>
        <v>42.15</v>
      </c>
      <c r="L38" s="283">
        <f>(D38*$K38)/1000</f>
        <v>2.3525319999999996</v>
      </c>
      <c r="M38" s="283">
        <f t="shared" ref="M38" si="17">(E38*$K38)/1000</f>
        <v>0</v>
      </c>
      <c r="N38" s="283">
        <f t="shared" ref="N38" si="18">(F38*$K38)/1000</f>
        <v>0</v>
      </c>
      <c r="O38" s="283">
        <f t="shared" ref="O38" si="19">(G38*$K38)/1000</f>
        <v>0</v>
      </c>
      <c r="P38" s="283">
        <f t="shared" ref="P38" si="20">(H38*$K38)/1000</f>
        <v>0</v>
      </c>
      <c r="Q38" s="283">
        <f t="shared" ref="Q38" si="21">(I38*$K38)/1000</f>
        <v>0</v>
      </c>
      <c r="S38" s="133"/>
      <c r="T38" s="133"/>
      <c r="U38" s="133"/>
      <c r="V38" s="133"/>
      <c r="W38" s="133"/>
      <c r="X38" s="133"/>
      <c r="Y38" s="133"/>
      <c r="Z38" s="133"/>
      <c r="AJ38" s="280"/>
      <c r="AK38" s="280"/>
      <c r="AL38" s="280"/>
      <c r="AM38" s="280"/>
      <c r="AN38" s="280"/>
    </row>
    <row r="39" spans="1:40" x14ac:dyDescent="0.35">
      <c r="A39" s="281"/>
      <c r="B39" s="277"/>
      <c r="C39" s="277"/>
      <c r="D39" s="185">
        <f t="shared" ref="D39:I39" si="22">SUM(D38:D38)</f>
        <v>55.813333333333333</v>
      </c>
      <c r="E39" s="185">
        <f t="shared" si="22"/>
        <v>0</v>
      </c>
      <c r="F39" s="185">
        <f t="shared" si="22"/>
        <v>0</v>
      </c>
      <c r="G39" s="185">
        <f t="shared" si="22"/>
        <v>0</v>
      </c>
      <c r="H39" s="185">
        <f t="shared" si="22"/>
        <v>0</v>
      </c>
      <c r="I39" s="185">
        <f t="shared" si="22"/>
        <v>0</v>
      </c>
      <c r="J39" s="281"/>
      <c r="K39" s="281"/>
      <c r="L39" s="284">
        <f t="shared" ref="L39:Q39" si="23">SUM(L38:L38)</f>
        <v>2.3525319999999996</v>
      </c>
      <c r="M39" s="284">
        <f t="shared" si="23"/>
        <v>0</v>
      </c>
      <c r="N39" s="284">
        <f t="shared" si="23"/>
        <v>0</v>
      </c>
      <c r="O39" s="284">
        <f t="shared" si="23"/>
        <v>0</v>
      </c>
      <c r="P39" s="284">
        <f t="shared" si="23"/>
        <v>0</v>
      </c>
      <c r="Q39" s="284">
        <f t="shared" si="23"/>
        <v>0</v>
      </c>
      <c r="S39" s="133"/>
      <c r="T39" s="133"/>
      <c r="U39" s="133"/>
      <c r="V39" s="133"/>
      <c r="W39" s="133"/>
      <c r="X39" s="133"/>
      <c r="Y39" s="133"/>
      <c r="Z39" s="133"/>
      <c r="AJ39" s="280"/>
      <c r="AK39" s="280"/>
      <c r="AL39" s="280"/>
      <c r="AM39" s="280"/>
      <c r="AN39" s="280"/>
    </row>
    <row r="40" spans="1:40" x14ac:dyDescent="0.35">
      <c r="A40" s="281"/>
      <c r="B40" s="277"/>
      <c r="C40" s="277"/>
      <c r="D40" s="279" t="s">
        <v>824</v>
      </c>
      <c r="E40" s="185">
        <f>E39-$D$39</f>
        <v>-55.813333333333333</v>
      </c>
      <c r="F40" s="185">
        <f t="shared" ref="F40:I40" si="24">F39-$D$39</f>
        <v>-55.813333333333333</v>
      </c>
      <c r="G40" s="185">
        <f t="shared" si="24"/>
        <v>-55.813333333333333</v>
      </c>
      <c r="H40" s="185">
        <f t="shared" si="24"/>
        <v>-55.813333333333333</v>
      </c>
      <c r="I40" s="185">
        <f t="shared" si="24"/>
        <v>-55.813333333333333</v>
      </c>
      <c r="J40" s="281"/>
      <c r="K40" s="281"/>
      <c r="L40" s="485"/>
      <c r="M40" s="284">
        <f>M39-$L$39</f>
        <v>-2.3525319999999996</v>
      </c>
      <c r="N40" s="284">
        <f t="shared" ref="N40:Q40" si="25">N39-$L$39</f>
        <v>-2.3525319999999996</v>
      </c>
      <c r="O40" s="284">
        <f t="shared" si="25"/>
        <v>-2.3525319999999996</v>
      </c>
      <c r="P40" s="284">
        <f t="shared" si="25"/>
        <v>-2.3525319999999996</v>
      </c>
      <c r="Q40" s="284">
        <f t="shared" si="25"/>
        <v>-2.3525319999999996</v>
      </c>
      <c r="S40" s="133"/>
      <c r="T40" s="133"/>
      <c r="U40" s="133"/>
      <c r="V40" s="133"/>
      <c r="W40" s="133"/>
      <c r="X40" s="133"/>
      <c r="Y40" s="133"/>
      <c r="Z40" s="133"/>
      <c r="AJ40" s="280"/>
      <c r="AK40" s="280"/>
      <c r="AL40" s="280"/>
      <c r="AM40" s="280"/>
      <c r="AN40" s="280"/>
    </row>
    <row r="41" spans="1:40" x14ac:dyDescent="0.35">
      <c r="A41" s="281"/>
      <c r="B41" s="307"/>
      <c r="C41" s="217"/>
      <c r="D41" s="217"/>
      <c r="E41" s="217"/>
      <c r="F41" s="217"/>
      <c r="G41" s="217"/>
      <c r="H41" s="217"/>
      <c r="I41" s="217"/>
      <c r="J41" s="217"/>
      <c r="K41" s="217"/>
      <c r="L41" s="217"/>
      <c r="M41" s="217"/>
      <c r="N41" s="217"/>
      <c r="O41" s="217"/>
      <c r="P41" s="217"/>
      <c r="Q41" s="217"/>
      <c r="S41" s="133"/>
      <c r="T41" s="133"/>
      <c r="U41" s="133"/>
      <c r="V41" s="133"/>
      <c r="W41" s="133"/>
      <c r="X41" s="133"/>
      <c r="Y41" s="133"/>
      <c r="Z41" s="133"/>
      <c r="AJ41" s="280"/>
      <c r="AK41" s="280"/>
      <c r="AL41" s="280"/>
      <c r="AM41" s="280"/>
      <c r="AN41" s="280"/>
    </row>
    <row r="42" spans="1:40" x14ac:dyDescent="0.35">
      <c r="A42" s="281"/>
      <c r="B42" s="307"/>
      <c r="C42" s="217"/>
      <c r="D42" s="217"/>
      <c r="E42" s="217"/>
      <c r="F42" s="217"/>
      <c r="G42" s="217"/>
      <c r="H42" s="217"/>
      <c r="I42" s="217"/>
      <c r="J42" s="281"/>
      <c r="K42" s="281"/>
      <c r="L42" s="217"/>
      <c r="M42" s="217"/>
      <c r="N42" s="217"/>
      <c r="O42" s="217"/>
      <c r="P42" s="217"/>
      <c r="Q42" s="217"/>
      <c r="R42" s="133"/>
      <c r="S42" s="133"/>
      <c r="T42" s="133"/>
      <c r="U42" s="133"/>
      <c r="V42" s="133"/>
      <c r="W42" s="133"/>
      <c r="X42" s="133"/>
      <c r="Y42" s="133"/>
      <c r="Z42" s="133"/>
      <c r="AJ42" s="280"/>
      <c r="AK42" s="280"/>
      <c r="AL42" s="280"/>
      <c r="AM42" s="280"/>
      <c r="AN42" s="280"/>
    </row>
    <row r="43" spans="1:40" x14ac:dyDescent="0.35">
      <c r="A43" s="641"/>
      <c r="B43" s="647" t="s">
        <v>825</v>
      </c>
      <c r="C43" s="642"/>
      <c r="D43" s="643"/>
      <c r="E43" s="642"/>
      <c r="F43" s="644"/>
      <c r="G43" s="645"/>
      <c r="H43" s="645"/>
      <c r="I43" s="646"/>
      <c r="J43" s="641"/>
      <c r="K43" s="641"/>
      <c r="L43" s="641"/>
      <c r="M43" s="641"/>
      <c r="N43" s="641"/>
      <c r="O43" s="641"/>
      <c r="P43" s="641"/>
      <c r="Q43" s="641"/>
      <c r="R43" s="133"/>
      <c r="S43" s="133"/>
      <c r="T43" s="133"/>
      <c r="U43" s="133"/>
      <c r="V43" s="133"/>
      <c r="W43" s="133"/>
      <c r="X43" s="133"/>
      <c r="Y43" s="133"/>
      <c r="Z43" s="133"/>
      <c r="AJ43" s="280"/>
      <c r="AK43" s="280"/>
      <c r="AL43" s="280"/>
      <c r="AM43" s="280"/>
      <c r="AN43" s="280"/>
    </row>
    <row r="44" spans="1:40" x14ac:dyDescent="0.35">
      <c r="A44" s="282"/>
      <c r="B44" s="364" t="s">
        <v>950</v>
      </c>
      <c r="C44" s="365"/>
      <c r="D44" s="365"/>
      <c r="E44" s="365"/>
      <c r="F44" s="365"/>
      <c r="G44" s="365"/>
      <c r="H44" s="365"/>
      <c r="I44" s="218"/>
      <c r="J44" s="282"/>
      <c r="K44" s="282"/>
      <c r="L44" s="282"/>
      <c r="M44" s="282"/>
      <c r="N44" s="282"/>
      <c r="O44" s="282"/>
      <c r="P44" s="282"/>
      <c r="Q44" s="282"/>
      <c r="V44" s="133"/>
    </row>
    <row r="45" spans="1:40" ht="43.5" x14ac:dyDescent="0.35">
      <c r="A45" s="282"/>
      <c r="B45" s="273" t="s">
        <v>762</v>
      </c>
      <c r="C45" s="166" t="s">
        <v>886</v>
      </c>
      <c r="D45" s="386" t="s">
        <v>809</v>
      </c>
      <c r="E45" s="250" t="s">
        <v>677</v>
      </c>
      <c r="F45" s="250" t="s">
        <v>678</v>
      </c>
      <c r="G45" s="165" t="s">
        <v>786</v>
      </c>
      <c r="H45" s="165" t="s">
        <v>787</v>
      </c>
      <c r="I45" s="250" t="s">
        <v>788</v>
      </c>
      <c r="J45" s="282"/>
      <c r="K45" s="497" t="s">
        <v>819</v>
      </c>
      <c r="L45" s="386" t="s">
        <v>809</v>
      </c>
      <c r="M45" s="250" t="s">
        <v>677</v>
      </c>
      <c r="N45" s="250" t="s">
        <v>678</v>
      </c>
      <c r="O45" s="165" t="s">
        <v>786</v>
      </c>
      <c r="P45" s="165" t="s">
        <v>787</v>
      </c>
      <c r="Q45" s="250" t="s">
        <v>788</v>
      </c>
      <c r="V45" s="133"/>
    </row>
    <row r="46" spans="1:40" x14ac:dyDescent="0.35">
      <c r="A46" s="282"/>
      <c r="B46" s="330" t="s">
        <v>891</v>
      </c>
      <c r="C46" s="149">
        <f>'Inputs and eligible population'!I84</f>
        <v>12</v>
      </c>
      <c r="D46" s="128">
        <f>$C46*('Financial impact (cash)'!D22)</f>
        <v>38.64</v>
      </c>
      <c r="E46" s="128">
        <f>$C46*('Financial impact (cash)'!E22)</f>
        <v>0</v>
      </c>
      <c r="F46" s="128">
        <f>$C46*('Financial impact (cash)'!F22)</f>
        <v>0</v>
      </c>
      <c r="G46" s="128">
        <f>$C46*('Financial impact (cash)'!G22)</f>
        <v>0</v>
      </c>
      <c r="H46" s="128">
        <f>$C46*('Financial impact (cash)'!H22)</f>
        <v>0</v>
      </c>
      <c r="I46" s="128">
        <f>$C46*('Financial impact (cash)'!I22)</f>
        <v>0</v>
      </c>
      <c r="J46" s="282"/>
      <c r="K46" s="503">
        <f>'Inputs and eligible population'!L84</f>
        <v>46.77</v>
      </c>
      <c r="L46" s="283">
        <f t="shared" ref="L46" si="26">(D46*$K46)/1000</f>
        <v>1.8071927999999999</v>
      </c>
      <c r="M46" s="283">
        <f t="shared" ref="M46:Q46" si="27">(E46*$K46)/1000</f>
        <v>0</v>
      </c>
      <c r="N46" s="283">
        <f t="shared" si="27"/>
        <v>0</v>
      </c>
      <c r="O46" s="283">
        <f t="shared" si="27"/>
        <v>0</v>
      </c>
      <c r="P46" s="283">
        <f t="shared" si="27"/>
        <v>0</v>
      </c>
      <c r="Q46" s="283">
        <f t="shared" si="27"/>
        <v>0</v>
      </c>
      <c r="V46" s="133"/>
    </row>
    <row r="47" spans="1:40" x14ac:dyDescent="0.35">
      <c r="A47" s="282"/>
      <c r="B47" s="277"/>
      <c r="C47" s="207"/>
      <c r="D47" s="185">
        <f t="shared" ref="D47:I47" si="28">SUM(D46:D46)</f>
        <v>38.64</v>
      </c>
      <c r="E47" s="185">
        <f t="shared" si="28"/>
        <v>0</v>
      </c>
      <c r="F47" s="185">
        <f t="shared" si="28"/>
        <v>0</v>
      </c>
      <c r="G47" s="185">
        <f t="shared" si="28"/>
        <v>0</v>
      </c>
      <c r="H47" s="185">
        <f t="shared" si="28"/>
        <v>0</v>
      </c>
      <c r="I47" s="185">
        <f t="shared" si="28"/>
        <v>0</v>
      </c>
      <c r="J47" s="282"/>
      <c r="K47" s="282"/>
      <c r="L47" s="284">
        <f t="shared" ref="L47:Q47" si="29">SUM(L46:L46)</f>
        <v>1.8071927999999999</v>
      </c>
      <c r="M47" s="284">
        <f t="shared" si="29"/>
        <v>0</v>
      </c>
      <c r="N47" s="284">
        <f t="shared" si="29"/>
        <v>0</v>
      </c>
      <c r="O47" s="284">
        <f t="shared" si="29"/>
        <v>0</v>
      </c>
      <c r="P47" s="284">
        <f t="shared" si="29"/>
        <v>0</v>
      </c>
      <c r="Q47" s="284">
        <f t="shared" si="29"/>
        <v>0</v>
      </c>
      <c r="V47" s="133"/>
    </row>
    <row r="48" spans="1:40" x14ac:dyDescent="0.35">
      <c r="A48" s="282"/>
      <c r="B48" s="300"/>
      <c r="C48" s="220"/>
      <c r="D48" s="279" t="s">
        <v>887</v>
      </c>
      <c r="E48" s="185">
        <f>E47-$D$47</f>
        <v>-38.64</v>
      </c>
      <c r="F48" s="185">
        <f>F47-$D$47</f>
        <v>-38.64</v>
      </c>
      <c r="G48" s="185">
        <f>G47-$D$47</f>
        <v>-38.64</v>
      </c>
      <c r="H48" s="185">
        <f>H47-$D$47</f>
        <v>-38.64</v>
      </c>
      <c r="I48" s="185">
        <f>I47-$D$47</f>
        <v>-38.64</v>
      </c>
      <c r="J48" s="282"/>
      <c r="K48" s="282"/>
      <c r="L48" s="486"/>
      <c r="M48" s="284">
        <f>M47-$L$47</f>
        <v>-1.8071927999999999</v>
      </c>
      <c r="N48" s="284">
        <f t="shared" ref="N48:Q48" si="30">N47-$L$47</f>
        <v>-1.8071927999999999</v>
      </c>
      <c r="O48" s="284">
        <f t="shared" si="30"/>
        <v>-1.8071927999999999</v>
      </c>
      <c r="P48" s="284">
        <f t="shared" si="30"/>
        <v>-1.8071927999999999</v>
      </c>
      <c r="Q48" s="284">
        <f t="shared" si="30"/>
        <v>-1.8071927999999999</v>
      </c>
      <c r="V48" s="133"/>
    </row>
    <row r="49" spans="1:40" x14ac:dyDescent="0.35">
      <c r="A49" s="282"/>
      <c r="B49" s="308"/>
      <c r="C49" s="365"/>
      <c r="D49" s="219"/>
      <c r="E49" s="219"/>
      <c r="F49" s="219"/>
      <c r="G49" s="219"/>
      <c r="H49" s="219"/>
      <c r="I49" s="219"/>
      <c r="J49" s="219"/>
      <c r="K49" s="219"/>
      <c r="L49" s="219"/>
      <c r="M49" s="219"/>
      <c r="N49" s="219"/>
      <c r="O49" s="219"/>
      <c r="P49" s="219"/>
      <c r="Q49" s="219"/>
      <c r="R49" s="133"/>
      <c r="S49" s="133"/>
      <c r="T49" s="133"/>
      <c r="U49" s="133"/>
      <c r="V49" s="133"/>
      <c r="W49" s="133"/>
      <c r="X49" s="133"/>
      <c r="Y49" s="133"/>
      <c r="Z49" s="133"/>
      <c r="AJ49" s="280"/>
      <c r="AK49" s="280"/>
      <c r="AL49" s="280"/>
      <c r="AM49" s="280"/>
      <c r="AN49" s="280"/>
    </row>
    <row r="50" spans="1:40" x14ac:dyDescent="0.35">
      <c r="A50" s="310"/>
      <c r="B50" s="311" t="s">
        <v>951</v>
      </c>
      <c r="C50" s="312"/>
      <c r="D50" s="312"/>
      <c r="E50" s="313"/>
      <c r="F50" s="314"/>
      <c r="G50" s="315"/>
      <c r="H50" s="315"/>
      <c r="I50" s="360"/>
      <c r="J50" s="310"/>
      <c r="K50" s="310"/>
      <c r="L50" s="310"/>
      <c r="M50" s="310"/>
      <c r="N50" s="310"/>
      <c r="O50" s="310"/>
      <c r="P50" s="310"/>
      <c r="Q50" s="373"/>
      <c r="R50" s="133"/>
      <c r="S50" s="133"/>
      <c r="T50" s="133"/>
      <c r="U50" s="133"/>
      <c r="V50" s="133"/>
      <c r="W50" s="133"/>
      <c r="X50" s="133"/>
      <c r="Y50" s="133"/>
      <c r="Z50" s="133"/>
      <c r="AJ50" s="280"/>
      <c r="AK50" s="280"/>
      <c r="AL50" s="280"/>
      <c r="AM50" s="280"/>
      <c r="AN50" s="280"/>
    </row>
    <row r="51" spans="1:40" x14ac:dyDescent="0.35">
      <c r="A51" s="310"/>
      <c r="B51" s="366" t="s">
        <v>952</v>
      </c>
      <c r="C51" s="367"/>
      <c r="D51" s="367"/>
      <c r="E51" s="367"/>
      <c r="F51" s="367"/>
      <c r="G51" s="367"/>
      <c r="H51" s="367"/>
      <c r="I51" s="316"/>
      <c r="J51" s="373"/>
      <c r="K51" s="373"/>
      <c r="L51" s="394"/>
      <c r="M51" s="394"/>
      <c r="N51" s="394"/>
      <c r="O51" s="394"/>
      <c r="P51" s="394"/>
      <c r="Q51" s="394"/>
      <c r="R51" s="133"/>
      <c r="S51" s="133"/>
      <c r="T51" s="133"/>
      <c r="U51" s="133"/>
      <c r="V51" s="133"/>
      <c r="W51" s="133"/>
      <c r="X51" s="133"/>
      <c r="Y51" s="133"/>
      <c r="Z51" s="133"/>
      <c r="AJ51" s="280"/>
      <c r="AK51" s="280"/>
      <c r="AL51" s="280"/>
      <c r="AM51" s="280"/>
      <c r="AN51" s="280"/>
    </row>
    <row r="52" spans="1:40" ht="58" x14ac:dyDescent="0.35">
      <c r="A52" s="310"/>
      <c r="B52" s="273" t="s">
        <v>762</v>
      </c>
      <c r="C52" s="166" t="s">
        <v>954</v>
      </c>
      <c r="D52" s="386" t="s">
        <v>809</v>
      </c>
      <c r="E52" s="250" t="s">
        <v>677</v>
      </c>
      <c r="F52" s="250" t="s">
        <v>678</v>
      </c>
      <c r="G52" s="165" t="s">
        <v>786</v>
      </c>
      <c r="H52" s="165" t="s">
        <v>787</v>
      </c>
      <c r="I52" s="250" t="s">
        <v>788</v>
      </c>
      <c r="J52" s="310"/>
      <c r="K52" s="497" t="s">
        <v>819</v>
      </c>
      <c r="L52" s="386" t="s">
        <v>809</v>
      </c>
      <c r="M52" s="250" t="s">
        <v>677</v>
      </c>
      <c r="N52" s="250" t="s">
        <v>678</v>
      </c>
      <c r="O52" s="165" t="s">
        <v>786</v>
      </c>
      <c r="P52" s="165" t="s">
        <v>787</v>
      </c>
      <c r="Q52" s="250" t="s">
        <v>788</v>
      </c>
      <c r="R52" s="133"/>
      <c r="S52" s="133"/>
      <c r="T52" s="133"/>
      <c r="U52" s="133"/>
      <c r="V52" s="133"/>
      <c r="W52" s="133"/>
      <c r="X52" s="133"/>
      <c r="Y52" s="133"/>
      <c r="Z52" s="133"/>
      <c r="AJ52" s="280"/>
      <c r="AK52" s="280"/>
      <c r="AL52" s="280"/>
      <c r="AM52" s="280"/>
      <c r="AN52" s="280"/>
    </row>
    <row r="53" spans="1:40" x14ac:dyDescent="0.35">
      <c r="A53" s="310"/>
      <c r="B53" s="330" t="s">
        <v>953</v>
      </c>
      <c r="C53" s="149">
        <f>'Inputs and eligible population'!I83</f>
        <v>3</v>
      </c>
      <c r="D53" s="128">
        <f>$C53*('Financial impact (cash)'!D22)</f>
        <v>9.66</v>
      </c>
      <c r="E53" s="128">
        <f>$C53*('Financial impact (cash)'!E22)</f>
        <v>0</v>
      </c>
      <c r="F53" s="128">
        <f>$C53*('Financial impact (cash)'!F22)</f>
        <v>0</v>
      </c>
      <c r="G53" s="128">
        <f>$C53*('Financial impact (cash)'!G22)</f>
        <v>0</v>
      </c>
      <c r="H53" s="128">
        <f>$C53*('Financial impact (cash)'!H22)</f>
        <v>0</v>
      </c>
      <c r="I53" s="128">
        <f>$C53*('Financial impact (cash)'!I22)</f>
        <v>0</v>
      </c>
      <c r="J53" s="310"/>
      <c r="K53" s="503">
        <f>'Unit costs'!P72</f>
        <v>112</v>
      </c>
      <c r="L53" s="283">
        <f>D53*$K53/1000</f>
        <v>1.08192</v>
      </c>
      <c r="M53" s="283">
        <f t="shared" ref="M53:Q53" si="31">E53*$K53/1000</f>
        <v>0</v>
      </c>
      <c r="N53" s="283">
        <f t="shared" si="31"/>
        <v>0</v>
      </c>
      <c r="O53" s="283">
        <f t="shared" si="31"/>
        <v>0</v>
      </c>
      <c r="P53" s="283">
        <f t="shared" si="31"/>
        <v>0</v>
      </c>
      <c r="Q53" s="283">
        <f t="shared" si="31"/>
        <v>0</v>
      </c>
      <c r="R53" s="133"/>
      <c r="S53" s="133"/>
      <c r="T53" s="133"/>
      <c r="U53" s="133"/>
      <c r="V53" s="133"/>
      <c r="W53" s="133"/>
      <c r="X53" s="133"/>
      <c r="Y53" s="133"/>
      <c r="Z53" s="133"/>
      <c r="AJ53" s="280"/>
      <c r="AK53" s="280"/>
      <c r="AL53" s="280"/>
      <c r="AM53" s="280"/>
      <c r="AN53" s="280"/>
    </row>
    <row r="54" spans="1:40" x14ac:dyDescent="0.35">
      <c r="A54" s="310"/>
      <c r="B54" s="277"/>
      <c r="C54" s="207"/>
      <c r="D54" s="185">
        <f t="shared" ref="D54:I54" si="32">SUM(D53:D53)</f>
        <v>9.66</v>
      </c>
      <c r="E54" s="185">
        <f t="shared" si="32"/>
        <v>0</v>
      </c>
      <c r="F54" s="185">
        <f t="shared" si="32"/>
        <v>0</v>
      </c>
      <c r="G54" s="185">
        <f t="shared" si="32"/>
        <v>0</v>
      </c>
      <c r="H54" s="185">
        <f t="shared" si="32"/>
        <v>0</v>
      </c>
      <c r="I54" s="185">
        <f t="shared" si="32"/>
        <v>0</v>
      </c>
      <c r="J54" s="310"/>
      <c r="K54" s="310"/>
      <c r="L54" s="284">
        <f t="shared" ref="L54:Q54" si="33">SUM(L53:L53)</f>
        <v>1.08192</v>
      </c>
      <c r="M54" s="284">
        <f t="shared" si="33"/>
        <v>0</v>
      </c>
      <c r="N54" s="284">
        <f t="shared" si="33"/>
        <v>0</v>
      </c>
      <c r="O54" s="284">
        <f t="shared" si="33"/>
        <v>0</v>
      </c>
      <c r="P54" s="284">
        <f t="shared" si="33"/>
        <v>0</v>
      </c>
      <c r="Q54" s="284">
        <f t="shared" si="33"/>
        <v>0</v>
      </c>
      <c r="R54" s="133"/>
      <c r="S54" s="133"/>
      <c r="T54" s="133"/>
      <c r="U54" s="133"/>
      <c r="V54" s="133"/>
      <c r="W54" s="133"/>
      <c r="X54" s="133"/>
      <c r="Y54" s="133"/>
      <c r="Z54" s="133"/>
      <c r="AJ54" s="280"/>
      <c r="AK54" s="280"/>
      <c r="AL54" s="280"/>
      <c r="AM54" s="280"/>
      <c r="AN54" s="280"/>
    </row>
    <row r="55" spans="1:40" x14ac:dyDescent="0.35">
      <c r="A55" s="310"/>
      <c r="B55" s="300"/>
      <c r="C55" s="251"/>
      <c r="D55" s="279" t="s">
        <v>826</v>
      </c>
      <c r="E55" s="185">
        <f>E54-$D$54</f>
        <v>-9.66</v>
      </c>
      <c r="F55" s="185">
        <f>F54-$D$54</f>
        <v>-9.66</v>
      </c>
      <c r="G55" s="185">
        <f>G54-$D$54</f>
        <v>-9.66</v>
      </c>
      <c r="H55" s="185">
        <f>H54-$D$54</f>
        <v>-9.66</v>
      </c>
      <c r="I55" s="185">
        <f>I54-$D$54</f>
        <v>-9.66</v>
      </c>
      <c r="J55" s="310"/>
      <c r="K55" s="310"/>
      <c r="L55" s="487"/>
      <c r="M55" s="284">
        <f>M54-$L$54</f>
        <v>-1.08192</v>
      </c>
      <c r="N55" s="284">
        <f t="shared" ref="N55:Q55" si="34">N54-$L$54</f>
        <v>-1.08192</v>
      </c>
      <c r="O55" s="284">
        <f t="shared" si="34"/>
        <v>-1.08192</v>
      </c>
      <c r="P55" s="284">
        <f t="shared" si="34"/>
        <v>-1.08192</v>
      </c>
      <c r="Q55" s="284">
        <f t="shared" si="34"/>
        <v>-1.08192</v>
      </c>
      <c r="V55" s="133"/>
    </row>
    <row r="56" spans="1:40" x14ac:dyDescent="0.35">
      <c r="A56" s="310"/>
      <c r="B56" s="310"/>
      <c r="C56" s="310"/>
      <c r="D56" s="310"/>
      <c r="E56" s="310"/>
      <c r="F56" s="310"/>
      <c r="G56" s="310"/>
      <c r="H56" s="310"/>
      <c r="I56" s="310"/>
      <c r="J56" s="310"/>
      <c r="K56" s="310"/>
      <c r="L56" s="310"/>
      <c r="M56" s="310"/>
      <c r="N56" s="310"/>
      <c r="O56" s="310"/>
      <c r="P56" s="310"/>
      <c r="Q56" s="310"/>
      <c r="V56" s="133"/>
    </row>
    <row r="57" spans="1:40" x14ac:dyDescent="0.35">
      <c r="B57"/>
    </row>
    <row r="58" spans="1:40" x14ac:dyDescent="0.35">
      <c r="B58"/>
    </row>
    <row r="59" spans="1:40" x14ac:dyDescent="0.35">
      <c r="B59"/>
    </row>
    <row r="60" spans="1:40" x14ac:dyDescent="0.35">
      <c r="B60"/>
    </row>
    <row r="61" spans="1:40" x14ac:dyDescent="0.35">
      <c r="B61"/>
    </row>
  </sheetData>
  <sheetProtection algorithmName="SHA-512" hashValue="Xqz1wDleTDGW+D1CndZLBroVIGqRtRIKWegP9iYiFIJTn+jiuGWXrxMPmo96phKzRDo/x/29fAmWP2s4soPIyQ==" saltValue="osHET4CHILQ79eD3334LQ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49"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61"/>
  <sheetViews>
    <sheetView showGridLines="0" zoomScale="80" zoomScaleNormal="80" zoomScaleSheetLayoutView="30" workbookViewId="0">
      <selection activeCell="K22" sqref="K22"/>
    </sheetView>
  </sheetViews>
  <sheetFormatPr defaultColWidth="8.6328125" defaultRowHeight="14.5" x14ac:dyDescent="0.35"/>
  <cols>
    <col min="1" max="1" width="3.54296875" customWidth="1"/>
    <col min="2" max="2" width="65.54296875" style="1" customWidth="1"/>
    <col min="3" max="9" width="12.54296875" customWidth="1"/>
    <col min="10" max="10" width="1.6328125" customWidth="1"/>
    <col min="11" max="18" width="11.54296875" customWidth="1"/>
    <col min="19" max="19" width="11.453125" customWidth="1"/>
    <col min="20" max="20" width="11.54296875" customWidth="1"/>
    <col min="21" max="26" width="10.6328125" customWidth="1"/>
    <col min="28" max="41" width="0" hidden="1" customWidth="1"/>
  </cols>
  <sheetData>
    <row r="1" spans="1:40" ht="30" customHeight="1" x14ac:dyDescent="0.35">
      <c r="B1" s="494" t="str">
        <f>'Inputs and eligible population'!B1</f>
        <v>Eplontersen for treating hereditary transthyretin amyloidosis</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5" customHeight="1" x14ac:dyDescent="0.35">
      <c r="B2" s="214" t="s">
        <v>828</v>
      </c>
      <c r="C2" s="127" t="s">
        <v>734</v>
      </c>
      <c r="D2" s="127" t="s">
        <v>734</v>
      </c>
      <c r="E2" s="127" t="s">
        <v>734</v>
      </c>
      <c r="F2" s="127" t="s">
        <v>734</v>
      </c>
      <c r="G2" s="127" t="s">
        <v>734</v>
      </c>
      <c r="H2" s="127" t="s">
        <v>734</v>
      </c>
      <c r="I2" s="127" t="s">
        <v>734</v>
      </c>
      <c r="J2" s="127" t="s">
        <v>734</v>
      </c>
      <c r="K2" s="127"/>
      <c r="L2" s="127" t="s">
        <v>734</v>
      </c>
      <c r="M2" s="127" t="s">
        <v>734</v>
      </c>
      <c r="N2" s="127" t="s">
        <v>734</v>
      </c>
      <c r="O2" s="127" t="s">
        <v>734</v>
      </c>
      <c r="P2" s="127" t="s">
        <v>734</v>
      </c>
      <c r="Q2" s="127"/>
      <c r="R2" s="127"/>
      <c r="S2" s="127"/>
      <c r="T2" s="127"/>
      <c r="U2" s="127"/>
      <c r="V2" s="127"/>
      <c r="W2" s="127"/>
      <c r="X2" s="127"/>
      <c r="Y2" s="127"/>
      <c r="Z2" s="127"/>
    </row>
    <row r="3" spans="1:40" ht="14.75" customHeight="1" x14ac:dyDescent="0.35">
      <c r="B3" s="130" t="s">
        <v>734</v>
      </c>
      <c r="C3" s="133" t="s">
        <v>734</v>
      </c>
      <c r="D3" s="133" t="s">
        <v>734</v>
      </c>
      <c r="E3" s="133" t="s">
        <v>734</v>
      </c>
      <c r="F3" s="133" t="s">
        <v>734</v>
      </c>
      <c r="G3" s="133" t="s">
        <v>734</v>
      </c>
      <c r="H3" s="133" t="s">
        <v>734</v>
      </c>
      <c r="I3" s="133" t="s">
        <v>734</v>
      </c>
      <c r="J3" s="133" t="s">
        <v>734</v>
      </c>
      <c r="K3" s="133"/>
      <c r="L3" s="133" t="s">
        <v>734</v>
      </c>
      <c r="M3" s="133" t="s">
        <v>734</v>
      </c>
      <c r="N3" s="133" t="s">
        <v>734</v>
      </c>
      <c r="O3" s="133" t="s">
        <v>734</v>
      </c>
      <c r="P3" s="133" t="s">
        <v>734</v>
      </c>
      <c r="Q3" s="133"/>
      <c r="R3" s="133"/>
      <c r="S3" s="127"/>
      <c r="T3" s="127"/>
      <c r="U3" s="127"/>
      <c r="V3" s="127"/>
      <c r="W3" s="127"/>
      <c r="X3" s="127"/>
      <c r="Y3" s="133"/>
      <c r="Z3" s="133"/>
    </row>
    <row r="4" spans="1:40" ht="14.75" customHeight="1" x14ac:dyDescent="0.35">
      <c r="B4" t="s">
        <v>816</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27"/>
      <c r="T5" s="127"/>
      <c r="U5" s="127"/>
      <c r="V5" s="127"/>
      <c r="W5" s="127"/>
      <c r="X5" s="127"/>
      <c r="Y5" s="133"/>
      <c r="Z5" s="133"/>
    </row>
    <row r="6" spans="1:40" ht="43.5" x14ac:dyDescent="0.35">
      <c r="B6" s="252" t="s">
        <v>789</v>
      </c>
      <c r="C6" s="209"/>
      <c r="D6" s="386" t="s">
        <v>809</v>
      </c>
      <c r="E6" s="250" t="s">
        <v>677</v>
      </c>
      <c r="F6" s="250" t="s">
        <v>678</v>
      </c>
      <c r="G6" s="165" t="s">
        <v>786</v>
      </c>
      <c r="H6" s="165" t="s">
        <v>787</v>
      </c>
      <c r="I6" s="250" t="s">
        <v>788</v>
      </c>
      <c r="L6" s="386" t="s">
        <v>809</v>
      </c>
      <c r="M6" s="250" t="s">
        <v>677</v>
      </c>
      <c r="N6" s="250" t="s">
        <v>678</v>
      </c>
      <c r="O6" s="165" t="s">
        <v>786</v>
      </c>
      <c r="P6" s="165" t="s">
        <v>787</v>
      </c>
      <c r="Q6" s="250" t="s">
        <v>788</v>
      </c>
      <c r="R6" s="133"/>
      <c r="S6" s="127"/>
      <c r="T6" s="127"/>
      <c r="U6" s="127"/>
      <c r="V6" s="127"/>
      <c r="W6" s="127"/>
      <c r="X6" s="127"/>
      <c r="Y6" s="133"/>
      <c r="Z6" s="133"/>
      <c r="AJ6" s="280"/>
      <c r="AK6" s="280"/>
      <c r="AL6" s="280"/>
      <c r="AM6" s="280"/>
      <c r="AN6" s="280"/>
    </row>
    <row r="7" spans="1:40" ht="14.75" customHeight="1" x14ac:dyDescent="0.35">
      <c r="B7" s="221" t="s">
        <v>789</v>
      </c>
      <c r="C7" s="168"/>
      <c r="D7" s="355">
        <f>'Inputs and eligible population'!F40</f>
        <v>161</v>
      </c>
      <c r="E7" s="355">
        <f>'Inputs and eligible population'!G40</f>
        <v>162.55233100169255</v>
      </c>
      <c r="F7" s="355">
        <f>'Inputs and eligible population'!H40</f>
        <v>164.1196292800237</v>
      </c>
      <c r="G7" s="355">
        <f>'Inputs and eligible population'!I40</f>
        <v>165.70203914659308</v>
      </c>
      <c r="H7" s="355">
        <f>'Inputs and eligible population'!J40</f>
        <v>167.29970630442494</v>
      </c>
      <c r="I7" s="355">
        <f>'Inputs and eligible population'!K40</f>
        <v>168.91277786138403</v>
      </c>
      <c r="P7" s="133"/>
      <c r="Q7" s="133"/>
      <c r="R7" s="133"/>
      <c r="S7" s="127"/>
      <c r="T7" s="127"/>
      <c r="U7" s="127"/>
      <c r="V7" s="127"/>
      <c r="W7" s="127"/>
      <c r="X7" s="127"/>
      <c r="Y7" s="133"/>
      <c r="Z7" s="133"/>
      <c r="AJ7" s="280"/>
      <c r="AK7" s="280"/>
      <c r="AL7" s="280"/>
      <c r="AM7" s="280"/>
      <c r="AN7" s="280"/>
    </row>
    <row r="8" spans="1:40" ht="14.75" customHeight="1" x14ac:dyDescent="0.35">
      <c r="B8"/>
      <c r="P8" s="133"/>
      <c r="Q8" s="133"/>
      <c r="R8" s="133"/>
      <c r="S8" s="127"/>
      <c r="T8" s="127"/>
      <c r="U8" s="127"/>
      <c r="V8" s="127"/>
      <c r="W8" s="127"/>
      <c r="X8" s="127"/>
      <c r="Y8" s="133"/>
      <c r="Z8" s="133"/>
      <c r="AJ8" s="280"/>
      <c r="AK8" s="280"/>
      <c r="AL8" s="280"/>
      <c r="AM8" s="280"/>
      <c r="AN8" s="280"/>
    </row>
    <row r="9" spans="1:40" ht="14.75" customHeight="1" x14ac:dyDescent="0.35">
      <c r="B9" s="273" t="s">
        <v>817</v>
      </c>
      <c r="C9" s="395"/>
      <c r="D9" s="395"/>
      <c r="E9" s="396"/>
      <c r="F9" s="395"/>
      <c r="G9" s="397"/>
      <c r="H9" s="398"/>
      <c r="I9" s="398"/>
      <c r="J9" s="510"/>
      <c r="K9" s="509"/>
      <c r="L9" s="633" t="s">
        <v>792</v>
      </c>
      <c r="M9" s="633" t="s">
        <v>792</v>
      </c>
      <c r="N9" s="633" t="s">
        <v>792</v>
      </c>
      <c r="O9" s="633" t="s">
        <v>792</v>
      </c>
      <c r="P9" s="633" t="s">
        <v>792</v>
      </c>
      <c r="Q9" s="633" t="s">
        <v>792</v>
      </c>
      <c r="R9" s="133"/>
      <c r="S9" s="127"/>
      <c r="T9" s="127"/>
      <c r="U9" s="127"/>
      <c r="V9" s="127"/>
      <c r="W9" s="127"/>
      <c r="X9" s="127"/>
      <c r="Y9" s="133"/>
      <c r="Z9" s="133"/>
      <c r="AJ9" s="280"/>
      <c r="AK9" s="280"/>
      <c r="AL9" s="280"/>
      <c r="AM9" s="280"/>
      <c r="AN9" s="280"/>
    </row>
    <row r="10" spans="1:40" ht="14.75" customHeight="1" x14ac:dyDescent="0.35">
      <c r="A10" s="287"/>
      <c r="B10" s="399" t="str">
        <f>B20</f>
        <v xml:space="preserve">Home care nurse administrations - annual number of cycles </v>
      </c>
      <c r="C10" s="383"/>
      <c r="D10" s="382">
        <f>D24</f>
        <v>652.6825</v>
      </c>
      <c r="E10" s="382">
        <f t="shared" ref="E10:I10" si="0">E24</f>
        <v>602.20957128994235</v>
      </c>
      <c r="F10" s="382">
        <f t="shared" si="0"/>
        <v>560.47903764755483</v>
      </c>
      <c r="G10" s="382">
        <f t="shared" si="0"/>
        <v>518.80844491088681</v>
      </c>
      <c r="H10" s="382">
        <f t="shared" si="0"/>
        <v>477.19899027448952</v>
      </c>
      <c r="I10" s="382">
        <f t="shared" si="0"/>
        <v>435.65105319563287</v>
      </c>
      <c r="L10" s="283">
        <f>L24</f>
        <v>0</v>
      </c>
      <c r="M10" s="283">
        <f t="shared" ref="M10:Q10" si="1">M24</f>
        <v>0</v>
      </c>
      <c r="N10" s="283">
        <f t="shared" si="1"/>
        <v>0</v>
      </c>
      <c r="O10" s="283">
        <f t="shared" si="1"/>
        <v>0</v>
      </c>
      <c r="P10" s="283">
        <f t="shared" si="1"/>
        <v>0</v>
      </c>
      <c r="Q10" s="283">
        <f t="shared" si="1"/>
        <v>0</v>
      </c>
      <c r="R10" s="133"/>
      <c r="S10" s="133"/>
      <c r="T10" s="133"/>
      <c r="U10" s="133"/>
      <c r="V10" s="133"/>
      <c r="W10" s="133"/>
      <c r="X10" s="133"/>
      <c r="Y10" s="133"/>
      <c r="Z10" s="133"/>
      <c r="AJ10" s="280"/>
      <c r="AK10" s="280"/>
      <c r="AL10" s="280"/>
      <c r="AM10" s="280"/>
      <c r="AN10" s="280"/>
    </row>
    <row r="11" spans="1:40" ht="14.75" customHeight="1" x14ac:dyDescent="0.35">
      <c r="A11" s="281"/>
      <c r="B11" s="400" t="str">
        <f>B29</f>
        <v xml:space="preserve">Administrations - duration of homecare  administrations (hours) </v>
      </c>
      <c r="C11" s="403"/>
      <c r="D11" s="384">
        <f>D33</f>
        <v>652.6825</v>
      </c>
      <c r="E11" s="384">
        <f t="shared" ref="E11:I11" si="2">E33</f>
        <v>602.20957128994235</v>
      </c>
      <c r="F11" s="384">
        <f t="shared" si="2"/>
        <v>560.47903764755495</v>
      </c>
      <c r="G11" s="384">
        <f t="shared" si="2"/>
        <v>518.80844491088681</v>
      </c>
      <c r="H11" s="384">
        <f t="shared" si="2"/>
        <v>477.19899027448952</v>
      </c>
      <c r="I11" s="384">
        <f t="shared" si="2"/>
        <v>435.65105319563287</v>
      </c>
      <c r="L11" s="207"/>
      <c r="M11" s="207"/>
      <c r="N11" s="207"/>
      <c r="O11" s="207"/>
      <c r="P11" s="381"/>
      <c r="Q11" s="381"/>
      <c r="R11" s="133"/>
      <c r="S11" s="133"/>
      <c r="T11" s="133"/>
      <c r="U11" s="133"/>
      <c r="V11" s="133"/>
      <c r="W11" s="133"/>
      <c r="X11" s="133"/>
      <c r="Y11" s="133"/>
      <c r="Z11" s="133"/>
      <c r="AJ11" s="280"/>
      <c r="AK11" s="280"/>
      <c r="AL11" s="280"/>
      <c r="AM11" s="280"/>
      <c r="AN11" s="280"/>
    </row>
    <row r="12" spans="1:40" ht="14.75" customHeight="1" x14ac:dyDescent="0.35">
      <c r="A12" s="281"/>
      <c r="B12" s="400" t="str">
        <f>B36</f>
        <v>Monitoring visits</v>
      </c>
      <c r="C12" s="403"/>
      <c r="D12" s="384">
        <f>D39</f>
        <v>83.72</v>
      </c>
      <c r="E12" s="384">
        <f t="shared" ref="E12:I12" si="3">E39</f>
        <v>0</v>
      </c>
      <c r="F12" s="384">
        <f t="shared" si="3"/>
        <v>0</v>
      </c>
      <c r="G12" s="384">
        <f t="shared" si="3"/>
        <v>0</v>
      </c>
      <c r="H12" s="384">
        <f t="shared" si="3"/>
        <v>0</v>
      </c>
      <c r="I12" s="384">
        <f t="shared" si="3"/>
        <v>0</v>
      </c>
      <c r="L12" s="283">
        <f>L39</f>
        <v>7.0324799999999996</v>
      </c>
      <c r="M12" s="283">
        <f t="shared" ref="M12:Q12" si="4">M39</f>
        <v>0</v>
      </c>
      <c r="N12" s="283">
        <f t="shared" si="4"/>
        <v>0</v>
      </c>
      <c r="O12" s="283">
        <f t="shared" si="4"/>
        <v>0</v>
      </c>
      <c r="P12" s="283">
        <f t="shared" si="4"/>
        <v>0</v>
      </c>
      <c r="Q12" s="283">
        <f t="shared" si="4"/>
        <v>0</v>
      </c>
      <c r="R12" s="133"/>
      <c r="S12" s="133"/>
      <c r="T12" s="133"/>
      <c r="U12" s="133"/>
      <c r="V12" s="133"/>
      <c r="W12" s="133"/>
      <c r="X12" s="133"/>
      <c r="Y12" s="133"/>
      <c r="Z12" s="133"/>
      <c r="AJ12" s="280"/>
      <c r="AK12" s="280"/>
      <c r="AL12" s="280"/>
      <c r="AM12" s="280"/>
      <c r="AN12" s="280"/>
    </row>
    <row r="13" spans="1:40" ht="14.75" customHeight="1" x14ac:dyDescent="0.35">
      <c r="A13" s="282"/>
      <c r="B13" s="401" t="str">
        <f>B44</f>
        <v>Pharmacy support (preparations)</v>
      </c>
      <c r="C13" s="404"/>
      <c r="D13" s="385">
        <f>D47</f>
        <v>38.64</v>
      </c>
      <c r="E13" s="385">
        <f t="shared" ref="E13:I13" si="5">E47</f>
        <v>0</v>
      </c>
      <c r="F13" s="385">
        <f t="shared" si="5"/>
        <v>0</v>
      </c>
      <c r="G13" s="385">
        <f t="shared" si="5"/>
        <v>0</v>
      </c>
      <c r="H13" s="385">
        <f t="shared" si="5"/>
        <v>0</v>
      </c>
      <c r="I13" s="385">
        <f t="shared" si="5"/>
        <v>0</v>
      </c>
      <c r="L13" s="283">
        <f>L47</f>
        <v>1.9319999999999999</v>
      </c>
      <c r="M13" s="283">
        <f t="shared" ref="M13:Q13" si="6">M47</f>
        <v>0</v>
      </c>
      <c r="N13" s="283">
        <f t="shared" si="6"/>
        <v>0</v>
      </c>
      <c r="O13" s="283">
        <f t="shared" si="6"/>
        <v>0</v>
      </c>
      <c r="P13" s="283">
        <f t="shared" si="6"/>
        <v>0</v>
      </c>
      <c r="Q13" s="283">
        <f t="shared" si="6"/>
        <v>0</v>
      </c>
      <c r="R13" s="133"/>
      <c r="S13" s="133"/>
      <c r="T13" s="133"/>
      <c r="U13" s="133"/>
      <c r="V13" s="133"/>
      <c r="W13" s="133"/>
      <c r="X13" s="133"/>
      <c r="Y13" s="133"/>
      <c r="Z13" s="133"/>
      <c r="AJ13" s="280"/>
      <c r="AK13" s="280"/>
      <c r="AL13" s="280"/>
      <c r="AM13" s="280"/>
      <c r="AN13" s="280"/>
    </row>
    <row r="14" spans="1:40" ht="14.75" customHeight="1" x14ac:dyDescent="0.35">
      <c r="A14" s="310"/>
      <c r="B14" s="402" t="str">
        <f>B51</f>
        <v>Appointments with supporting specialty haematology</v>
      </c>
      <c r="C14" s="405"/>
      <c r="D14" s="388">
        <f>D54</f>
        <v>9.66</v>
      </c>
      <c r="E14" s="388">
        <f t="shared" ref="E14:I14" si="7">E54</f>
        <v>0</v>
      </c>
      <c r="F14" s="388">
        <f t="shared" si="7"/>
        <v>0</v>
      </c>
      <c r="G14" s="388">
        <f t="shared" si="7"/>
        <v>0</v>
      </c>
      <c r="H14" s="388">
        <f t="shared" si="7"/>
        <v>0</v>
      </c>
      <c r="I14" s="388">
        <f t="shared" si="7"/>
        <v>0</v>
      </c>
      <c r="L14" s="283">
        <f>L54</f>
        <v>1.3524</v>
      </c>
      <c r="M14" s="283">
        <f t="shared" ref="M14:Q14" si="8">M54</f>
        <v>0</v>
      </c>
      <c r="N14" s="283">
        <f t="shared" si="8"/>
        <v>0</v>
      </c>
      <c r="O14" s="283">
        <f t="shared" si="8"/>
        <v>0</v>
      </c>
      <c r="P14" s="283">
        <f t="shared" si="8"/>
        <v>0</v>
      </c>
      <c r="Q14" s="283">
        <f t="shared" si="8"/>
        <v>0</v>
      </c>
      <c r="R14" s="133"/>
      <c r="S14" s="133"/>
      <c r="T14" s="133"/>
      <c r="U14" s="133"/>
      <c r="V14" s="133"/>
      <c r="W14" s="133"/>
      <c r="X14" s="133"/>
      <c r="Y14" s="133"/>
      <c r="Z14" s="133"/>
      <c r="AJ14" s="280"/>
      <c r="AK14" s="280"/>
      <c r="AL14" s="280"/>
      <c r="AM14" s="280"/>
      <c r="AN14" s="280"/>
    </row>
    <row r="15" spans="1:40" ht="14.75" customHeight="1" x14ac:dyDescent="0.35">
      <c r="B15" s="243"/>
      <c r="D15" s="280"/>
      <c r="F15" s="133"/>
      <c r="G15" s="133"/>
      <c r="H15" s="133"/>
      <c r="I15" s="133"/>
      <c r="J15" s="133"/>
      <c r="K15" s="133"/>
      <c r="L15" s="284">
        <f t="shared" ref="L15:Q15" si="9">SUM(L10:L14)</f>
        <v>10.316879999999999</v>
      </c>
      <c r="M15" s="284">
        <f t="shared" si="9"/>
        <v>0</v>
      </c>
      <c r="N15" s="284">
        <f t="shared" si="9"/>
        <v>0</v>
      </c>
      <c r="O15" s="284">
        <f t="shared" si="9"/>
        <v>0</v>
      </c>
      <c r="P15" s="284">
        <f t="shared" si="9"/>
        <v>0</v>
      </c>
      <c r="Q15" s="284">
        <f t="shared" si="9"/>
        <v>0</v>
      </c>
      <c r="R15" s="133"/>
      <c r="S15" s="133"/>
      <c r="T15" s="133"/>
      <c r="U15" s="133"/>
      <c r="V15" s="133"/>
      <c r="W15" s="133"/>
      <c r="X15" s="133"/>
      <c r="Y15" s="133"/>
      <c r="Z15" s="133"/>
    </row>
    <row r="16" spans="1:40" x14ac:dyDescent="0.35">
      <c r="B16" s="302"/>
      <c r="C16" s="302"/>
      <c r="D16" s="302"/>
      <c r="E16" s="302"/>
      <c r="F16" s="302"/>
      <c r="G16" s="302"/>
      <c r="H16" s="302"/>
      <c r="I16" s="302"/>
      <c r="J16" s="302"/>
      <c r="K16" s="302"/>
      <c r="L16" s="302"/>
      <c r="P16" s="133"/>
      <c r="Q16" s="133"/>
      <c r="R16" s="133"/>
      <c r="S16" s="133"/>
      <c r="V16" s="133"/>
      <c r="W16" s="133"/>
      <c r="X16" s="133"/>
      <c r="Y16" s="133"/>
      <c r="Z16" s="133"/>
      <c r="AJ16" s="280"/>
      <c r="AK16" s="280"/>
      <c r="AL16" s="280"/>
      <c r="AM16" s="280"/>
      <c r="AN16" s="280"/>
    </row>
    <row r="17" spans="1:40" x14ac:dyDescent="0.35">
      <c r="B17" s="347" t="s">
        <v>818</v>
      </c>
      <c r="C17" s="348"/>
      <c r="D17" s="348"/>
      <c r="E17" s="349"/>
      <c r="F17" s="348"/>
      <c r="G17" s="350"/>
      <c r="H17" s="351"/>
      <c r="I17" s="351"/>
      <c r="J17" s="351"/>
      <c r="K17" s="351"/>
      <c r="L17" s="351"/>
      <c r="M17" s="351"/>
      <c r="N17" s="351"/>
      <c r="O17" s="351"/>
      <c r="P17" s="351"/>
      <c r="Q17" s="352"/>
      <c r="R17" s="133"/>
      <c r="S17" s="133"/>
      <c r="T17" s="133"/>
      <c r="U17" s="133"/>
      <c r="V17" s="133"/>
      <c r="W17" s="133"/>
      <c r="X17" s="133"/>
      <c r="Y17" s="133"/>
      <c r="Z17" s="133"/>
      <c r="AJ17" s="280"/>
      <c r="AK17" s="280"/>
      <c r="AL17" s="280"/>
      <c r="AM17" s="280"/>
      <c r="AN17" s="280"/>
    </row>
    <row r="18" spans="1:40" x14ac:dyDescent="0.35">
      <c r="A18" s="287"/>
      <c r="B18" s="303" t="s">
        <v>820</v>
      </c>
      <c r="C18" s="288"/>
      <c r="D18" s="288"/>
      <c r="E18" s="289"/>
      <c r="F18" s="290"/>
      <c r="G18" s="291"/>
      <c r="H18" s="291"/>
      <c r="I18" s="391"/>
      <c r="J18" s="392"/>
      <c r="K18" s="287"/>
      <c r="L18" s="287"/>
      <c r="M18" s="287"/>
      <c r="N18" s="287"/>
      <c r="O18" s="287"/>
      <c r="P18" s="287"/>
      <c r="Q18" s="215"/>
      <c r="R18" s="133"/>
      <c r="S18" s="133"/>
      <c r="T18" s="133"/>
      <c r="U18" s="133"/>
      <c r="V18" s="133"/>
      <c r="W18" s="133"/>
      <c r="X18" s="133"/>
      <c r="Y18" s="133"/>
      <c r="Z18" s="133"/>
      <c r="AJ18" s="280"/>
      <c r="AK18" s="280"/>
      <c r="AL18" s="280"/>
      <c r="AM18" s="280"/>
      <c r="AN18" s="280"/>
    </row>
    <row r="19" spans="1:40" x14ac:dyDescent="0.35">
      <c r="A19" s="287"/>
      <c r="B19" s="304"/>
      <c r="C19" s="293"/>
      <c r="D19" s="292"/>
      <c r="E19" s="293"/>
      <c r="F19" s="294"/>
      <c r="G19" s="287"/>
      <c r="H19" s="287"/>
      <c r="I19" s="778"/>
      <c r="J19" s="215"/>
      <c r="K19" s="215"/>
      <c r="L19" s="215"/>
      <c r="M19" s="215"/>
      <c r="N19" s="215"/>
      <c r="O19" s="215"/>
      <c r="P19" s="215"/>
      <c r="Q19" s="215"/>
      <c r="R19" s="133"/>
      <c r="S19" s="133"/>
      <c r="T19" s="133"/>
      <c r="U19" s="133"/>
      <c r="V19" s="133"/>
      <c r="W19" s="133"/>
      <c r="X19" s="133"/>
      <c r="Y19" s="133"/>
      <c r="Z19" s="133"/>
      <c r="AJ19" s="280"/>
      <c r="AK19" s="280"/>
      <c r="AL19" s="280"/>
      <c r="AM19" s="280"/>
      <c r="AN19" s="280"/>
    </row>
    <row r="20" spans="1:40" x14ac:dyDescent="0.35">
      <c r="A20" s="295"/>
      <c r="B20" s="361" t="s">
        <v>1019</v>
      </c>
      <c r="C20" s="288"/>
      <c r="D20" s="715"/>
      <c r="E20" s="715"/>
      <c r="F20" s="715"/>
      <c r="G20" s="715"/>
      <c r="H20" s="715"/>
      <c r="I20" s="383"/>
      <c r="J20" s="215"/>
      <c r="K20" s="215"/>
      <c r="L20" s="215"/>
      <c r="M20" s="215"/>
      <c r="N20" s="215"/>
      <c r="O20" s="215"/>
      <c r="P20" s="215"/>
      <c r="Q20" s="215"/>
      <c r="R20" s="133"/>
      <c r="S20" s="133"/>
      <c r="T20" s="133"/>
      <c r="U20" s="133"/>
      <c r="V20" s="133"/>
      <c r="W20" s="133"/>
      <c r="X20" s="133"/>
      <c r="Y20" s="133"/>
      <c r="Z20" s="133"/>
      <c r="AJ20" s="280"/>
      <c r="AK20" s="280"/>
      <c r="AL20" s="280"/>
      <c r="AM20" s="280"/>
      <c r="AN20" s="280"/>
    </row>
    <row r="21" spans="1:40" ht="43.5" x14ac:dyDescent="0.35">
      <c r="A21" s="295"/>
      <c r="B21" s="301" t="s">
        <v>762</v>
      </c>
      <c r="C21" s="166" t="s">
        <v>749</v>
      </c>
      <c r="D21" s="386" t="s">
        <v>809</v>
      </c>
      <c r="E21" s="250" t="s">
        <v>677</v>
      </c>
      <c r="F21" s="250" t="s">
        <v>678</v>
      </c>
      <c r="G21" s="165" t="s">
        <v>786</v>
      </c>
      <c r="H21" s="165" t="s">
        <v>787</v>
      </c>
      <c r="I21" s="250" t="s">
        <v>788</v>
      </c>
      <c r="J21" s="215"/>
      <c r="K21" s="497" t="s">
        <v>827</v>
      </c>
      <c r="L21" s="386" t="s">
        <v>809</v>
      </c>
      <c r="M21" s="484" t="s">
        <v>677</v>
      </c>
      <c r="N21" s="484" t="s">
        <v>678</v>
      </c>
      <c r="O21" s="387" t="s">
        <v>786</v>
      </c>
      <c r="P21" s="387" t="s">
        <v>787</v>
      </c>
      <c r="Q21" s="484" t="s">
        <v>788</v>
      </c>
      <c r="R21" s="133"/>
      <c r="S21" s="133"/>
      <c r="T21" s="133"/>
      <c r="U21" s="133"/>
      <c r="V21" s="133"/>
      <c r="W21" s="133"/>
      <c r="X21" s="133"/>
      <c r="Y21" s="133"/>
      <c r="Z21" s="133"/>
      <c r="AJ21" s="280"/>
      <c r="AK21" s="280"/>
      <c r="AL21" s="280"/>
      <c r="AM21" s="280"/>
      <c r="AN21" s="280"/>
    </row>
    <row r="22" spans="1:40" x14ac:dyDescent="0.35">
      <c r="A22" s="295"/>
      <c r="B22" s="330" t="s">
        <v>889</v>
      </c>
      <c r="C22" s="286">
        <f>'Unit costs'!D31</f>
        <v>4</v>
      </c>
      <c r="D22" s="128">
        <f>$C$22*'Financial impact (cash)'!D20</f>
        <v>624.67999999999995</v>
      </c>
      <c r="E22" s="128">
        <f>$C$22*'Financial impact (cash)'!E20</f>
        <v>602.20957128994235</v>
      </c>
      <c r="F22" s="128">
        <f>$C$22*'Financial impact (cash)'!F20</f>
        <v>560.47903764755483</v>
      </c>
      <c r="G22" s="128">
        <f>$C$22*'Financial impact (cash)'!G20</f>
        <v>518.80844491088681</v>
      </c>
      <c r="H22" s="128">
        <f>$C$22*'Financial impact (cash)'!H20</f>
        <v>477.19899027448952</v>
      </c>
      <c r="I22" s="128">
        <f>$C$22*'Financial impact (cash)'!I20</f>
        <v>435.65105319563287</v>
      </c>
      <c r="J22" s="215"/>
      <c r="K22" s="781">
        <f>'Unit costs'!O31</f>
        <v>0</v>
      </c>
      <c r="L22" s="283">
        <f>(D22*$K22)/1000</f>
        <v>0</v>
      </c>
      <c r="M22" s="283">
        <f t="shared" ref="M22:M23" si="10">(E22*$K22)/1000</f>
        <v>0</v>
      </c>
      <c r="N22" s="283">
        <f t="shared" ref="N22:N23" si="11">(F22*$K22)/1000</f>
        <v>0</v>
      </c>
      <c r="O22" s="283">
        <f t="shared" ref="O22:O23" si="12">(G22*$K22)/1000</f>
        <v>0</v>
      </c>
      <c r="P22" s="283">
        <f t="shared" ref="P22:P23" si="13">(H22*$K22)/1000</f>
        <v>0</v>
      </c>
      <c r="Q22" s="283">
        <f t="shared" ref="Q22:Q23" si="14">(I22*$K22)/1000</f>
        <v>0</v>
      </c>
      <c r="R22" s="133"/>
      <c r="S22" s="133"/>
      <c r="T22" s="133"/>
      <c r="U22" s="133"/>
      <c r="V22" s="133"/>
      <c r="W22" s="133"/>
      <c r="X22" s="133"/>
      <c r="Y22" s="133"/>
      <c r="Z22" s="133"/>
      <c r="AJ22" s="280"/>
      <c r="AK22" s="280"/>
      <c r="AL22" s="280"/>
      <c r="AM22" s="280"/>
      <c r="AN22" s="280"/>
    </row>
    <row r="23" spans="1:40" x14ac:dyDescent="0.35">
      <c r="A23" s="295"/>
      <c r="B23" s="330" t="s">
        <v>890</v>
      </c>
      <c r="C23" s="286">
        <f>'Unit costs'!D33</f>
        <v>17.392857142857142</v>
      </c>
      <c r="D23" s="128">
        <f>'Financial impact (cash)'!D21*'Capacity (national prices)'!$C23</f>
        <v>28.002500000000001</v>
      </c>
      <c r="E23" s="128">
        <f>'Financial impact (cash)'!E21*'Capacity (national prices)'!$C23</f>
        <v>0</v>
      </c>
      <c r="F23" s="128">
        <f>'Financial impact (cash)'!F21*'Capacity (national prices)'!$C23</f>
        <v>0</v>
      </c>
      <c r="G23" s="128">
        <f>'Financial impact (cash)'!G21*'Capacity (national prices)'!$C23</f>
        <v>0</v>
      </c>
      <c r="H23" s="128">
        <f>'Financial impact (cash)'!H21*'Capacity (national prices)'!$C23</f>
        <v>0</v>
      </c>
      <c r="I23" s="128">
        <f>'Financial impact (cash)'!I21*'Capacity (national prices)'!$C23</f>
        <v>0</v>
      </c>
      <c r="J23" s="287"/>
      <c r="K23" s="781">
        <f>'Unit costs'!N36</f>
        <v>0</v>
      </c>
      <c r="L23" s="283">
        <f t="shared" ref="L23" si="15">(D23*$K23)/1000</f>
        <v>0</v>
      </c>
      <c r="M23" s="283">
        <f t="shared" si="10"/>
        <v>0</v>
      </c>
      <c r="N23" s="283">
        <f t="shared" si="11"/>
        <v>0</v>
      </c>
      <c r="O23" s="283">
        <f t="shared" si="12"/>
        <v>0</v>
      </c>
      <c r="P23" s="283">
        <f t="shared" si="13"/>
        <v>0</v>
      </c>
      <c r="Q23" s="283">
        <f t="shared" si="14"/>
        <v>0</v>
      </c>
      <c r="R23" s="133"/>
      <c r="S23" s="133"/>
      <c r="T23" s="133"/>
      <c r="U23" s="133"/>
      <c r="V23" s="133"/>
      <c r="W23" s="133"/>
      <c r="X23" s="133"/>
      <c r="Y23" s="133"/>
      <c r="Z23" s="133"/>
      <c r="AJ23" s="280"/>
      <c r="AK23" s="280"/>
      <c r="AL23" s="280"/>
      <c r="AM23" s="280"/>
      <c r="AN23" s="280"/>
    </row>
    <row r="24" spans="1:40" x14ac:dyDescent="0.35">
      <c r="A24" s="295"/>
      <c r="B24" s="305"/>
      <c r="C24" s="305"/>
      <c r="D24" s="185">
        <f>SUM(D22:D23)</f>
        <v>652.6825</v>
      </c>
      <c r="E24" s="185">
        <f t="shared" ref="E24:I24" si="16">SUM(E22:E23)</f>
        <v>602.20957128994235</v>
      </c>
      <c r="F24" s="185">
        <f t="shared" si="16"/>
        <v>560.47903764755483</v>
      </c>
      <c r="G24" s="185">
        <f t="shared" si="16"/>
        <v>518.80844491088681</v>
      </c>
      <c r="H24" s="185">
        <f t="shared" si="16"/>
        <v>477.19899027448952</v>
      </c>
      <c r="I24" s="185">
        <f t="shared" si="16"/>
        <v>435.65105319563287</v>
      </c>
      <c r="J24" s="287"/>
      <c r="K24" s="503"/>
      <c r="L24" s="284">
        <f t="shared" ref="L24:Q24" si="17">SUM(L22:L23)</f>
        <v>0</v>
      </c>
      <c r="M24" s="284">
        <f t="shared" si="17"/>
        <v>0</v>
      </c>
      <c r="N24" s="284">
        <f t="shared" si="17"/>
        <v>0</v>
      </c>
      <c r="O24" s="284">
        <f t="shared" si="17"/>
        <v>0</v>
      </c>
      <c r="P24" s="284">
        <f t="shared" si="17"/>
        <v>0</v>
      </c>
      <c r="Q24" s="284">
        <f t="shared" si="17"/>
        <v>0</v>
      </c>
      <c r="R24" s="133"/>
      <c r="S24" s="133"/>
      <c r="T24" s="133"/>
      <c r="U24" s="133"/>
      <c r="V24" s="133"/>
      <c r="W24" s="133"/>
      <c r="X24" s="133"/>
      <c r="Y24" s="133"/>
      <c r="Z24" s="133"/>
      <c r="AJ24" s="280"/>
      <c r="AK24" s="280"/>
      <c r="AL24" s="280"/>
      <c r="AM24" s="280"/>
      <c r="AN24" s="280"/>
    </row>
    <row r="25" spans="1:40" x14ac:dyDescent="0.35">
      <c r="A25" s="295"/>
      <c r="B25" s="251"/>
      <c r="C25" s="251"/>
      <c r="D25" s="279" t="s">
        <v>821</v>
      </c>
      <c r="E25" s="185">
        <f>E24-$D$24</f>
        <v>-50.472928710057658</v>
      </c>
      <c r="F25" s="185">
        <f t="shared" ref="F25:I25" si="18">F24-$D$24</f>
        <v>-92.203462352445172</v>
      </c>
      <c r="G25" s="185">
        <f t="shared" si="18"/>
        <v>-133.8740550891132</v>
      </c>
      <c r="H25" s="185">
        <f t="shared" si="18"/>
        <v>-175.48350972551049</v>
      </c>
      <c r="I25" s="185">
        <f t="shared" si="18"/>
        <v>-217.03144680436714</v>
      </c>
      <c r="J25" s="287"/>
      <c r="K25" s="287"/>
      <c r="L25" s="488"/>
      <c r="M25" s="284">
        <f>M24-$L$24</f>
        <v>0</v>
      </c>
      <c r="N25" s="284">
        <f t="shared" ref="N25:Q25" si="19">N24-$L$24</f>
        <v>0</v>
      </c>
      <c r="O25" s="284">
        <f t="shared" si="19"/>
        <v>0</v>
      </c>
      <c r="P25" s="284">
        <f t="shared" si="19"/>
        <v>0</v>
      </c>
      <c r="Q25" s="284">
        <f t="shared" si="19"/>
        <v>0</v>
      </c>
      <c r="R25" s="133"/>
      <c r="S25" s="133"/>
      <c r="T25" s="133"/>
      <c r="U25" s="133"/>
      <c r="V25" s="133"/>
      <c r="W25" s="133"/>
      <c r="X25" s="133"/>
      <c r="Y25" s="133"/>
      <c r="Z25" s="133"/>
      <c r="AJ25" s="280"/>
      <c r="AK25" s="280"/>
      <c r="AL25" s="280"/>
      <c r="AM25" s="280"/>
      <c r="AN25" s="280"/>
    </row>
    <row r="26" spans="1:40" x14ac:dyDescent="0.35">
      <c r="A26" s="287"/>
      <c r="B26" s="304"/>
      <c r="C26" s="293"/>
      <c r="D26" s="293"/>
      <c r="E26" s="294"/>
      <c r="F26" s="287"/>
      <c r="G26" s="287"/>
      <c r="H26" s="215"/>
      <c r="I26" s="215"/>
      <c r="J26" s="215"/>
      <c r="K26" s="215"/>
      <c r="L26" s="215"/>
      <c r="M26" s="215"/>
      <c r="N26" s="215"/>
      <c r="O26" s="215"/>
      <c r="P26" s="215"/>
      <c r="Q26" s="215"/>
      <c r="R26" s="133"/>
      <c r="S26" s="133"/>
      <c r="T26" s="133"/>
      <c r="U26" s="133"/>
      <c r="V26" s="133"/>
      <c r="W26" s="133"/>
      <c r="X26" s="133"/>
      <c r="Y26" s="133"/>
      <c r="Z26" s="133"/>
      <c r="AJ26" s="280"/>
      <c r="AK26" s="280"/>
      <c r="AL26" s="280"/>
      <c r="AM26" s="280"/>
      <c r="AN26" s="280"/>
    </row>
    <row r="27" spans="1:40" x14ac:dyDescent="0.35">
      <c r="A27" s="281"/>
      <c r="B27" s="306" t="s">
        <v>822</v>
      </c>
      <c r="C27" s="296"/>
      <c r="D27" s="296"/>
      <c r="E27" s="297"/>
      <c r="F27" s="298"/>
      <c r="G27" s="299"/>
      <c r="H27" s="299"/>
      <c r="I27" s="299"/>
      <c r="J27" s="393"/>
      <c r="K27" s="281"/>
      <c r="L27" s="281"/>
      <c r="M27" s="281"/>
      <c r="N27" s="281"/>
      <c r="O27" s="281"/>
      <c r="P27" s="281"/>
      <c r="Q27" s="217"/>
      <c r="S27" s="133"/>
      <c r="T27" s="133"/>
      <c r="U27" s="133"/>
      <c r="V27" s="133"/>
      <c r="W27" s="133"/>
      <c r="X27" s="133"/>
      <c r="Y27" s="133"/>
      <c r="Z27" s="133"/>
      <c r="AJ27" s="280"/>
      <c r="AK27" s="280"/>
      <c r="AL27" s="280"/>
      <c r="AM27" s="280"/>
      <c r="AN27" s="280"/>
    </row>
    <row r="28" spans="1:40" x14ac:dyDescent="0.35">
      <c r="A28" s="281"/>
      <c r="B28" s="307"/>
      <c r="C28" s="217"/>
      <c r="D28" s="217"/>
      <c r="E28" s="217"/>
      <c r="F28" s="217"/>
      <c r="G28" s="217"/>
      <c r="H28" s="217"/>
      <c r="I28" s="217"/>
      <c r="J28" s="217"/>
      <c r="K28" s="217"/>
      <c r="L28" s="217"/>
      <c r="M28" s="217"/>
      <c r="N28" s="217"/>
      <c r="O28" s="217"/>
      <c r="P28" s="217"/>
      <c r="Q28" s="217"/>
      <c r="S28" s="133"/>
      <c r="T28" s="133"/>
      <c r="U28" s="133"/>
      <c r="V28" s="133"/>
      <c r="W28" s="133"/>
      <c r="X28" s="133"/>
      <c r="Y28" s="133"/>
      <c r="Z28" s="133"/>
      <c r="AJ28" s="280"/>
      <c r="AK28" s="280"/>
      <c r="AL28" s="280"/>
      <c r="AM28" s="280"/>
      <c r="AN28" s="280"/>
    </row>
    <row r="29" spans="1:40" x14ac:dyDescent="0.35">
      <c r="A29" s="281"/>
      <c r="B29" s="362" t="s">
        <v>1020</v>
      </c>
      <c r="C29" s="363"/>
      <c r="D29" s="363"/>
      <c r="E29" s="363"/>
      <c r="F29" s="363"/>
      <c r="G29" s="363"/>
      <c r="H29" s="363"/>
      <c r="I29" s="216"/>
      <c r="J29" s="390"/>
      <c r="K29" s="217"/>
      <c r="L29" s="389"/>
      <c r="M29" s="389"/>
      <c r="N29" s="389"/>
      <c r="O29" s="389"/>
      <c r="P29" s="389"/>
      <c r="Q29" s="389"/>
      <c r="V29" s="133"/>
    </row>
    <row r="30" spans="1:40" ht="58" x14ac:dyDescent="0.35">
      <c r="A30" s="281"/>
      <c r="B30" s="276" t="s">
        <v>762</v>
      </c>
      <c r="C30" s="166" t="s">
        <v>823</v>
      </c>
      <c r="D30" s="386" t="s">
        <v>809</v>
      </c>
      <c r="E30" s="250" t="s">
        <v>677</v>
      </c>
      <c r="F30" s="250" t="s">
        <v>678</v>
      </c>
      <c r="G30" s="165" t="s">
        <v>786</v>
      </c>
      <c r="H30" s="165" t="s">
        <v>787</v>
      </c>
      <c r="I30" s="250" t="s">
        <v>788</v>
      </c>
      <c r="J30" s="281"/>
      <c r="K30" s="497" t="s">
        <v>819</v>
      </c>
      <c r="L30" s="386" t="s">
        <v>809</v>
      </c>
      <c r="M30" s="250" t="s">
        <v>677</v>
      </c>
      <c r="N30" s="250" t="s">
        <v>678</v>
      </c>
      <c r="O30" s="165" t="s">
        <v>786</v>
      </c>
      <c r="P30" s="165" t="s">
        <v>787</v>
      </c>
      <c r="Q30" s="250" t="s">
        <v>788</v>
      </c>
      <c r="V30" s="133"/>
    </row>
    <row r="31" spans="1:40" x14ac:dyDescent="0.35">
      <c r="A31" s="281"/>
      <c r="B31" s="330" t="str">
        <f>B22</f>
        <v>Vutrisiran</v>
      </c>
      <c r="C31" s="149">
        <f>'Capacity (local prices)'!C31</f>
        <v>60</v>
      </c>
      <c r="D31" s="128">
        <f>'Capacity (local prices)'!D31</f>
        <v>624.67999999999995</v>
      </c>
      <c r="E31" s="128">
        <f>'Capacity (local prices)'!E31</f>
        <v>602.20957128994235</v>
      </c>
      <c r="F31" s="128">
        <f>'Capacity (local prices)'!F31</f>
        <v>560.47903764755495</v>
      </c>
      <c r="G31" s="128">
        <f>'Capacity (local prices)'!G31</f>
        <v>518.80844491088681</v>
      </c>
      <c r="H31" s="128">
        <f>'Capacity (local prices)'!H31</f>
        <v>477.19899027448952</v>
      </c>
      <c r="I31" s="128">
        <f>'Capacity (local prices)'!I31</f>
        <v>435.65105319563287</v>
      </c>
      <c r="J31" s="281"/>
      <c r="K31" s="719"/>
      <c r="L31" s="718">
        <f>(D31*$K31)/1000</f>
        <v>0</v>
      </c>
      <c r="M31" s="718">
        <f t="shared" ref="M31:Q32" si="20">(E31*$K31)/1000</f>
        <v>0</v>
      </c>
      <c r="N31" s="718">
        <f t="shared" si="20"/>
        <v>0</v>
      </c>
      <c r="O31" s="718">
        <f t="shared" si="20"/>
        <v>0</v>
      </c>
      <c r="P31" s="718">
        <f t="shared" si="20"/>
        <v>0</v>
      </c>
      <c r="Q31" s="718">
        <f t="shared" si="20"/>
        <v>0</v>
      </c>
      <c r="V31" s="133"/>
    </row>
    <row r="32" spans="1:40" x14ac:dyDescent="0.35">
      <c r="A32" s="281"/>
      <c r="B32" s="330" t="str">
        <f>B23</f>
        <v>Patisiran</v>
      </c>
      <c r="C32" s="149">
        <f>'Capacity (local prices)'!C32</f>
        <v>60</v>
      </c>
      <c r="D32" s="128">
        <f>'Capacity (local prices)'!D32</f>
        <v>28.002500000000001</v>
      </c>
      <c r="E32" s="128">
        <f>'Capacity (local prices)'!E32</f>
        <v>0</v>
      </c>
      <c r="F32" s="128">
        <f>'Capacity (local prices)'!F32</f>
        <v>0</v>
      </c>
      <c r="G32" s="128">
        <f>'Capacity (local prices)'!G32</f>
        <v>0</v>
      </c>
      <c r="H32" s="128">
        <f>'Capacity (local prices)'!H32</f>
        <v>0</v>
      </c>
      <c r="I32" s="128">
        <f>'Capacity (local prices)'!I32</f>
        <v>0</v>
      </c>
      <c r="J32" s="281"/>
      <c r="K32" s="719"/>
      <c r="L32" s="718">
        <f t="shared" ref="L32" si="21">(D32*$K32)/1000</f>
        <v>0</v>
      </c>
      <c r="M32" s="718">
        <f t="shared" si="20"/>
        <v>0</v>
      </c>
      <c r="N32" s="718">
        <f t="shared" si="20"/>
        <v>0</v>
      </c>
      <c r="O32" s="718">
        <f t="shared" si="20"/>
        <v>0</v>
      </c>
      <c r="P32" s="718">
        <f t="shared" si="20"/>
        <v>0</v>
      </c>
      <c r="Q32" s="718">
        <f t="shared" si="20"/>
        <v>0</v>
      </c>
      <c r="S32" s="133"/>
      <c r="T32" s="133"/>
      <c r="U32" s="133"/>
      <c r="V32" s="133"/>
      <c r="W32" s="133"/>
      <c r="X32" s="133"/>
      <c r="Y32" s="133"/>
      <c r="Z32" s="133"/>
      <c r="AJ32" s="280"/>
      <c r="AK32" s="280"/>
      <c r="AL32" s="280"/>
      <c r="AM32" s="280"/>
      <c r="AN32" s="280"/>
    </row>
    <row r="33" spans="1:40" x14ac:dyDescent="0.35">
      <c r="A33" s="281"/>
      <c r="B33" s="277"/>
      <c r="C33" s="277"/>
      <c r="D33" s="185">
        <f t="shared" ref="D33:I33" si="22">SUM(D31:D32)</f>
        <v>652.6825</v>
      </c>
      <c r="E33" s="185">
        <f t="shared" si="22"/>
        <v>602.20957128994235</v>
      </c>
      <c r="F33" s="185">
        <f t="shared" si="22"/>
        <v>560.47903764755495</v>
      </c>
      <c r="G33" s="185">
        <f t="shared" si="22"/>
        <v>518.80844491088681</v>
      </c>
      <c r="H33" s="185">
        <f t="shared" si="22"/>
        <v>477.19899027448952</v>
      </c>
      <c r="I33" s="185">
        <f t="shared" si="22"/>
        <v>435.65105319563287</v>
      </c>
      <c r="J33" s="281"/>
      <c r="K33" s="220"/>
      <c r="L33" s="186">
        <f t="shared" ref="L33:Q33" si="23">SUM(L31:L32)</f>
        <v>0</v>
      </c>
      <c r="M33" s="186">
        <f t="shared" si="23"/>
        <v>0</v>
      </c>
      <c r="N33" s="186">
        <f t="shared" si="23"/>
        <v>0</v>
      </c>
      <c r="O33" s="186">
        <f t="shared" si="23"/>
        <v>0</v>
      </c>
      <c r="P33" s="186">
        <f t="shared" si="23"/>
        <v>0</v>
      </c>
      <c r="Q33" s="186">
        <f t="shared" si="23"/>
        <v>0</v>
      </c>
      <c r="S33" s="133"/>
      <c r="T33" s="133"/>
      <c r="U33" s="133"/>
      <c r="V33" s="133"/>
      <c r="W33" s="133"/>
      <c r="X33" s="133"/>
      <c r="Y33" s="133"/>
      <c r="Z33" s="133"/>
      <c r="AJ33" s="280"/>
      <c r="AK33" s="280"/>
      <c r="AL33" s="280"/>
      <c r="AM33" s="280"/>
      <c r="AN33" s="280"/>
    </row>
    <row r="34" spans="1:40" x14ac:dyDescent="0.35">
      <c r="A34" s="281"/>
      <c r="B34" s="277"/>
      <c r="C34" s="277"/>
      <c r="D34" s="279" t="s">
        <v>824</v>
      </c>
      <c r="E34" s="185">
        <f>E33-$D$33</f>
        <v>-50.472928710057658</v>
      </c>
      <c r="F34" s="185">
        <f t="shared" ref="F34:I34" si="24">F33-$D$33</f>
        <v>-92.203462352445058</v>
      </c>
      <c r="G34" s="185">
        <f t="shared" si="24"/>
        <v>-133.8740550891132</v>
      </c>
      <c r="H34" s="185">
        <f t="shared" si="24"/>
        <v>-175.48350972551049</v>
      </c>
      <c r="I34" s="185">
        <f t="shared" si="24"/>
        <v>-217.03144680436714</v>
      </c>
      <c r="J34" s="281"/>
      <c r="K34" s="220"/>
      <c r="L34" s="720"/>
      <c r="M34" s="186">
        <f>M33-$L$29</f>
        <v>0</v>
      </c>
      <c r="N34" s="186">
        <f t="shared" ref="N34:Q34" si="25">N33-$L$29</f>
        <v>0</v>
      </c>
      <c r="O34" s="186">
        <f t="shared" si="25"/>
        <v>0</v>
      </c>
      <c r="P34" s="186">
        <f t="shared" si="25"/>
        <v>0</v>
      </c>
      <c r="Q34" s="186">
        <f t="shared" si="25"/>
        <v>0</v>
      </c>
      <c r="S34" s="133"/>
      <c r="T34" s="133"/>
      <c r="U34" s="133"/>
      <c r="V34" s="133"/>
      <c r="W34" s="133"/>
      <c r="X34" s="133"/>
      <c r="Y34" s="133"/>
      <c r="Z34" s="133"/>
      <c r="AJ34" s="280"/>
      <c r="AK34" s="280"/>
      <c r="AL34" s="280"/>
      <c r="AM34" s="280"/>
      <c r="AN34" s="280"/>
    </row>
    <row r="35" spans="1:40" x14ac:dyDescent="0.35">
      <c r="A35" s="281"/>
      <c r="B35" s="307"/>
      <c r="C35" s="217"/>
      <c r="D35" s="217"/>
      <c r="E35" s="217"/>
      <c r="F35" s="217"/>
      <c r="G35" s="217"/>
      <c r="H35" s="217"/>
      <c r="I35" s="217"/>
      <c r="J35" s="217"/>
      <c r="K35" s="217"/>
      <c r="L35" s="217"/>
      <c r="M35" s="217"/>
      <c r="N35" s="217"/>
      <c r="O35" s="217"/>
      <c r="P35" s="217"/>
      <c r="Q35" s="217"/>
      <c r="S35" s="133"/>
      <c r="T35" s="133"/>
      <c r="U35" s="133"/>
      <c r="V35" s="133"/>
      <c r="W35" s="133"/>
      <c r="X35" s="133"/>
      <c r="Y35" s="133"/>
      <c r="Z35" s="133"/>
      <c r="AJ35" s="280"/>
      <c r="AK35" s="280"/>
      <c r="AL35" s="280"/>
      <c r="AM35" s="280"/>
      <c r="AN35" s="280"/>
    </row>
    <row r="36" spans="1:40" x14ac:dyDescent="0.35">
      <c r="A36" s="281"/>
      <c r="B36" s="362" t="s">
        <v>956</v>
      </c>
      <c r="C36" s="363"/>
      <c r="D36" s="363"/>
      <c r="E36" s="363"/>
      <c r="F36" s="363"/>
      <c r="G36" s="363"/>
      <c r="H36" s="363"/>
      <c r="I36" s="216"/>
      <c r="J36" s="390"/>
      <c r="K36" s="217"/>
      <c r="L36" s="389"/>
      <c r="M36" s="389"/>
      <c r="N36" s="389"/>
      <c r="O36" s="389"/>
      <c r="P36" s="389"/>
      <c r="Q36" s="389"/>
      <c r="S36" s="133"/>
      <c r="T36" s="133"/>
      <c r="U36" s="133"/>
      <c r="V36" s="133"/>
      <c r="W36" s="133"/>
      <c r="X36" s="133"/>
      <c r="Y36" s="133"/>
      <c r="Z36" s="133"/>
      <c r="AJ36" s="280"/>
      <c r="AK36" s="280"/>
      <c r="AL36" s="280"/>
      <c r="AM36" s="280"/>
      <c r="AN36" s="280"/>
    </row>
    <row r="37" spans="1:40" ht="58" x14ac:dyDescent="0.35">
      <c r="A37" s="281"/>
      <c r="B37" s="276" t="s">
        <v>762</v>
      </c>
      <c r="C37" s="166" t="s">
        <v>961</v>
      </c>
      <c r="D37" s="386" t="s">
        <v>809</v>
      </c>
      <c r="E37" s="250" t="s">
        <v>677</v>
      </c>
      <c r="F37" s="250" t="s">
        <v>678</v>
      </c>
      <c r="G37" s="165" t="s">
        <v>786</v>
      </c>
      <c r="H37" s="165" t="s">
        <v>787</v>
      </c>
      <c r="I37" s="250" t="s">
        <v>788</v>
      </c>
      <c r="J37" s="281"/>
      <c r="K37" s="497" t="s">
        <v>819</v>
      </c>
      <c r="L37" s="386" t="s">
        <v>809</v>
      </c>
      <c r="M37" s="250" t="s">
        <v>677</v>
      </c>
      <c r="N37" s="250" t="s">
        <v>678</v>
      </c>
      <c r="O37" s="165" t="s">
        <v>786</v>
      </c>
      <c r="P37" s="165" t="s">
        <v>787</v>
      </c>
      <c r="Q37" s="250" t="s">
        <v>788</v>
      </c>
      <c r="S37" s="133"/>
      <c r="T37" s="133"/>
      <c r="U37" s="133"/>
      <c r="V37" s="133"/>
      <c r="W37" s="133"/>
      <c r="X37" s="133"/>
      <c r="Y37" s="133"/>
      <c r="Z37" s="133"/>
      <c r="AJ37" s="280"/>
      <c r="AK37" s="280"/>
      <c r="AL37" s="280"/>
      <c r="AM37" s="280"/>
      <c r="AN37" s="280"/>
    </row>
    <row r="38" spans="1:40" x14ac:dyDescent="0.35">
      <c r="A38" s="281"/>
      <c r="B38" s="330" t="s">
        <v>958</v>
      </c>
      <c r="C38" s="634">
        <f>'Unit costs'!O65</f>
        <v>26</v>
      </c>
      <c r="D38" s="128">
        <f>('Financial impact (cash)'!D22*'Capacity (national prices)'!$C38)</f>
        <v>83.72</v>
      </c>
      <c r="E38" s="128">
        <f>('Financial impact (cash)'!E22*'Capacity (national prices)'!$C38)</f>
        <v>0</v>
      </c>
      <c r="F38" s="128">
        <f>('Financial impact (cash)'!F22*'Capacity (national prices)'!$C38)</f>
        <v>0</v>
      </c>
      <c r="G38" s="128">
        <f>('Financial impact (cash)'!G22*'Capacity (national prices)'!$C38)</f>
        <v>0</v>
      </c>
      <c r="H38" s="128">
        <f>('Financial impact (cash)'!H22*'Capacity (national prices)'!$C38)</f>
        <v>0</v>
      </c>
      <c r="I38" s="128">
        <f>('Financial impact (cash)'!I22*'Capacity (national prices)'!$C38)</f>
        <v>0</v>
      </c>
      <c r="J38" s="281"/>
      <c r="K38" s="503">
        <f>'Unit costs'!N65</f>
        <v>84</v>
      </c>
      <c r="L38" s="283">
        <f>(D38*$K38)/1000</f>
        <v>7.0324799999999996</v>
      </c>
      <c r="M38" s="283">
        <f t="shared" ref="M38:Q38" si="26">(E38*$K38)/1000</f>
        <v>0</v>
      </c>
      <c r="N38" s="283">
        <f t="shared" si="26"/>
        <v>0</v>
      </c>
      <c r="O38" s="283">
        <f t="shared" si="26"/>
        <v>0</v>
      </c>
      <c r="P38" s="283">
        <f t="shared" si="26"/>
        <v>0</v>
      </c>
      <c r="Q38" s="283">
        <f t="shared" si="26"/>
        <v>0</v>
      </c>
      <c r="S38" s="133"/>
      <c r="T38" s="133"/>
      <c r="U38" s="133"/>
      <c r="V38" s="133"/>
      <c r="W38" s="133"/>
      <c r="X38" s="133"/>
      <c r="Y38" s="133"/>
      <c r="Z38" s="133"/>
      <c r="AJ38" s="280"/>
      <c r="AK38" s="280"/>
      <c r="AL38" s="280"/>
      <c r="AM38" s="280"/>
      <c r="AN38" s="280"/>
    </row>
    <row r="39" spans="1:40" x14ac:dyDescent="0.35">
      <c r="A39" s="281"/>
      <c r="B39" s="277"/>
      <c r="C39" s="277"/>
      <c r="D39" s="185">
        <f t="shared" ref="D39:I39" si="27">SUM(D38:D38)</f>
        <v>83.72</v>
      </c>
      <c r="E39" s="185">
        <f t="shared" si="27"/>
        <v>0</v>
      </c>
      <c r="F39" s="185">
        <f t="shared" si="27"/>
        <v>0</v>
      </c>
      <c r="G39" s="185">
        <f t="shared" si="27"/>
        <v>0</v>
      </c>
      <c r="H39" s="185">
        <f t="shared" si="27"/>
        <v>0</v>
      </c>
      <c r="I39" s="185">
        <f t="shared" si="27"/>
        <v>0</v>
      </c>
      <c r="J39" s="281"/>
      <c r="K39" s="281"/>
      <c r="L39" s="284">
        <f t="shared" ref="L39:Q39" si="28">SUM(L38:L38)</f>
        <v>7.0324799999999996</v>
      </c>
      <c r="M39" s="284">
        <f t="shared" si="28"/>
        <v>0</v>
      </c>
      <c r="N39" s="284">
        <f t="shared" si="28"/>
        <v>0</v>
      </c>
      <c r="O39" s="284">
        <f t="shared" si="28"/>
        <v>0</v>
      </c>
      <c r="P39" s="284">
        <f t="shared" si="28"/>
        <v>0</v>
      </c>
      <c r="Q39" s="284">
        <f t="shared" si="28"/>
        <v>0</v>
      </c>
      <c r="S39" s="133"/>
      <c r="T39" s="133"/>
      <c r="U39" s="133"/>
      <c r="V39" s="133"/>
      <c r="W39" s="133"/>
      <c r="X39" s="133"/>
      <c r="Y39" s="133"/>
      <c r="Z39" s="133"/>
      <c r="AJ39" s="280"/>
      <c r="AK39" s="280"/>
      <c r="AL39" s="280"/>
      <c r="AM39" s="280"/>
      <c r="AN39" s="280"/>
    </row>
    <row r="40" spans="1:40" x14ac:dyDescent="0.35">
      <c r="A40" s="281"/>
      <c r="B40" s="277"/>
      <c r="C40" s="277"/>
      <c r="D40" s="279" t="s">
        <v>972</v>
      </c>
      <c r="E40" s="185">
        <f>E39-$D$39</f>
        <v>-83.72</v>
      </c>
      <c r="F40" s="185">
        <f t="shared" ref="F40:I40" si="29">F39-$D$39</f>
        <v>-83.72</v>
      </c>
      <c r="G40" s="185">
        <f t="shared" si="29"/>
        <v>-83.72</v>
      </c>
      <c r="H40" s="185">
        <f t="shared" si="29"/>
        <v>-83.72</v>
      </c>
      <c r="I40" s="185">
        <f t="shared" si="29"/>
        <v>-83.72</v>
      </c>
      <c r="J40" s="281"/>
      <c r="K40" s="281"/>
      <c r="L40" s="485"/>
      <c r="M40" s="284">
        <f>M39-$L$39</f>
        <v>-7.0324799999999996</v>
      </c>
      <c r="N40" s="284">
        <f t="shared" ref="N40:Q40" si="30">N39-$L$39</f>
        <v>-7.0324799999999996</v>
      </c>
      <c r="O40" s="284">
        <f t="shared" si="30"/>
        <v>-7.0324799999999996</v>
      </c>
      <c r="P40" s="284">
        <f t="shared" si="30"/>
        <v>-7.0324799999999996</v>
      </c>
      <c r="Q40" s="284">
        <f t="shared" si="30"/>
        <v>-7.0324799999999996</v>
      </c>
      <c r="S40" s="133"/>
      <c r="T40" s="133"/>
      <c r="U40" s="133"/>
      <c r="V40" s="133"/>
      <c r="W40" s="133"/>
      <c r="X40" s="133"/>
      <c r="Y40" s="133"/>
      <c r="Z40" s="133"/>
      <c r="AJ40" s="280"/>
      <c r="AK40" s="280"/>
      <c r="AL40" s="280"/>
      <c r="AM40" s="280"/>
      <c r="AN40" s="280"/>
    </row>
    <row r="41" spans="1:40" x14ac:dyDescent="0.35">
      <c r="A41" s="281"/>
      <c r="B41" s="307"/>
      <c r="C41" s="217"/>
      <c r="D41" s="217"/>
      <c r="E41" s="217"/>
      <c r="F41" s="217"/>
      <c r="G41" s="217"/>
      <c r="H41" s="217"/>
      <c r="I41" s="217"/>
      <c r="J41" s="217"/>
      <c r="K41" s="217"/>
      <c r="L41" s="217"/>
      <c r="M41" s="217"/>
      <c r="N41" s="217"/>
      <c r="O41" s="217"/>
      <c r="P41" s="217"/>
      <c r="Q41" s="217"/>
      <c r="S41" s="133"/>
      <c r="T41" s="133"/>
      <c r="U41" s="133"/>
      <c r="V41" s="133"/>
      <c r="W41" s="133"/>
      <c r="X41" s="133"/>
      <c r="Y41" s="133"/>
      <c r="Z41" s="133"/>
      <c r="AJ41" s="280"/>
      <c r="AK41" s="280"/>
      <c r="AL41" s="280"/>
      <c r="AM41" s="280"/>
      <c r="AN41" s="280"/>
    </row>
    <row r="42" spans="1:40" x14ac:dyDescent="0.35">
      <c r="A42" s="281"/>
      <c r="B42" s="307"/>
      <c r="C42" s="217"/>
      <c r="D42" s="217"/>
      <c r="E42" s="217"/>
      <c r="F42" s="217"/>
      <c r="G42" s="217"/>
      <c r="H42" s="217"/>
      <c r="I42" s="217"/>
      <c r="J42" s="281"/>
      <c r="K42" s="281"/>
      <c r="L42" s="217"/>
      <c r="M42" s="217"/>
      <c r="N42" s="217"/>
      <c r="O42" s="217"/>
      <c r="P42" s="217"/>
      <c r="Q42" s="217"/>
      <c r="S42" s="133"/>
      <c r="T42" s="133"/>
      <c r="U42" s="133"/>
      <c r="V42" s="133"/>
      <c r="W42" s="133"/>
      <c r="X42" s="133"/>
      <c r="Y42" s="133"/>
      <c r="Z42" s="133"/>
      <c r="AJ42" s="280"/>
      <c r="AK42" s="280"/>
      <c r="AL42" s="280"/>
      <c r="AM42" s="280"/>
      <c r="AN42" s="280"/>
    </row>
    <row r="43" spans="1:40" x14ac:dyDescent="0.35">
      <c r="A43" s="641"/>
      <c r="B43" s="647" t="s">
        <v>825</v>
      </c>
      <c r="C43" s="642"/>
      <c r="D43" s="643"/>
      <c r="E43" s="642"/>
      <c r="F43" s="644"/>
      <c r="G43" s="645"/>
      <c r="H43" s="645"/>
      <c r="I43" s="646"/>
      <c r="J43" s="641"/>
      <c r="K43" s="641"/>
      <c r="L43" s="641"/>
      <c r="M43" s="641"/>
      <c r="N43" s="641"/>
      <c r="O43" s="641"/>
      <c r="P43" s="641"/>
      <c r="Q43" s="641"/>
      <c r="S43" s="133"/>
      <c r="T43" s="133"/>
      <c r="U43" s="133"/>
      <c r="V43" s="133"/>
      <c r="W43" s="133"/>
      <c r="X43" s="133"/>
      <c r="Y43" s="133"/>
      <c r="Z43" s="133"/>
      <c r="AJ43" s="280"/>
      <c r="AK43" s="280"/>
      <c r="AL43" s="280"/>
      <c r="AM43" s="280"/>
      <c r="AN43" s="280"/>
    </row>
    <row r="44" spans="1:40" x14ac:dyDescent="0.35">
      <c r="A44" s="282"/>
      <c r="B44" s="364" t="s">
        <v>950</v>
      </c>
      <c r="C44" s="365"/>
      <c r="D44" s="365"/>
      <c r="E44" s="365"/>
      <c r="F44" s="365"/>
      <c r="G44" s="365"/>
      <c r="H44" s="365"/>
      <c r="I44" s="218"/>
      <c r="J44" s="282"/>
      <c r="K44" s="282"/>
      <c r="L44" s="282"/>
      <c r="M44" s="282"/>
      <c r="N44" s="282"/>
      <c r="O44" s="282"/>
      <c r="P44" s="282"/>
      <c r="Q44" s="282"/>
      <c r="S44" s="133"/>
      <c r="T44" s="133"/>
      <c r="U44" s="133"/>
      <c r="V44" s="133"/>
      <c r="W44" s="133"/>
      <c r="X44" s="133"/>
      <c r="Y44" s="133"/>
      <c r="Z44" s="133"/>
      <c r="AJ44" s="280"/>
      <c r="AK44" s="280"/>
      <c r="AL44" s="280"/>
      <c r="AM44" s="280"/>
      <c r="AN44" s="280"/>
    </row>
    <row r="45" spans="1:40" ht="43.5" x14ac:dyDescent="0.35">
      <c r="A45" s="282"/>
      <c r="B45" s="273" t="s">
        <v>762</v>
      </c>
      <c r="C45" s="166" t="s">
        <v>962</v>
      </c>
      <c r="D45" s="386" t="s">
        <v>809</v>
      </c>
      <c r="E45" s="250" t="s">
        <v>677</v>
      </c>
      <c r="F45" s="250" t="s">
        <v>678</v>
      </c>
      <c r="G45" s="165" t="s">
        <v>786</v>
      </c>
      <c r="H45" s="165" t="s">
        <v>787</v>
      </c>
      <c r="I45" s="250" t="s">
        <v>788</v>
      </c>
      <c r="J45" s="282"/>
      <c r="K45" s="497" t="s">
        <v>827</v>
      </c>
      <c r="L45" s="386" t="s">
        <v>809</v>
      </c>
      <c r="M45" s="250" t="s">
        <v>677</v>
      </c>
      <c r="N45" s="250" t="s">
        <v>678</v>
      </c>
      <c r="O45" s="165" t="s">
        <v>786</v>
      </c>
      <c r="P45" s="165" t="s">
        <v>787</v>
      </c>
      <c r="Q45" s="250" t="s">
        <v>788</v>
      </c>
      <c r="S45" s="133"/>
      <c r="T45" s="133"/>
      <c r="U45" s="133"/>
      <c r="V45" s="133"/>
      <c r="W45" s="133"/>
      <c r="X45" s="133"/>
      <c r="Y45" s="133"/>
      <c r="Z45" s="133"/>
      <c r="AJ45" s="280"/>
      <c r="AK45" s="280"/>
      <c r="AL45" s="280"/>
      <c r="AM45" s="280"/>
      <c r="AN45" s="280"/>
    </row>
    <row r="46" spans="1:40" x14ac:dyDescent="0.35">
      <c r="A46" s="282"/>
      <c r="B46" s="330" t="s">
        <v>891</v>
      </c>
      <c r="C46" s="149">
        <f>'Unit costs'!D38</f>
        <v>12</v>
      </c>
      <c r="D46" s="128">
        <f>('Financial impact (cash)'!D22*'Capacity (national prices)'!$C46)</f>
        <v>38.64</v>
      </c>
      <c r="E46" s="128">
        <f>('Financial impact (cash)'!E22*'Capacity (national prices)'!$C46)</f>
        <v>0</v>
      </c>
      <c r="F46" s="128">
        <f>('Financial impact (cash)'!F22*'Capacity (national prices)'!$C46)</f>
        <v>0</v>
      </c>
      <c r="G46" s="128">
        <f>('Financial impact (cash)'!G22*'Capacity (national prices)'!$C46)</f>
        <v>0</v>
      </c>
      <c r="H46" s="128">
        <f>('Financial impact (cash)'!H22*'Capacity (national prices)'!$C46)</f>
        <v>0</v>
      </c>
      <c r="I46" s="128">
        <f>('Financial impact (cash)'!I22*'Capacity (national prices)'!$C46)</f>
        <v>0</v>
      </c>
      <c r="J46" s="282"/>
      <c r="K46" s="503">
        <f>'Unit costs'!N38</f>
        <v>50</v>
      </c>
      <c r="L46" s="283">
        <f t="shared" ref="L46" si="31">(D46*$K46)/1000</f>
        <v>1.9319999999999999</v>
      </c>
      <c r="M46" s="283">
        <f t="shared" ref="M46:Q46" si="32">(E46*$K46)/1000</f>
        <v>0</v>
      </c>
      <c r="N46" s="283">
        <f t="shared" si="32"/>
        <v>0</v>
      </c>
      <c r="O46" s="283">
        <f t="shared" si="32"/>
        <v>0</v>
      </c>
      <c r="P46" s="283">
        <f t="shared" si="32"/>
        <v>0</v>
      </c>
      <c r="Q46" s="283">
        <f t="shared" si="32"/>
        <v>0</v>
      </c>
      <c r="V46" s="133"/>
      <c r="AJ46" s="280"/>
      <c r="AK46" s="280"/>
      <c r="AL46" s="280"/>
      <c r="AM46" s="280"/>
      <c r="AN46" s="280"/>
    </row>
    <row r="47" spans="1:40" x14ac:dyDescent="0.35">
      <c r="A47" s="282"/>
      <c r="B47" s="277"/>
      <c r="C47" s="207"/>
      <c r="D47" s="185">
        <f t="shared" ref="D47:I47" si="33">SUM(D46:D46)</f>
        <v>38.64</v>
      </c>
      <c r="E47" s="185">
        <f t="shared" si="33"/>
        <v>0</v>
      </c>
      <c r="F47" s="185">
        <f t="shared" si="33"/>
        <v>0</v>
      </c>
      <c r="G47" s="185">
        <f t="shared" si="33"/>
        <v>0</v>
      </c>
      <c r="H47" s="185">
        <f t="shared" si="33"/>
        <v>0</v>
      </c>
      <c r="I47" s="185">
        <f t="shared" si="33"/>
        <v>0</v>
      </c>
      <c r="J47" s="282"/>
      <c r="K47" s="282"/>
      <c r="L47" s="284">
        <f t="shared" ref="L47:Q47" si="34">SUM(L46:L46)</f>
        <v>1.9319999999999999</v>
      </c>
      <c r="M47" s="284">
        <f t="shared" si="34"/>
        <v>0</v>
      </c>
      <c r="N47" s="284">
        <f t="shared" si="34"/>
        <v>0</v>
      </c>
      <c r="O47" s="284">
        <f t="shared" si="34"/>
        <v>0</v>
      </c>
      <c r="P47" s="284">
        <f t="shared" si="34"/>
        <v>0</v>
      </c>
      <c r="Q47" s="284">
        <f t="shared" si="34"/>
        <v>0</v>
      </c>
      <c r="V47" s="133"/>
      <c r="AJ47" s="280"/>
      <c r="AK47" s="280"/>
      <c r="AL47" s="280"/>
      <c r="AM47" s="280"/>
      <c r="AN47" s="280"/>
    </row>
    <row r="48" spans="1:40" x14ac:dyDescent="0.35">
      <c r="A48" s="282"/>
      <c r="B48" s="300"/>
      <c r="C48" s="220"/>
      <c r="D48" s="279" t="s">
        <v>963</v>
      </c>
      <c r="E48" s="185">
        <f>E47-$D$47</f>
        <v>-38.64</v>
      </c>
      <c r="F48" s="185">
        <f t="shared" ref="F48:I48" si="35">F47-$D$47</f>
        <v>-38.64</v>
      </c>
      <c r="G48" s="185">
        <f t="shared" si="35"/>
        <v>-38.64</v>
      </c>
      <c r="H48" s="185">
        <f t="shared" si="35"/>
        <v>-38.64</v>
      </c>
      <c r="I48" s="185">
        <f t="shared" si="35"/>
        <v>-38.64</v>
      </c>
      <c r="J48" s="282"/>
      <c r="K48" s="282"/>
      <c r="L48" s="486"/>
      <c r="M48" s="284">
        <f>M47-$L$47</f>
        <v>-1.9319999999999999</v>
      </c>
      <c r="N48" s="284">
        <f t="shared" ref="N48:Q48" si="36">N47-$L$47</f>
        <v>-1.9319999999999999</v>
      </c>
      <c r="O48" s="284">
        <f t="shared" si="36"/>
        <v>-1.9319999999999999</v>
      </c>
      <c r="P48" s="284">
        <f t="shared" si="36"/>
        <v>-1.9319999999999999</v>
      </c>
      <c r="Q48" s="284">
        <f t="shared" si="36"/>
        <v>-1.9319999999999999</v>
      </c>
      <c r="V48" s="133"/>
      <c r="AJ48" s="280"/>
      <c r="AK48" s="280"/>
      <c r="AL48" s="280"/>
      <c r="AM48" s="280"/>
      <c r="AN48" s="280"/>
    </row>
    <row r="49" spans="1:40" x14ac:dyDescent="0.35">
      <c r="A49" s="282"/>
      <c r="B49" s="308"/>
      <c r="C49" s="365"/>
      <c r="D49" s="219"/>
      <c r="E49" s="219"/>
      <c r="F49" s="219"/>
      <c r="G49" s="219"/>
      <c r="H49" s="219"/>
      <c r="I49" s="219"/>
      <c r="J49" s="219"/>
      <c r="K49" s="219"/>
      <c r="L49" s="219"/>
      <c r="M49" s="219"/>
      <c r="N49" s="219"/>
      <c r="O49" s="219"/>
      <c r="P49" s="219"/>
      <c r="Q49" s="219"/>
      <c r="V49" s="133"/>
      <c r="AJ49" s="280"/>
      <c r="AK49" s="280"/>
      <c r="AL49" s="280"/>
      <c r="AM49" s="280"/>
      <c r="AN49" s="280"/>
    </row>
    <row r="50" spans="1:40" x14ac:dyDescent="0.35">
      <c r="A50" s="310"/>
      <c r="B50" s="311" t="s">
        <v>951</v>
      </c>
      <c r="C50" s="312"/>
      <c r="D50" s="312"/>
      <c r="E50" s="313"/>
      <c r="F50" s="314"/>
      <c r="G50" s="315"/>
      <c r="H50" s="315"/>
      <c r="I50" s="360"/>
      <c r="J50" s="310"/>
      <c r="K50" s="310"/>
      <c r="L50" s="310"/>
      <c r="M50" s="310"/>
      <c r="N50" s="310"/>
      <c r="O50" s="310"/>
      <c r="P50" s="310"/>
      <c r="Q50" s="373"/>
      <c r="R50" s="133"/>
      <c r="S50" s="133"/>
      <c r="T50" s="133"/>
      <c r="U50" s="133"/>
      <c r="V50" s="133"/>
      <c r="W50" s="133"/>
      <c r="X50" s="133"/>
      <c r="Y50" s="133"/>
      <c r="Z50" s="133"/>
      <c r="AJ50" s="280"/>
      <c r="AK50" s="280"/>
      <c r="AL50" s="280"/>
      <c r="AM50" s="280"/>
      <c r="AN50" s="280"/>
    </row>
    <row r="51" spans="1:40" x14ac:dyDescent="0.35">
      <c r="A51" s="310"/>
      <c r="B51" s="366" t="s">
        <v>952</v>
      </c>
      <c r="C51" s="367"/>
      <c r="D51" s="367"/>
      <c r="E51" s="367"/>
      <c r="F51" s="367"/>
      <c r="G51" s="367"/>
      <c r="H51" s="367"/>
      <c r="I51" s="316"/>
      <c r="J51" s="373"/>
      <c r="K51" s="373"/>
      <c r="L51" s="394"/>
      <c r="M51" s="394"/>
      <c r="N51" s="394"/>
      <c r="O51" s="394"/>
      <c r="P51" s="394"/>
      <c r="Q51" s="394"/>
      <c r="R51" s="133"/>
      <c r="S51" s="133"/>
      <c r="T51" s="133"/>
      <c r="U51" s="133"/>
      <c r="V51" s="133"/>
      <c r="W51" s="133"/>
      <c r="X51" s="133"/>
      <c r="Y51" s="133"/>
      <c r="Z51" s="133"/>
      <c r="AJ51" s="280"/>
      <c r="AK51" s="280"/>
      <c r="AL51" s="280"/>
      <c r="AM51" s="280"/>
      <c r="AN51" s="280"/>
    </row>
    <row r="52" spans="1:40" ht="58" x14ac:dyDescent="0.35">
      <c r="A52" s="310"/>
      <c r="B52" s="273" t="s">
        <v>762</v>
      </c>
      <c r="C52" s="166" t="s">
        <v>954</v>
      </c>
      <c r="D52" s="386" t="s">
        <v>809</v>
      </c>
      <c r="E52" s="250" t="s">
        <v>677</v>
      </c>
      <c r="F52" s="250" t="s">
        <v>678</v>
      </c>
      <c r="G52" s="165" t="s">
        <v>786</v>
      </c>
      <c r="H52" s="165" t="s">
        <v>787</v>
      </c>
      <c r="I52" s="250" t="s">
        <v>788</v>
      </c>
      <c r="J52" s="310"/>
      <c r="K52" s="497" t="s">
        <v>827</v>
      </c>
      <c r="L52" s="386" t="s">
        <v>809</v>
      </c>
      <c r="M52" s="250" t="s">
        <v>677</v>
      </c>
      <c r="N52" s="250" t="s">
        <v>678</v>
      </c>
      <c r="O52" s="165" t="s">
        <v>786</v>
      </c>
      <c r="P52" s="165" t="s">
        <v>787</v>
      </c>
      <c r="Q52" s="250" t="s">
        <v>788</v>
      </c>
      <c r="R52" s="133"/>
      <c r="S52" s="133"/>
      <c r="T52" s="133"/>
      <c r="U52" s="133"/>
      <c r="V52" s="133"/>
      <c r="W52" s="133"/>
      <c r="X52" s="133"/>
      <c r="Y52" s="133"/>
      <c r="Z52" s="133"/>
      <c r="AJ52" s="280"/>
      <c r="AK52" s="280"/>
      <c r="AL52" s="280"/>
      <c r="AM52" s="280"/>
      <c r="AN52" s="280"/>
    </row>
    <row r="53" spans="1:40" x14ac:dyDescent="0.35">
      <c r="A53" s="310"/>
      <c r="B53" s="330" t="s">
        <v>953</v>
      </c>
      <c r="C53" s="149">
        <f>'Unit costs'!O72</f>
        <v>3</v>
      </c>
      <c r="D53" s="128">
        <f>('Financial impact (cash)'!D22*'Capacity (national prices)'!$C53)</f>
        <v>9.66</v>
      </c>
      <c r="E53" s="128">
        <f>('Financial impact (cash)'!E22*'Capacity (national prices)'!$C53)</f>
        <v>0</v>
      </c>
      <c r="F53" s="128">
        <f>('Financial impact (cash)'!F22*'Capacity (national prices)'!$C53)</f>
        <v>0</v>
      </c>
      <c r="G53" s="128">
        <f>('Financial impact (cash)'!G22*'Capacity (national prices)'!$C53)</f>
        <v>0</v>
      </c>
      <c r="H53" s="128">
        <f>('Financial impact (cash)'!H22*'Capacity (national prices)'!$C53)</f>
        <v>0</v>
      </c>
      <c r="I53" s="128">
        <f>('Financial impact (cash)'!I22*'Capacity (national prices)'!$C53)</f>
        <v>0</v>
      </c>
      <c r="J53" s="310"/>
      <c r="K53" s="503">
        <f>'Unit costs'!N72</f>
        <v>140</v>
      </c>
      <c r="L53" s="283">
        <f>D53*$K53/1000</f>
        <v>1.3524</v>
      </c>
      <c r="M53" s="283">
        <f t="shared" ref="M53:Q53" si="37">E53*$K53/1000</f>
        <v>0</v>
      </c>
      <c r="N53" s="283">
        <f t="shared" si="37"/>
        <v>0</v>
      </c>
      <c r="O53" s="283">
        <f t="shared" si="37"/>
        <v>0</v>
      </c>
      <c r="P53" s="283">
        <f t="shared" si="37"/>
        <v>0</v>
      </c>
      <c r="Q53" s="283">
        <f t="shared" si="37"/>
        <v>0</v>
      </c>
      <c r="R53" s="133"/>
      <c r="S53" s="133"/>
      <c r="T53" s="133"/>
      <c r="U53" s="133"/>
      <c r="V53" s="133"/>
      <c r="W53" s="133"/>
      <c r="X53" s="133"/>
      <c r="Y53" s="133"/>
      <c r="Z53" s="133"/>
      <c r="AJ53" s="280"/>
      <c r="AK53" s="280"/>
      <c r="AL53" s="280"/>
      <c r="AM53" s="280"/>
      <c r="AN53" s="280"/>
    </row>
    <row r="54" spans="1:40" x14ac:dyDescent="0.35">
      <c r="A54" s="310"/>
      <c r="B54" s="277"/>
      <c r="C54" s="207"/>
      <c r="D54" s="185">
        <f t="shared" ref="D54:I54" si="38">SUM(D53:D53)</f>
        <v>9.66</v>
      </c>
      <c r="E54" s="185">
        <f t="shared" si="38"/>
        <v>0</v>
      </c>
      <c r="F54" s="185">
        <f t="shared" si="38"/>
        <v>0</v>
      </c>
      <c r="G54" s="185">
        <f t="shared" si="38"/>
        <v>0</v>
      </c>
      <c r="H54" s="185">
        <f t="shared" si="38"/>
        <v>0</v>
      </c>
      <c r="I54" s="185">
        <f t="shared" si="38"/>
        <v>0</v>
      </c>
      <c r="J54" s="310"/>
      <c r="K54" s="310"/>
      <c r="L54" s="284">
        <f t="shared" ref="L54:Q54" si="39">SUM(L53:L53)</f>
        <v>1.3524</v>
      </c>
      <c r="M54" s="284">
        <f t="shared" si="39"/>
        <v>0</v>
      </c>
      <c r="N54" s="284">
        <f t="shared" si="39"/>
        <v>0</v>
      </c>
      <c r="O54" s="284">
        <f t="shared" si="39"/>
        <v>0</v>
      </c>
      <c r="P54" s="284">
        <f t="shared" si="39"/>
        <v>0</v>
      </c>
      <c r="Q54" s="284">
        <f t="shared" si="39"/>
        <v>0</v>
      </c>
      <c r="V54" s="133"/>
    </row>
    <row r="55" spans="1:40" x14ac:dyDescent="0.35">
      <c r="A55" s="310"/>
      <c r="B55" s="300"/>
      <c r="C55" s="251"/>
      <c r="D55" s="279" t="s">
        <v>964</v>
      </c>
      <c r="E55" s="185">
        <f>E54-$D$53</f>
        <v>-9.66</v>
      </c>
      <c r="F55" s="185">
        <f t="shared" ref="F55:I55" si="40">F54-$D$53</f>
        <v>-9.66</v>
      </c>
      <c r="G55" s="185">
        <f t="shared" si="40"/>
        <v>-9.66</v>
      </c>
      <c r="H55" s="185">
        <f t="shared" si="40"/>
        <v>-9.66</v>
      </c>
      <c r="I55" s="185">
        <f t="shared" si="40"/>
        <v>-9.66</v>
      </c>
      <c r="J55" s="310"/>
      <c r="K55" s="310"/>
      <c r="L55" s="487"/>
      <c r="M55" s="284">
        <f>M54-$L$54</f>
        <v>-1.3524</v>
      </c>
      <c r="N55" s="284">
        <f t="shared" ref="N55:Q55" si="41">N54-$L$54</f>
        <v>-1.3524</v>
      </c>
      <c r="O55" s="284">
        <f t="shared" si="41"/>
        <v>-1.3524</v>
      </c>
      <c r="P55" s="284">
        <f t="shared" si="41"/>
        <v>-1.3524</v>
      </c>
      <c r="Q55" s="284">
        <f t="shared" si="41"/>
        <v>-1.3524</v>
      </c>
      <c r="V55" s="133"/>
    </row>
    <row r="56" spans="1:40" x14ac:dyDescent="0.35">
      <c r="A56" s="310"/>
      <c r="B56" s="310"/>
      <c r="C56" s="310"/>
      <c r="D56" s="310"/>
      <c r="E56" s="310"/>
      <c r="F56" s="310"/>
      <c r="G56" s="310"/>
      <c r="H56" s="310"/>
      <c r="I56" s="310"/>
      <c r="J56" s="310"/>
      <c r="K56" s="310"/>
      <c r="L56" s="310"/>
      <c r="M56" s="310"/>
      <c r="N56" s="310"/>
      <c r="O56" s="310"/>
      <c r="P56" s="310"/>
      <c r="Q56" s="310"/>
      <c r="V56" s="133"/>
    </row>
    <row r="57" spans="1:40" x14ac:dyDescent="0.35">
      <c r="B57"/>
    </row>
    <row r="58" spans="1:40" x14ac:dyDescent="0.35">
      <c r="B58"/>
    </row>
    <row r="59" spans="1:40" x14ac:dyDescent="0.35">
      <c r="B59"/>
    </row>
    <row r="60" spans="1:40" x14ac:dyDescent="0.35">
      <c r="B60"/>
    </row>
    <row r="61" spans="1:40" x14ac:dyDescent="0.35">
      <c r="B61"/>
    </row>
  </sheetData>
  <sheetProtection algorithmName="SHA-512" hashValue="JZ/OmCOIlnIEP1y3hsKlR1IA25jHIYqHTL4b1gWWrHye9TUCOMek4iRrUFfkO18Tj+t0GCTmpXzyHcp2HdqtDQ==" saltValue="X0g7BBi7BFZTVf+sQ8HmiA==" spinCount="100000" sheet="1" objects="1" scenarios="1"/>
  <protectedRanges>
    <protectedRange sqref="K22:K23" name="Range1"/>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zoomScale="80" zoomScaleNormal="80" workbookViewId="0">
      <selection activeCell="C9" sqref="C9"/>
    </sheetView>
  </sheetViews>
  <sheetFormatPr defaultColWidth="8.54296875" defaultRowHeight="14.5" x14ac:dyDescent="0.35"/>
  <cols>
    <col min="1" max="1" width="13.54296875" customWidth="1"/>
    <col min="2" max="2" width="32.6328125" customWidth="1"/>
    <col min="3" max="4" width="12.6328125" customWidth="1"/>
    <col min="5" max="6" width="11.6328125" customWidth="1"/>
    <col min="7" max="7" width="10.453125" style="431" customWidth="1"/>
    <col min="8" max="8" width="11.6328125" customWidth="1"/>
    <col min="9" max="9" width="12.54296875" customWidth="1"/>
    <col min="10" max="10" width="10.3632812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36328125" bestFit="1" customWidth="1"/>
    <col min="23" max="23" width="10" customWidth="1"/>
  </cols>
  <sheetData>
    <row r="1" spans="1:24" ht="21" customHeight="1" x14ac:dyDescent="0.35">
      <c r="A1" s="640" t="s">
        <v>884</v>
      </c>
      <c r="B1" s="640"/>
      <c r="C1" s="640"/>
      <c r="D1" s="640"/>
      <c r="E1" s="640"/>
      <c r="F1" s="640"/>
      <c r="G1" s="640"/>
      <c r="H1" s="640"/>
      <c r="I1" s="640"/>
      <c r="J1" s="640"/>
      <c r="K1" s="640"/>
      <c r="L1" s="640"/>
      <c r="M1" s="640"/>
    </row>
    <row r="2" spans="1:24" ht="14.75" customHeight="1" thickBot="1" x14ac:dyDescent="0.4">
      <c r="A2" s="129"/>
      <c r="B2" s="129"/>
      <c r="C2" s="129"/>
      <c r="D2" s="129"/>
      <c r="E2" s="129"/>
      <c r="F2" s="129"/>
      <c r="G2" s="129"/>
      <c r="H2" s="129"/>
      <c r="I2" s="129"/>
      <c r="J2" s="129"/>
      <c r="K2" s="129"/>
      <c r="L2" s="129"/>
      <c r="M2" s="129"/>
    </row>
    <row r="3" spans="1:24" ht="14.75" customHeight="1" x14ac:dyDescent="0.35">
      <c r="A3" s="129"/>
      <c r="B3" s="725" t="s">
        <v>41</v>
      </c>
      <c r="C3" s="726"/>
      <c r="D3" s="129"/>
      <c r="E3" s="129"/>
      <c r="F3" s="129"/>
      <c r="G3" s="129"/>
      <c r="H3" s="129"/>
      <c r="I3" s="129"/>
      <c r="J3" s="129"/>
      <c r="K3" s="129"/>
      <c r="L3" s="129"/>
      <c r="M3" s="129"/>
    </row>
    <row r="4" spans="1:24" ht="14.75" customHeight="1" x14ac:dyDescent="0.35">
      <c r="A4" s="129"/>
      <c r="B4" s="727" t="s">
        <v>974</v>
      </c>
      <c r="C4" s="728" t="s">
        <v>975</v>
      </c>
      <c r="D4" s="729" t="s">
        <v>976</v>
      </c>
      <c r="E4" s="129"/>
      <c r="F4" s="129"/>
      <c r="G4" s="129"/>
      <c r="H4" s="129"/>
      <c r="I4" s="129"/>
      <c r="J4" s="129"/>
      <c r="K4" s="129"/>
      <c r="L4" s="129"/>
      <c r="M4" s="129"/>
    </row>
    <row r="5" spans="1:24" ht="14.75" customHeight="1" x14ac:dyDescent="0.35">
      <c r="A5" s="129"/>
      <c r="B5" s="727" t="s">
        <v>977</v>
      </c>
      <c r="C5" s="730">
        <v>9100</v>
      </c>
      <c r="D5" s="129"/>
      <c r="E5" s="129"/>
      <c r="F5" s="129"/>
      <c r="G5" s="129"/>
      <c r="H5" s="129"/>
      <c r="I5" s="129"/>
      <c r="J5" s="129"/>
      <c r="K5" s="129"/>
      <c r="L5" s="129"/>
      <c r="M5" s="129"/>
    </row>
    <row r="6" spans="1:24" ht="14.75" customHeight="1" x14ac:dyDescent="0.35">
      <c r="A6" s="129"/>
      <c r="B6" s="727" t="s">
        <v>978</v>
      </c>
      <c r="C6" s="731">
        <v>0.13800000000000001</v>
      </c>
      <c r="D6" s="129"/>
      <c r="E6" s="129"/>
      <c r="F6" s="129"/>
      <c r="G6" s="129"/>
      <c r="H6" s="129"/>
      <c r="I6" s="129"/>
      <c r="J6" s="129"/>
      <c r="K6" s="129"/>
      <c r="L6" s="129"/>
      <c r="M6" s="129"/>
    </row>
    <row r="7" spans="1:24" ht="14.75" customHeight="1" x14ac:dyDescent="0.35">
      <c r="A7" s="129"/>
      <c r="B7" s="727" t="s">
        <v>979</v>
      </c>
      <c r="C7" s="731">
        <v>0.23780000000000001</v>
      </c>
      <c r="D7" s="129"/>
      <c r="E7" s="129"/>
      <c r="F7" s="129"/>
      <c r="G7" s="129"/>
      <c r="H7" s="129"/>
      <c r="I7" s="129"/>
      <c r="J7" s="129"/>
      <c r="K7" s="129"/>
      <c r="L7" s="129"/>
      <c r="M7" s="129"/>
    </row>
    <row r="8" spans="1:24" ht="14.75" customHeight="1" x14ac:dyDescent="0.35">
      <c r="A8" s="129"/>
      <c r="B8" s="727" t="s">
        <v>980</v>
      </c>
      <c r="C8" s="731">
        <v>5.0000000000000001E-3</v>
      </c>
      <c r="D8" s="129"/>
      <c r="E8" s="129"/>
      <c r="F8" s="129"/>
      <c r="G8" s="129"/>
      <c r="H8" s="129"/>
      <c r="I8" s="129"/>
      <c r="J8" s="129"/>
      <c r="K8" s="129"/>
      <c r="L8" s="129"/>
      <c r="M8" s="129"/>
    </row>
    <row r="9" spans="1:24" ht="14.75" customHeight="1" thickBot="1" x14ac:dyDescent="0.4">
      <c r="A9" s="129"/>
      <c r="B9" s="732" t="s">
        <v>981</v>
      </c>
      <c r="C9" s="733">
        <v>0</v>
      </c>
      <c r="D9" s="129"/>
      <c r="E9" s="129"/>
      <c r="F9" s="129"/>
      <c r="G9" s="129"/>
      <c r="H9" s="129"/>
      <c r="I9" s="129"/>
      <c r="J9" s="129"/>
      <c r="K9" s="129"/>
      <c r="L9" s="129"/>
      <c r="M9" s="129"/>
      <c r="R9" s="734"/>
    </row>
    <row r="10" spans="1:24" ht="15" thickBot="1" x14ac:dyDescent="0.4">
      <c r="P10" s="735"/>
      <c r="R10" s="735"/>
    </row>
    <row r="11" spans="1:24" ht="109.5" customHeight="1" thickBot="1" x14ac:dyDescent="0.4">
      <c r="A11" s="736" t="s">
        <v>829</v>
      </c>
      <c r="B11" s="737" t="s">
        <v>982</v>
      </c>
      <c r="C11" s="738" t="s">
        <v>983</v>
      </c>
      <c r="D11" s="738" t="s">
        <v>984</v>
      </c>
      <c r="E11" s="738" t="s">
        <v>985</v>
      </c>
      <c r="F11" s="738" t="s">
        <v>986</v>
      </c>
      <c r="G11" s="739" t="s">
        <v>987</v>
      </c>
      <c r="H11" s="738" t="s">
        <v>988</v>
      </c>
      <c r="I11" s="740" t="s">
        <v>989</v>
      </c>
      <c r="J11" s="741" t="s">
        <v>990</v>
      </c>
      <c r="K11" s="742" t="s">
        <v>819</v>
      </c>
      <c r="L11" s="743" t="s">
        <v>830</v>
      </c>
      <c r="M11" s="744" t="s">
        <v>831</v>
      </c>
      <c r="O11" t="s">
        <v>975</v>
      </c>
      <c r="P11" t="s">
        <v>991</v>
      </c>
      <c r="Q11" t="s">
        <v>992</v>
      </c>
      <c r="R11" t="s">
        <v>993</v>
      </c>
    </row>
    <row r="12" spans="1:24" x14ac:dyDescent="0.35">
      <c r="A12" s="745">
        <v>2</v>
      </c>
      <c r="B12" s="746" t="s">
        <v>832</v>
      </c>
      <c r="C12" s="747">
        <f>HLOOKUP($C$4,$O$11:$R$41,2,FALSE)</f>
        <v>23615</v>
      </c>
      <c r="D12" s="747">
        <f>C12*$C$9</f>
        <v>0</v>
      </c>
      <c r="E12" s="747">
        <f>C12*(100%+$C$9)</f>
        <v>23615</v>
      </c>
      <c r="F12" s="747">
        <f>(E12-$C$5)*$C$6</f>
        <v>2003.0700000000002</v>
      </c>
      <c r="G12" s="748">
        <f>E12*$C$8</f>
        <v>118.075</v>
      </c>
      <c r="H12" s="747">
        <f>E12*$C$7</f>
        <v>5615.6469999999999</v>
      </c>
      <c r="I12" s="749">
        <f>SUM(E12:H12)</f>
        <v>31351.792000000001</v>
      </c>
      <c r="J12" s="750">
        <v>1560</v>
      </c>
      <c r="K12" s="751">
        <f>ROUND(I12/J12,2)</f>
        <v>20.100000000000001</v>
      </c>
      <c r="L12" s="752">
        <v>0.41</v>
      </c>
      <c r="M12" s="753">
        <v>0.83</v>
      </c>
      <c r="O12" s="734">
        <v>23615</v>
      </c>
      <c r="P12" s="280">
        <v>29029</v>
      </c>
      <c r="Q12">
        <v>28166</v>
      </c>
      <c r="R12">
        <v>24873</v>
      </c>
      <c r="V12" s="172"/>
      <c r="W12" s="309"/>
      <c r="X12" s="157"/>
    </row>
    <row r="13" spans="1:24" x14ac:dyDescent="0.35">
      <c r="A13" s="444">
        <v>2</v>
      </c>
      <c r="B13" s="435" t="s">
        <v>833</v>
      </c>
      <c r="C13" s="432">
        <f>HLOOKUP($C$4,$O$11:$R$41,3,FALSE)</f>
        <v>23615</v>
      </c>
      <c r="D13" s="432">
        <f t="shared" ref="D13:D47" si="0">C13*$C$9</f>
        <v>0</v>
      </c>
      <c r="E13" s="432">
        <f t="shared" ref="E13:E47" si="1">C13*(100%+$C$9)</f>
        <v>23615</v>
      </c>
      <c r="F13" s="432">
        <f t="shared" ref="F13:F47" si="2">(E13-$C$5)*$C$6</f>
        <v>2003.0700000000002</v>
      </c>
      <c r="G13" s="436">
        <f t="shared" ref="G13:G47" si="3">E13*$C$8</f>
        <v>118.075</v>
      </c>
      <c r="H13" s="432">
        <f t="shared" ref="H13:H47" si="4">E13*$C$7</f>
        <v>5615.6469999999999</v>
      </c>
      <c r="I13" s="749">
        <f t="shared" ref="I13:I47" si="5">SUM(E13:H13)</f>
        <v>31351.792000000001</v>
      </c>
      <c r="J13" s="128">
        <v>1560</v>
      </c>
      <c r="K13" s="751">
        <f t="shared" ref="K13:K47" si="6">ROUND(I13/J13,2)</f>
        <v>20.100000000000001</v>
      </c>
      <c r="L13" s="433">
        <v>0.41</v>
      </c>
      <c r="M13" s="635">
        <v>0.83</v>
      </c>
      <c r="O13" s="734">
        <v>23615</v>
      </c>
      <c r="P13" s="280">
        <v>29029</v>
      </c>
      <c r="Q13">
        <v>28166</v>
      </c>
      <c r="R13">
        <v>24873</v>
      </c>
      <c r="V13" s="490" t="s">
        <v>863</v>
      </c>
      <c r="X13" s="159"/>
    </row>
    <row r="14" spans="1:24" x14ac:dyDescent="0.35">
      <c r="A14" s="444">
        <v>3</v>
      </c>
      <c r="B14" s="435" t="s">
        <v>834</v>
      </c>
      <c r="C14" s="432">
        <f>HLOOKUP($C$4,$O$11:$R$41,4,FALSE)</f>
        <v>24071</v>
      </c>
      <c r="D14" s="432">
        <f t="shared" si="0"/>
        <v>0</v>
      </c>
      <c r="E14" s="432">
        <f t="shared" si="1"/>
        <v>24071</v>
      </c>
      <c r="F14" s="432">
        <f t="shared" si="2"/>
        <v>2065.998</v>
      </c>
      <c r="G14" s="436">
        <f t="shared" si="3"/>
        <v>120.355</v>
      </c>
      <c r="H14" s="432">
        <f t="shared" si="4"/>
        <v>5724.0838000000003</v>
      </c>
      <c r="I14" s="749">
        <f t="shared" si="5"/>
        <v>31981.436799999999</v>
      </c>
      <c r="J14" s="128">
        <v>1560</v>
      </c>
      <c r="K14" s="751">
        <f t="shared" si="6"/>
        <v>20.5</v>
      </c>
      <c r="L14" s="433">
        <v>0.35</v>
      </c>
      <c r="M14" s="635">
        <v>0.69</v>
      </c>
      <c r="O14" s="734">
        <v>24071</v>
      </c>
      <c r="P14" s="280">
        <v>29485</v>
      </c>
      <c r="Q14">
        <v>28622</v>
      </c>
      <c r="R14">
        <v>25329</v>
      </c>
      <c r="S14" t="s">
        <v>975</v>
      </c>
      <c r="V14" s="491" t="s">
        <v>864</v>
      </c>
      <c r="W14">
        <v>260</v>
      </c>
      <c r="X14" s="159"/>
    </row>
    <row r="15" spans="1:24" x14ac:dyDescent="0.35">
      <c r="A15" s="444">
        <v>3</v>
      </c>
      <c r="B15" s="435" t="s">
        <v>835</v>
      </c>
      <c r="C15" s="432">
        <f>HLOOKUP($C$4,$O$11:$R$41,5,FALSE)</f>
        <v>25674</v>
      </c>
      <c r="D15" s="432">
        <f t="shared" si="0"/>
        <v>0</v>
      </c>
      <c r="E15" s="432">
        <f t="shared" si="1"/>
        <v>25674</v>
      </c>
      <c r="F15" s="432">
        <f t="shared" si="2"/>
        <v>2287.212</v>
      </c>
      <c r="G15" s="436">
        <f t="shared" si="3"/>
        <v>128.37</v>
      </c>
      <c r="H15" s="432">
        <f t="shared" si="4"/>
        <v>6105.2772000000004</v>
      </c>
      <c r="I15" s="749">
        <f t="shared" si="5"/>
        <v>34194.859199999999</v>
      </c>
      <c r="J15" s="128">
        <v>1560</v>
      </c>
      <c r="K15" s="751">
        <f t="shared" si="6"/>
        <v>21.92</v>
      </c>
      <c r="L15" s="433">
        <v>0.35</v>
      </c>
      <c r="M15" s="635">
        <v>0.69</v>
      </c>
      <c r="O15" s="734">
        <v>25674</v>
      </c>
      <c r="P15" s="280">
        <v>31088</v>
      </c>
      <c r="Q15">
        <v>30225</v>
      </c>
      <c r="R15">
        <v>26958</v>
      </c>
      <c r="S15" t="s">
        <v>994</v>
      </c>
      <c r="V15" s="491" t="s">
        <v>865</v>
      </c>
      <c r="W15">
        <v>-40</v>
      </c>
      <c r="X15" s="159"/>
    </row>
    <row r="16" spans="1:24" x14ac:dyDescent="0.35">
      <c r="A16" s="444">
        <v>4</v>
      </c>
      <c r="B16" s="435" t="s">
        <v>836</v>
      </c>
      <c r="C16" s="432">
        <f>HLOOKUP($C$4,$O$11:$R$41,6,FALSE)</f>
        <v>26530</v>
      </c>
      <c r="D16" s="432">
        <f t="shared" si="0"/>
        <v>0</v>
      </c>
      <c r="E16" s="432">
        <f t="shared" si="1"/>
        <v>26530</v>
      </c>
      <c r="F16" s="432">
        <f t="shared" si="2"/>
        <v>2405.34</v>
      </c>
      <c r="G16" s="436">
        <f t="shared" si="3"/>
        <v>132.65</v>
      </c>
      <c r="H16" s="432">
        <f t="shared" si="4"/>
        <v>6308.8340000000007</v>
      </c>
      <c r="I16" s="749">
        <f t="shared" si="5"/>
        <v>35376.824000000001</v>
      </c>
      <c r="J16" s="128">
        <v>1560</v>
      </c>
      <c r="K16" s="751">
        <f t="shared" si="6"/>
        <v>22.68</v>
      </c>
      <c r="L16" s="433">
        <v>0.3</v>
      </c>
      <c r="M16" s="635">
        <v>0.6</v>
      </c>
      <c r="O16" s="734">
        <v>26530</v>
      </c>
      <c r="P16" s="280">
        <v>31944</v>
      </c>
      <c r="Q16">
        <v>31081</v>
      </c>
      <c r="R16">
        <v>27857</v>
      </c>
      <c r="S16" t="s">
        <v>995</v>
      </c>
      <c r="V16" s="491" t="s">
        <v>866</v>
      </c>
      <c r="W16">
        <v>-2</v>
      </c>
      <c r="X16" s="159"/>
    </row>
    <row r="17" spans="1:24" x14ac:dyDescent="0.35">
      <c r="A17" s="444">
        <v>4</v>
      </c>
      <c r="B17" s="435" t="s">
        <v>837</v>
      </c>
      <c r="C17" s="432">
        <f>HLOOKUP($C$4,$O$11:$R$41,7,FALSE)</f>
        <v>29114</v>
      </c>
      <c r="D17" s="432">
        <f t="shared" si="0"/>
        <v>0</v>
      </c>
      <c r="E17" s="432">
        <f t="shared" si="1"/>
        <v>29114</v>
      </c>
      <c r="F17" s="432">
        <f t="shared" si="2"/>
        <v>2761.9320000000002</v>
      </c>
      <c r="G17" s="436">
        <f t="shared" si="3"/>
        <v>145.57</v>
      </c>
      <c r="H17" s="432">
        <f t="shared" si="4"/>
        <v>6923.3092000000006</v>
      </c>
      <c r="I17" s="749">
        <f t="shared" si="5"/>
        <v>38944.811200000004</v>
      </c>
      <c r="J17" s="128">
        <v>1560</v>
      </c>
      <c r="K17" s="751">
        <f t="shared" si="6"/>
        <v>24.96</v>
      </c>
      <c r="L17" s="433">
        <v>0.3</v>
      </c>
      <c r="M17" s="635">
        <v>0.6</v>
      </c>
      <c r="O17" s="734">
        <v>29114</v>
      </c>
      <c r="P17" s="280">
        <v>34937</v>
      </c>
      <c r="Q17">
        <v>33665</v>
      </c>
      <c r="R17">
        <v>30570</v>
      </c>
      <c r="S17" t="s">
        <v>996</v>
      </c>
      <c r="V17" s="491" t="s">
        <v>867</v>
      </c>
      <c r="W17">
        <v>-10</v>
      </c>
      <c r="X17" s="159"/>
    </row>
    <row r="18" spans="1:24" x14ac:dyDescent="0.35">
      <c r="A18" s="444">
        <v>5</v>
      </c>
      <c r="B18" s="435" t="s">
        <v>838</v>
      </c>
      <c r="C18" s="432">
        <f>HLOOKUP($C$4,$O$11:$R$41,8,FALSE)</f>
        <v>29970</v>
      </c>
      <c r="D18" s="432">
        <f t="shared" si="0"/>
        <v>0</v>
      </c>
      <c r="E18" s="432">
        <f t="shared" si="1"/>
        <v>29970</v>
      </c>
      <c r="F18" s="432">
        <f t="shared" si="2"/>
        <v>2880.0600000000004</v>
      </c>
      <c r="G18" s="436">
        <f t="shared" si="3"/>
        <v>149.85</v>
      </c>
      <c r="H18" s="432">
        <f t="shared" si="4"/>
        <v>7126.866</v>
      </c>
      <c r="I18" s="749">
        <f t="shared" si="5"/>
        <v>40126.775999999998</v>
      </c>
      <c r="J18" s="128">
        <v>1560</v>
      </c>
      <c r="K18" s="751">
        <f t="shared" si="6"/>
        <v>25.72</v>
      </c>
      <c r="L18" s="433">
        <v>0.3</v>
      </c>
      <c r="M18" s="635">
        <v>0.6</v>
      </c>
      <c r="O18" s="734">
        <v>29970</v>
      </c>
      <c r="P18" s="280">
        <v>35964</v>
      </c>
      <c r="Q18">
        <v>34521</v>
      </c>
      <c r="R18">
        <v>31469</v>
      </c>
      <c r="V18" s="491"/>
      <c r="W18" s="309">
        <v>208</v>
      </c>
      <c r="X18" s="159"/>
    </row>
    <row r="19" spans="1:24" x14ac:dyDescent="0.35">
      <c r="A19" s="444">
        <v>5</v>
      </c>
      <c r="B19" s="435" t="s">
        <v>839</v>
      </c>
      <c r="C19" s="432">
        <f>HLOOKUP($C$4,$O$11:$R$41,9,FALSE)</f>
        <v>32324</v>
      </c>
      <c r="D19" s="432">
        <f t="shared" si="0"/>
        <v>0</v>
      </c>
      <c r="E19" s="432">
        <f t="shared" si="1"/>
        <v>32324</v>
      </c>
      <c r="F19" s="432">
        <f t="shared" si="2"/>
        <v>3204.9120000000003</v>
      </c>
      <c r="G19" s="436">
        <f t="shared" si="3"/>
        <v>161.62</v>
      </c>
      <c r="H19" s="432">
        <f t="shared" si="4"/>
        <v>7686.6472000000003</v>
      </c>
      <c r="I19" s="749">
        <f t="shared" si="5"/>
        <v>43377.179199999999</v>
      </c>
      <c r="J19" s="128">
        <v>1560</v>
      </c>
      <c r="K19" s="751">
        <f t="shared" si="6"/>
        <v>27.81</v>
      </c>
      <c r="L19" s="433">
        <v>0.3</v>
      </c>
      <c r="M19" s="635">
        <v>0.6</v>
      </c>
      <c r="O19" s="734">
        <v>32324</v>
      </c>
      <c r="P19" s="280">
        <v>38789</v>
      </c>
      <c r="Q19">
        <v>37173</v>
      </c>
      <c r="R19">
        <v>33941</v>
      </c>
      <c r="V19" s="491" t="s">
        <v>869</v>
      </c>
      <c r="W19" s="339">
        <f>7.5*W18</f>
        <v>1560</v>
      </c>
      <c r="X19" s="159"/>
    </row>
    <row r="20" spans="1:24" x14ac:dyDescent="0.35">
      <c r="A20" s="444">
        <v>5</v>
      </c>
      <c r="B20" s="435" t="s">
        <v>840</v>
      </c>
      <c r="C20" s="432">
        <f>HLOOKUP($C$4,$O$11:$R$41,10,FALSE)</f>
        <v>36483</v>
      </c>
      <c r="D20" s="432">
        <f t="shared" si="0"/>
        <v>0</v>
      </c>
      <c r="E20" s="432">
        <f t="shared" si="1"/>
        <v>36483</v>
      </c>
      <c r="F20" s="432">
        <f t="shared" si="2"/>
        <v>3778.8540000000003</v>
      </c>
      <c r="G20" s="436">
        <f t="shared" si="3"/>
        <v>182.41499999999999</v>
      </c>
      <c r="H20" s="432">
        <f t="shared" si="4"/>
        <v>8675.6574000000001</v>
      </c>
      <c r="I20" s="749">
        <f t="shared" si="5"/>
        <v>49119.926399999997</v>
      </c>
      <c r="J20" s="128">
        <v>1560</v>
      </c>
      <c r="K20" s="751">
        <f t="shared" si="6"/>
        <v>31.49</v>
      </c>
      <c r="L20" s="433">
        <v>0.3</v>
      </c>
      <c r="M20" s="635">
        <v>0.6</v>
      </c>
      <c r="O20" s="734">
        <v>36483</v>
      </c>
      <c r="P20" s="280">
        <v>43780</v>
      </c>
      <c r="Q20">
        <v>41956</v>
      </c>
      <c r="R20">
        <v>38308</v>
      </c>
      <c r="V20" s="160"/>
      <c r="X20" s="159"/>
    </row>
    <row r="21" spans="1:24" x14ac:dyDescent="0.35">
      <c r="A21" s="444">
        <v>6</v>
      </c>
      <c r="B21" s="435" t="s">
        <v>841</v>
      </c>
      <c r="C21" s="432">
        <f>HLOOKUP($C$4,$O$11:$R$41,11,FALSE)</f>
        <v>37338</v>
      </c>
      <c r="D21" s="432">
        <f t="shared" si="0"/>
        <v>0</v>
      </c>
      <c r="E21" s="432">
        <f t="shared" si="1"/>
        <v>37338</v>
      </c>
      <c r="F21" s="432">
        <f t="shared" si="2"/>
        <v>3896.8440000000005</v>
      </c>
      <c r="G21" s="436">
        <f t="shared" si="3"/>
        <v>186.69</v>
      </c>
      <c r="H21" s="432">
        <f t="shared" si="4"/>
        <v>8878.9763999999996</v>
      </c>
      <c r="I21" s="749">
        <f t="shared" si="5"/>
        <v>50300.510399999999</v>
      </c>
      <c r="J21" s="128">
        <v>1560</v>
      </c>
      <c r="K21" s="751">
        <f t="shared" si="6"/>
        <v>32.24</v>
      </c>
      <c r="L21" s="433">
        <v>0.3</v>
      </c>
      <c r="M21" s="635">
        <v>0.6</v>
      </c>
      <c r="O21" s="734">
        <v>37338</v>
      </c>
      <c r="P21" s="280">
        <v>44806</v>
      </c>
      <c r="Q21">
        <v>42939</v>
      </c>
      <c r="R21">
        <v>39205</v>
      </c>
      <c r="V21" s="491"/>
      <c r="X21" s="159"/>
    </row>
    <row r="22" spans="1:24" x14ac:dyDescent="0.35">
      <c r="A22" s="444">
        <v>6</v>
      </c>
      <c r="B22" s="435" t="s">
        <v>718</v>
      </c>
      <c r="C22" s="432">
        <f>HLOOKUP($C$4,$O$11:$R$41,12,FALSE)</f>
        <v>39405</v>
      </c>
      <c r="D22" s="432">
        <f t="shared" si="0"/>
        <v>0</v>
      </c>
      <c r="E22" s="432">
        <f t="shared" si="1"/>
        <v>39405</v>
      </c>
      <c r="F22" s="432">
        <f t="shared" si="2"/>
        <v>4182.09</v>
      </c>
      <c r="G22" s="436">
        <f t="shared" si="3"/>
        <v>197.02500000000001</v>
      </c>
      <c r="H22" s="432">
        <f t="shared" si="4"/>
        <v>9370.509</v>
      </c>
      <c r="I22" s="749">
        <f t="shared" si="5"/>
        <v>53154.623999999996</v>
      </c>
      <c r="J22" s="128">
        <v>1560</v>
      </c>
      <c r="K22" s="751">
        <f t="shared" si="6"/>
        <v>34.07</v>
      </c>
      <c r="L22" s="433">
        <v>0.3</v>
      </c>
      <c r="M22" s="635">
        <v>0.6</v>
      </c>
      <c r="O22" s="734">
        <v>39405</v>
      </c>
      <c r="P22" s="280">
        <v>47286</v>
      </c>
      <c r="Q22">
        <v>45140</v>
      </c>
      <c r="R22">
        <v>41376</v>
      </c>
      <c r="V22" s="490" t="s">
        <v>859</v>
      </c>
      <c r="X22" s="159"/>
    </row>
    <row r="23" spans="1:24" x14ac:dyDescent="0.35">
      <c r="A23" s="444">
        <v>6</v>
      </c>
      <c r="B23" s="435" t="s">
        <v>842</v>
      </c>
      <c r="C23" s="432">
        <f>HLOOKUP($C$4,$O$11:$R$41,13,FALSE)</f>
        <v>44962</v>
      </c>
      <c r="D23" s="432">
        <f t="shared" si="0"/>
        <v>0</v>
      </c>
      <c r="E23" s="432">
        <f t="shared" si="1"/>
        <v>44962</v>
      </c>
      <c r="F23" s="432">
        <f t="shared" si="2"/>
        <v>4948.9560000000001</v>
      </c>
      <c r="G23" s="436">
        <f t="shared" si="3"/>
        <v>224.81</v>
      </c>
      <c r="H23" s="432">
        <f t="shared" si="4"/>
        <v>10691.963600000001</v>
      </c>
      <c r="I23" s="749">
        <f t="shared" si="5"/>
        <v>60827.729599999999</v>
      </c>
      <c r="J23" s="128">
        <v>1560</v>
      </c>
      <c r="K23" s="751">
        <f t="shared" si="6"/>
        <v>38.99</v>
      </c>
      <c r="L23" s="433">
        <v>0.3</v>
      </c>
      <c r="M23" s="635">
        <v>0.6</v>
      </c>
      <c r="O23" s="734">
        <v>44962</v>
      </c>
      <c r="P23" s="280">
        <v>53134</v>
      </c>
      <c r="Q23">
        <v>50697</v>
      </c>
      <c r="R23">
        <v>47084</v>
      </c>
      <c r="V23" s="491" t="s">
        <v>870</v>
      </c>
      <c r="W23">
        <v>43</v>
      </c>
      <c r="X23" s="159"/>
    </row>
    <row r="24" spans="1:24" x14ac:dyDescent="0.35">
      <c r="A24" s="444">
        <v>7</v>
      </c>
      <c r="B24" s="435" t="s">
        <v>843</v>
      </c>
      <c r="C24" s="432">
        <f>HLOOKUP($C$4,$O$11:$R$41,14,FALSE)</f>
        <v>46148</v>
      </c>
      <c r="D24" s="432">
        <f t="shared" si="0"/>
        <v>0</v>
      </c>
      <c r="E24" s="432">
        <f t="shared" si="1"/>
        <v>46148</v>
      </c>
      <c r="F24" s="432">
        <f t="shared" si="2"/>
        <v>5112.6240000000007</v>
      </c>
      <c r="G24" s="436">
        <f t="shared" si="3"/>
        <v>230.74</v>
      </c>
      <c r="H24" s="432">
        <f t="shared" si="4"/>
        <v>10973.994400000001</v>
      </c>
      <c r="I24" s="749">
        <f t="shared" si="5"/>
        <v>62465.358400000005</v>
      </c>
      <c r="J24" s="128">
        <v>1560</v>
      </c>
      <c r="K24" s="751">
        <f t="shared" si="6"/>
        <v>40.04</v>
      </c>
      <c r="L24" s="433">
        <v>0.3</v>
      </c>
      <c r="M24" s="635">
        <v>0.6</v>
      </c>
      <c r="O24" s="734">
        <v>46148</v>
      </c>
      <c r="P24" s="280">
        <v>54320</v>
      </c>
      <c r="Q24">
        <v>51883</v>
      </c>
      <c r="R24">
        <v>48270</v>
      </c>
      <c r="V24" s="491"/>
      <c r="X24" s="159"/>
    </row>
    <row r="25" spans="1:24" x14ac:dyDescent="0.35">
      <c r="A25" s="444">
        <v>7</v>
      </c>
      <c r="B25" s="435" t="s">
        <v>714</v>
      </c>
      <c r="C25" s="432">
        <f>HLOOKUP($C$4,$O$11:$R$41,15,FALSE)</f>
        <v>48526</v>
      </c>
      <c r="D25" s="432">
        <f t="shared" si="0"/>
        <v>0</v>
      </c>
      <c r="E25" s="432">
        <f t="shared" si="1"/>
        <v>48526</v>
      </c>
      <c r="F25" s="432">
        <f t="shared" si="2"/>
        <v>5440.7880000000005</v>
      </c>
      <c r="G25" s="436">
        <f t="shared" si="3"/>
        <v>242.63</v>
      </c>
      <c r="H25" s="432">
        <f t="shared" si="4"/>
        <v>11539.4828</v>
      </c>
      <c r="I25" s="749">
        <f t="shared" si="5"/>
        <v>65748.900800000003</v>
      </c>
      <c r="J25" s="128">
        <v>1560</v>
      </c>
      <c r="K25" s="751">
        <f t="shared" si="6"/>
        <v>42.15</v>
      </c>
      <c r="L25" s="433">
        <v>0.3</v>
      </c>
      <c r="M25" s="635">
        <v>0.6</v>
      </c>
      <c r="O25" s="734">
        <v>48526</v>
      </c>
      <c r="P25" s="280">
        <v>56698</v>
      </c>
      <c r="Q25">
        <v>54261</v>
      </c>
      <c r="R25">
        <v>50648</v>
      </c>
      <c r="V25" s="491" t="s">
        <v>872</v>
      </c>
      <c r="W25">
        <v>10</v>
      </c>
      <c r="X25" s="159"/>
    </row>
    <row r="26" spans="1:24" x14ac:dyDescent="0.35">
      <c r="A26" s="444">
        <v>7</v>
      </c>
      <c r="B26" s="435" t="s">
        <v>844</v>
      </c>
      <c r="C26" s="432">
        <f>HLOOKUP($C$4,$O$11:$R$41,16,FALSE)</f>
        <v>52809</v>
      </c>
      <c r="D26" s="432">
        <f t="shared" si="0"/>
        <v>0</v>
      </c>
      <c r="E26" s="432">
        <f t="shared" si="1"/>
        <v>52809</v>
      </c>
      <c r="F26" s="432">
        <f t="shared" si="2"/>
        <v>6031.8420000000006</v>
      </c>
      <c r="G26" s="436">
        <f t="shared" si="3"/>
        <v>264.04500000000002</v>
      </c>
      <c r="H26" s="432">
        <f t="shared" si="4"/>
        <v>12557.9802</v>
      </c>
      <c r="I26" s="749">
        <f t="shared" si="5"/>
        <v>71662.867200000008</v>
      </c>
      <c r="J26" s="128">
        <v>1560</v>
      </c>
      <c r="K26" s="751">
        <f t="shared" si="6"/>
        <v>45.94</v>
      </c>
      <c r="L26" s="433">
        <v>0.3</v>
      </c>
      <c r="M26" s="635">
        <v>0.6</v>
      </c>
      <c r="O26" s="734">
        <v>52809</v>
      </c>
      <c r="P26" s="280">
        <v>60981</v>
      </c>
      <c r="Q26">
        <v>58544</v>
      </c>
      <c r="R26">
        <v>54931</v>
      </c>
      <c r="V26" s="491" t="s">
        <v>873</v>
      </c>
      <c r="W26">
        <v>-2</v>
      </c>
      <c r="X26" s="159"/>
    </row>
    <row r="27" spans="1:24" x14ac:dyDescent="0.35">
      <c r="A27" s="444" t="s">
        <v>868</v>
      </c>
      <c r="B27" s="435" t="s">
        <v>845</v>
      </c>
      <c r="C27" s="432">
        <f>HLOOKUP($C$4,$O$11:$R$41,17,FALSE)</f>
        <v>53754.676500000001</v>
      </c>
      <c r="D27" s="432">
        <f t="shared" si="0"/>
        <v>0</v>
      </c>
      <c r="E27" s="432">
        <f t="shared" si="1"/>
        <v>53754.676500000001</v>
      </c>
      <c r="F27" s="432">
        <f t="shared" si="2"/>
        <v>6162.3453570000011</v>
      </c>
      <c r="G27" s="436">
        <f t="shared" si="3"/>
        <v>268.77338250000003</v>
      </c>
      <c r="H27" s="432">
        <f t="shared" si="4"/>
        <v>12782.862071700001</v>
      </c>
      <c r="I27" s="749">
        <f t="shared" si="5"/>
        <v>72968.657311200004</v>
      </c>
      <c r="J27" s="128">
        <v>1560</v>
      </c>
      <c r="K27" s="751">
        <f t="shared" si="6"/>
        <v>46.77</v>
      </c>
      <c r="L27" s="433">
        <v>0.3</v>
      </c>
      <c r="M27" s="635">
        <v>0.6</v>
      </c>
      <c r="O27" s="734">
        <v>53754.676500000001</v>
      </c>
      <c r="P27" s="280">
        <v>61927</v>
      </c>
      <c r="Q27">
        <v>59490</v>
      </c>
      <c r="R27">
        <v>55877</v>
      </c>
      <c r="V27" s="491"/>
      <c r="W27" s="309">
        <v>8</v>
      </c>
      <c r="X27" s="159"/>
    </row>
    <row r="28" spans="1:24" x14ac:dyDescent="0.35">
      <c r="A28" s="444" t="s">
        <v>868</v>
      </c>
      <c r="B28" s="435" t="s">
        <v>716</v>
      </c>
      <c r="C28" s="432">
        <f>HLOOKUP($C$4,$O$11:$R$41,18,FALSE)</f>
        <v>56454</v>
      </c>
      <c r="D28" s="432">
        <f t="shared" si="0"/>
        <v>0</v>
      </c>
      <c r="E28" s="432">
        <f t="shared" si="1"/>
        <v>56454</v>
      </c>
      <c r="F28" s="432">
        <f t="shared" si="2"/>
        <v>6534.8520000000008</v>
      </c>
      <c r="G28" s="436">
        <f t="shared" si="3"/>
        <v>282.27</v>
      </c>
      <c r="H28" s="432">
        <f t="shared" si="4"/>
        <v>13424.761200000001</v>
      </c>
      <c r="I28" s="749">
        <f t="shared" si="5"/>
        <v>76695.883199999997</v>
      </c>
      <c r="J28" s="128">
        <v>1560</v>
      </c>
      <c r="K28" s="751">
        <f t="shared" si="6"/>
        <v>49.16</v>
      </c>
      <c r="L28" s="433">
        <v>0.3</v>
      </c>
      <c r="M28" s="635">
        <v>0.6</v>
      </c>
      <c r="O28" s="734">
        <v>56454</v>
      </c>
      <c r="P28" s="280">
        <v>64626</v>
      </c>
      <c r="Q28">
        <v>62189</v>
      </c>
      <c r="R28">
        <v>58576</v>
      </c>
      <c r="V28" s="491" t="s">
        <v>874</v>
      </c>
      <c r="W28" s="339">
        <f>W27*4*W23</f>
        <v>1376</v>
      </c>
      <c r="X28" s="159"/>
    </row>
    <row r="29" spans="1:24" x14ac:dyDescent="0.35">
      <c r="A29" s="444" t="s">
        <v>868</v>
      </c>
      <c r="B29" s="435" t="s">
        <v>846</v>
      </c>
      <c r="C29" s="432">
        <f>HLOOKUP($C$4,$O$11:$R$41,19,FALSE)</f>
        <v>60504</v>
      </c>
      <c r="D29" s="432">
        <f t="shared" si="0"/>
        <v>0</v>
      </c>
      <c r="E29" s="432">
        <f t="shared" si="1"/>
        <v>60504</v>
      </c>
      <c r="F29" s="432">
        <f t="shared" si="2"/>
        <v>7093.7520000000004</v>
      </c>
      <c r="G29" s="436">
        <f t="shared" si="3"/>
        <v>302.52</v>
      </c>
      <c r="H29" s="432">
        <f t="shared" si="4"/>
        <v>14387.851200000001</v>
      </c>
      <c r="I29" s="749">
        <f t="shared" si="5"/>
        <v>82288.123200000016</v>
      </c>
      <c r="J29" s="128">
        <v>1560</v>
      </c>
      <c r="K29" s="751">
        <f t="shared" si="6"/>
        <v>52.75</v>
      </c>
      <c r="L29" s="433">
        <v>0.3</v>
      </c>
      <c r="M29" s="635">
        <v>0.6</v>
      </c>
      <c r="O29" s="734">
        <v>60504</v>
      </c>
      <c r="P29" s="280">
        <v>68676</v>
      </c>
      <c r="Q29">
        <v>66239</v>
      </c>
      <c r="R29">
        <v>62626</v>
      </c>
      <c r="V29" s="160"/>
      <c r="X29" s="159"/>
    </row>
    <row r="30" spans="1:24" x14ac:dyDescent="0.35">
      <c r="A30" s="444" t="s">
        <v>871</v>
      </c>
      <c r="B30" s="435" t="s">
        <v>847</v>
      </c>
      <c r="C30" s="432">
        <f>HLOOKUP($C$4,$O$11:$R$41,20,FALSE)</f>
        <v>62215</v>
      </c>
      <c r="D30" s="432">
        <f t="shared" si="0"/>
        <v>0</v>
      </c>
      <c r="E30" s="432">
        <f t="shared" si="1"/>
        <v>62215</v>
      </c>
      <c r="F30" s="432">
        <f t="shared" si="2"/>
        <v>7329.8700000000008</v>
      </c>
      <c r="G30" s="436">
        <f t="shared" si="3"/>
        <v>311.07499999999999</v>
      </c>
      <c r="H30" s="432">
        <f t="shared" si="4"/>
        <v>14794.727000000001</v>
      </c>
      <c r="I30" s="749">
        <f t="shared" si="5"/>
        <v>84650.671999999991</v>
      </c>
      <c r="J30" s="128">
        <v>1560</v>
      </c>
      <c r="K30" s="751">
        <f t="shared" si="6"/>
        <v>54.26</v>
      </c>
      <c r="L30" s="433">
        <v>0.3</v>
      </c>
      <c r="M30" s="635">
        <v>0.6</v>
      </c>
      <c r="O30" s="734">
        <v>62215</v>
      </c>
      <c r="P30" s="280">
        <v>70387</v>
      </c>
      <c r="Q30">
        <v>67950</v>
      </c>
      <c r="R30">
        <v>64337</v>
      </c>
      <c r="V30" s="491"/>
      <c r="X30" s="159"/>
    </row>
    <row r="31" spans="1:24" x14ac:dyDescent="0.35">
      <c r="A31" s="444" t="s">
        <v>871</v>
      </c>
      <c r="B31" s="435" t="s">
        <v>848</v>
      </c>
      <c r="C31" s="432">
        <f>HLOOKUP($C$4,$O$11:$R$41,21,FALSE)</f>
        <v>66246</v>
      </c>
      <c r="D31" s="432">
        <f t="shared" si="0"/>
        <v>0</v>
      </c>
      <c r="E31" s="432">
        <f t="shared" si="1"/>
        <v>66246</v>
      </c>
      <c r="F31" s="432">
        <f t="shared" si="2"/>
        <v>7886.148000000001</v>
      </c>
      <c r="G31" s="436">
        <f t="shared" si="3"/>
        <v>331.23</v>
      </c>
      <c r="H31" s="432">
        <f t="shared" si="4"/>
        <v>15753.2988</v>
      </c>
      <c r="I31" s="749">
        <f t="shared" si="5"/>
        <v>90216.676800000001</v>
      </c>
      <c r="J31" s="128">
        <v>1560</v>
      </c>
      <c r="K31" s="751">
        <f t="shared" si="6"/>
        <v>57.83</v>
      </c>
      <c r="L31" s="433">
        <v>0.3</v>
      </c>
      <c r="M31" s="635">
        <v>0.6</v>
      </c>
      <c r="O31" s="734">
        <v>66246</v>
      </c>
      <c r="P31" s="280">
        <v>74418</v>
      </c>
      <c r="Q31">
        <v>71981</v>
      </c>
      <c r="R31">
        <v>68368</v>
      </c>
      <c r="V31" s="490" t="s">
        <v>862</v>
      </c>
      <c r="X31" s="159"/>
    </row>
    <row r="32" spans="1:24" x14ac:dyDescent="0.35">
      <c r="A32" s="444" t="s">
        <v>871</v>
      </c>
      <c r="B32" s="435" t="s">
        <v>849</v>
      </c>
      <c r="C32" s="432">
        <f>HLOOKUP($C$4,$O$11:$R$41,22,FALSE)</f>
        <v>72293</v>
      </c>
      <c r="D32" s="432">
        <f t="shared" si="0"/>
        <v>0</v>
      </c>
      <c r="E32" s="432">
        <f t="shared" si="1"/>
        <v>72293</v>
      </c>
      <c r="F32" s="432">
        <f t="shared" si="2"/>
        <v>8720.634</v>
      </c>
      <c r="G32" s="436">
        <f t="shared" si="3"/>
        <v>361.46500000000003</v>
      </c>
      <c r="H32" s="432">
        <f t="shared" si="4"/>
        <v>17191.275400000002</v>
      </c>
      <c r="I32" s="749">
        <f t="shared" si="5"/>
        <v>98566.374400000001</v>
      </c>
      <c r="J32" s="128">
        <v>1560</v>
      </c>
      <c r="K32" s="751">
        <f t="shared" si="6"/>
        <v>63.18</v>
      </c>
      <c r="L32" s="433">
        <v>0.3</v>
      </c>
      <c r="M32" s="635">
        <v>0.6</v>
      </c>
      <c r="O32" s="734">
        <v>72293</v>
      </c>
      <c r="P32" s="280">
        <v>80465</v>
      </c>
      <c r="Q32">
        <v>78028</v>
      </c>
      <c r="R32">
        <v>74415</v>
      </c>
      <c r="V32" s="491" t="s">
        <v>876</v>
      </c>
      <c r="W32">
        <v>44.7</v>
      </c>
      <c r="X32" s="159"/>
    </row>
    <row r="33" spans="1:24" x14ac:dyDescent="0.35">
      <c r="A33" s="444" t="s">
        <v>875</v>
      </c>
      <c r="B33" s="435" t="s">
        <v>850</v>
      </c>
      <c r="C33" s="432">
        <f>HLOOKUP($C$4,$O$11:$R$41,23,FALSE)</f>
        <v>74290</v>
      </c>
      <c r="D33" s="432">
        <f t="shared" si="0"/>
        <v>0</v>
      </c>
      <c r="E33" s="432">
        <f t="shared" si="1"/>
        <v>74290</v>
      </c>
      <c r="F33" s="432">
        <f t="shared" si="2"/>
        <v>8996.2200000000012</v>
      </c>
      <c r="G33" s="436">
        <f t="shared" si="3"/>
        <v>371.45</v>
      </c>
      <c r="H33" s="432">
        <f t="shared" si="4"/>
        <v>17666.162</v>
      </c>
      <c r="I33" s="749">
        <f t="shared" si="5"/>
        <v>101323.83199999999</v>
      </c>
      <c r="J33" s="128">
        <v>1560</v>
      </c>
      <c r="K33" s="751">
        <f t="shared" si="6"/>
        <v>64.95</v>
      </c>
      <c r="L33" s="433">
        <v>0.3</v>
      </c>
      <c r="M33" s="635">
        <v>0.6</v>
      </c>
      <c r="O33" s="734">
        <v>74290</v>
      </c>
      <c r="P33" s="280">
        <v>82462</v>
      </c>
      <c r="Q33">
        <v>80025</v>
      </c>
      <c r="R33">
        <v>76412</v>
      </c>
      <c r="V33" s="491" t="s">
        <v>877</v>
      </c>
      <c r="W33">
        <v>48</v>
      </c>
      <c r="X33" s="159"/>
    </row>
    <row r="34" spans="1:24" x14ac:dyDescent="0.35">
      <c r="A34" s="444" t="s">
        <v>875</v>
      </c>
      <c r="B34" s="435" t="s">
        <v>851</v>
      </c>
      <c r="C34" s="432">
        <f>HLOOKUP($C$4,$O$11:$R$41,24,FALSE)</f>
        <v>78814</v>
      </c>
      <c r="D34" s="432">
        <f t="shared" si="0"/>
        <v>0</v>
      </c>
      <c r="E34" s="432">
        <f t="shared" si="1"/>
        <v>78814</v>
      </c>
      <c r="F34" s="432">
        <f t="shared" si="2"/>
        <v>9620.5320000000011</v>
      </c>
      <c r="G34" s="436">
        <f t="shared" si="3"/>
        <v>394.07</v>
      </c>
      <c r="H34" s="432">
        <f t="shared" si="4"/>
        <v>18741.9692</v>
      </c>
      <c r="I34" s="749">
        <f t="shared" si="5"/>
        <v>107570.57120000001</v>
      </c>
      <c r="J34" s="128">
        <v>1560</v>
      </c>
      <c r="K34" s="751">
        <f t="shared" si="6"/>
        <v>68.959999999999994</v>
      </c>
      <c r="L34" s="433">
        <v>0.3</v>
      </c>
      <c r="M34" s="635">
        <v>0.6</v>
      </c>
      <c r="O34" s="734">
        <v>78814</v>
      </c>
      <c r="P34" s="280">
        <v>86986</v>
      </c>
      <c r="Q34">
        <v>84549</v>
      </c>
      <c r="R34">
        <v>80936</v>
      </c>
      <c r="V34" s="491" t="s">
        <v>878</v>
      </c>
      <c r="W34">
        <v>2145.6</v>
      </c>
      <c r="X34" s="159"/>
    </row>
    <row r="35" spans="1:24" x14ac:dyDescent="0.35">
      <c r="A35" s="444" t="s">
        <v>875</v>
      </c>
      <c r="B35" s="435" t="s">
        <v>852</v>
      </c>
      <c r="C35" s="432">
        <f>HLOOKUP($C$4,$O$11:$R$41,25,FALSE)</f>
        <v>85601</v>
      </c>
      <c r="D35" s="432">
        <f t="shared" si="0"/>
        <v>0</v>
      </c>
      <c r="E35" s="432">
        <f t="shared" si="1"/>
        <v>85601</v>
      </c>
      <c r="F35" s="432">
        <f t="shared" si="2"/>
        <v>10557.138000000001</v>
      </c>
      <c r="G35" s="436">
        <f t="shared" si="3"/>
        <v>428.005</v>
      </c>
      <c r="H35" s="432">
        <f t="shared" si="4"/>
        <v>20355.917799999999</v>
      </c>
      <c r="I35" s="749">
        <f t="shared" si="5"/>
        <v>116942.06080000001</v>
      </c>
      <c r="J35" s="128">
        <v>1560</v>
      </c>
      <c r="K35" s="751">
        <f t="shared" si="6"/>
        <v>74.959999999999994</v>
      </c>
      <c r="L35" s="433">
        <v>0.3</v>
      </c>
      <c r="M35" s="635">
        <v>0.6</v>
      </c>
      <c r="O35" s="734">
        <v>85601</v>
      </c>
      <c r="P35" s="280">
        <v>93773</v>
      </c>
      <c r="Q35">
        <v>91336</v>
      </c>
      <c r="R35">
        <v>87723</v>
      </c>
      <c r="V35" s="491" t="s">
        <v>879</v>
      </c>
      <c r="W35" s="492">
        <v>0.6</v>
      </c>
      <c r="X35" s="159"/>
    </row>
    <row r="36" spans="1:24" x14ac:dyDescent="0.35">
      <c r="A36" s="444" t="s">
        <v>880</v>
      </c>
      <c r="B36" s="435" t="s">
        <v>853</v>
      </c>
      <c r="C36" s="432">
        <f>HLOOKUP($C$4,$O$11:$R$41,26,FALSE)</f>
        <v>88168</v>
      </c>
      <c r="D36" s="432">
        <f t="shared" si="0"/>
        <v>0</v>
      </c>
      <c r="E36" s="432">
        <f t="shared" si="1"/>
        <v>88168</v>
      </c>
      <c r="F36" s="432">
        <f t="shared" si="2"/>
        <v>10911.384</v>
      </c>
      <c r="G36" s="436">
        <f t="shared" si="3"/>
        <v>440.84000000000003</v>
      </c>
      <c r="H36" s="432">
        <f t="shared" si="4"/>
        <v>20966.350399999999</v>
      </c>
      <c r="I36" s="749">
        <f t="shared" si="5"/>
        <v>120486.5744</v>
      </c>
      <c r="J36" s="128">
        <v>1560</v>
      </c>
      <c r="K36" s="751">
        <f t="shared" si="6"/>
        <v>77.23</v>
      </c>
      <c r="L36" s="433">
        <v>0.3</v>
      </c>
      <c r="M36" s="635">
        <v>0.6</v>
      </c>
      <c r="O36" s="734">
        <v>88168</v>
      </c>
      <c r="P36" s="280">
        <v>96340</v>
      </c>
      <c r="Q36">
        <v>93903</v>
      </c>
      <c r="R36">
        <v>90290</v>
      </c>
      <c r="V36" s="491" t="s">
        <v>881</v>
      </c>
      <c r="W36" s="489">
        <f>ROUND(W35*W34,0)</f>
        <v>1287</v>
      </c>
      <c r="X36" s="159"/>
    </row>
    <row r="37" spans="1:24" x14ac:dyDescent="0.35">
      <c r="A37" s="444" t="s">
        <v>880</v>
      </c>
      <c r="B37" s="435" t="s">
        <v>854</v>
      </c>
      <c r="C37" s="432">
        <f>HLOOKUP($C$4,$O$11:$R$41,27,FALSE)</f>
        <v>93572</v>
      </c>
      <c r="D37" s="432">
        <f t="shared" si="0"/>
        <v>0</v>
      </c>
      <c r="E37" s="432">
        <f t="shared" si="1"/>
        <v>93572</v>
      </c>
      <c r="F37" s="432">
        <f t="shared" si="2"/>
        <v>11657.136</v>
      </c>
      <c r="G37" s="436">
        <f t="shared" si="3"/>
        <v>467.86</v>
      </c>
      <c r="H37" s="432">
        <f t="shared" si="4"/>
        <v>22251.421600000001</v>
      </c>
      <c r="I37" s="749">
        <f t="shared" si="5"/>
        <v>127948.4176</v>
      </c>
      <c r="J37" s="128">
        <v>1560</v>
      </c>
      <c r="K37" s="751">
        <f t="shared" si="6"/>
        <v>82.02</v>
      </c>
      <c r="L37" s="433">
        <v>0.3</v>
      </c>
      <c r="M37" s="635">
        <v>0.6</v>
      </c>
      <c r="O37" s="734">
        <v>93572</v>
      </c>
      <c r="P37" s="280">
        <v>101744</v>
      </c>
      <c r="Q37">
        <v>99307</v>
      </c>
      <c r="R37">
        <v>95694</v>
      </c>
      <c r="V37" s="161"/>
      <c r="W37" s="162"/>
      <c r="X37" s="163"/>
    </row>
    <row r="38" spans="1:24" x14ac:dyDescent="0.35">
      <c r="A38" s="444" t="s">
        <v>880</v>
      </c>
      <c r="B38" s="435" t="s">
        <v>855</v>
      </c>
      <c r="C38" s="432">
        <f>HLOOKUP($C$4,$O$11:$R$41,28,FALSE)</f>
        <v>101677</v>
      </c>
      <c r="D38" s="432">
        <f t="shared" si="0"/>
        <v>0</v>
      </c>
      <c r="E38" s="432">
        <f t="shared" si="1"/>
        <v>101677</v>
      </c>
      <c r="F38" s="432">
        <f t="shared" si="2"/>
        <v>12775.626</v>
      </c>
      <c r="G38" s="436">
        <f t="shared" si="3"/>
        <v>508.38499999999999</v>
      </c>
      <c r="H38" s="432">
        <f t="shared" si="4"/>
        <v>24178.7906</v>
      </c>
      <c r="I38" s="749">
        <f t="shared" si="5"/>
        <v>139139.80160000001</v>
      </c>
      <c r="J38" s="128">
        <v>1560</v>
      </c>
      <c r="K38" s="751">
        <f t="shared" si="6"/>
        <v>89.19</v>
      </c>
      <c r="L38" s="433">
        <v>0.3</v>
      </c>
      <c r="M38" s="635">
        <v>0.6</v>
      </c>
      <c r="O38" s="734">
        <v>101677</v>
      </c>
      <c r="P38" s="280">
        <v>109849</v>
      </c>
      <c r="Q38">
        <v>107412</v>
      </c>
      <c r="R38">
        <v>103799</v>
      </c>
    </row>
    <row r="39" spans="1:24" x14ac:dyDescent="0.35">
      <c r="A39" s="444">
        <v>9</v>
      </c>
      <c r="B39" s="435" t="s">
        <v>856</v>
      </c>
      <c r="C39" s="432">
        <f>HLOOKUP($C$4,$O$11:$R$41,29,FALSE)</f>
        <v>105385</v>
      </c>
      <c r="D39" s="432">
        <f t="shared" si="0"/>
        <v>0</v>
      </c>
      <c r="E39" s="432">
        <f t="shared" si="1"/>
        <v>105385</v>
      </c>
      <c r="F39" s="432">
        <f t="shared" si="2"/>
        <v>13287.330000000002</v>
      </c>
      <c r="G39" s="436">
        <f t="shared" si="3"/>
        <v>526.92499999999995</v>
      </c>
      <c r="H39" s="432">
        <f t="shared" si="4"/>
        <v>25060.553</v>
      </c>
      <c r="I39" s="749">
        <f t="shared" si="5"/>
        <v>144259.80800000002</v>
      </c>
      <c r="J39" s="128">
        <v>1560</v>
      </c>
      <c r="K39" s="751">
        <f t="shared" si="6"/>
        <v>92.47</v>
      </c>
      <c r="L39" s="433">
        <v>0.3</v>
      </c>
      <c r="M39" s="635">
        <v>0.6</v>
      </c>
      <c r="O39" s="734">
        <v>105385</v>
      </c>
      <c r="P39" s="280">
        <v>113557</v>
      </c>
      <c r="Q39">
        <v>111120</v>
      </c>
      <c r="R39">
        <v>107507</v>
      </c>
    </row>
    <row r="40" spans="1:24" x14ac:dyDescent="0.35">
      <c r="A40" s="444">
        <v>9</v>
      </c>
      <c r="B40" s="435" t="s">
        <v>857</v>
      </c>
      <c r="C40" s="432">
        <f>HLOOKUP($C$4,$O$11:$R$41,30,FALSE)</f>
        <v>111740</v>
      </c>
      <c r="D40" s="432">
        <f t="shared" si="0"/>
        <v>0</v>
      </c>
      <c r="E40" s="432">
        <f t="shared" si="1"/>
        <v>111740</v>
      </c>
      <c r="F40" s="432">
        <f t="shared" si="2"/>
        <v>14164.320000000002</v>
      </c>
      <c r="G40" s="436">
        <f t="shared" si="3"/>
        <v>558.70000000000005</v>
      </c>
      <c r="H40" s="432">
        <f t="shared" si="4"/>
        <v>26571.772000000001</v>
      </c>
      <c r="I40" s="749">
        <f t="shared" si="5"/>
        <v>153034.79200000002</v>
      </c>
      <c r="J40" s="128">
        <v>1560</v>
      </c>
      <c r="K40" s="751">
        <f t="shared" si="6"/>
        <v>98.1</v>
      </c>
      <c r="L40" s="433">
        <v>0.3</v>
      </c>
      <c r="M40" s="635">
        <v>0.6</v>
      </c>
      <c r="O40" s="734">
        <v>111740</v>
      </c>
      <c r="P40" s="280">
        <v>119912</v>
      </c>
      <c r="Q40">
        <v>117475</v>
      </c>
      <c r="R40">
        <v>113862</v>
      </c>
    </row>
    <row r="41" spans="1:24" x14ac:dyDescent="0.35">
      <c r="A41" s="444">
        <v>9</v>
      </c>
      <c r="B41" s="435" t="s">
        <v>858</v>
      </c>
      <c r="C41" s="432">
        <f>HLOOKUP($C$4,$O$11:$R$41,31,FALSE)</f>
        <v>121271</v>
      </c>
      <c r="D41" s="432">
        <f t="shared" si="0"/>
        <v>0</v>
      </c>
      <c r="E41" s="432">
        <f t="shared" si="1"/>
        <v>121271</v>
      </c>
      <c r="F41" s="432">
        <f t="shared" si="2"/>
        <v>15479.598000000002</v>
      </c>
      <c r="G41" s="436">
        <f t="shared" si="3"/>
        <v>606.35500000000002</v>
      </c>
      <c r="H41" s="432">
        <f t="shared" si="4"/>
        <v>28838.2438</v>
      </c>
      <c r="I41" s="749">
        <f t="shared" si="5"/>
        <v>166195.19680000001</v>
      </c>
      <c r="J41" s="128">
        <v>1560</v>
      </c>
      <c r="K41" s="751">
        <f t="shared" si="6"/>
        <v>106.54</v>
      </c>
      <c r="L41" s="433">
        <v>0.3</v>
      </c>
      <c r="M41" s="635">
        <v>0.6</v>
      </c>
      <c r="O41" s="734">
        <v>121271</v>
      </c>
      <c r="P41" s="280">
        <v>129443</v>
      </c>
      <c r="Q41">
        <v>127006</v>
      </c>
      <c r="R41">
        <v>123393</v>
      </c>
    </row>
    <row r="42" spans="1:24" x14ac:dyDescent="0.35">
      <c r="A42" s="444" t="s">
        <v>862</v>
      </c>
      <c r="B42" s="149" t="s">
        <v>882</v>
      </c>
      <c r="C42" s="432">
        <v>73113</v>
      </c>
      <c r="D42" s="432">
        <f t="shared" si="0"/>
        <v>0</v>
      </c>
      <c r="E42" s="432">
        <f t="shared" si="1"/>
        <v>73113</v>
      </c>
      <c r="F42" s="432">
        <f t="shared" si="2"/>
        <v>8833.7939999999999</v>
      </c>
      <c r="G42" s="436">
        <f t="shared" si="3"/>
        <v>365.565</v>
      </c>
      <c r="H42" s="432">
        <f>C42*0.2068</f>
        <v>15119.768400000001</v>
      </c>
      <c r="I42" s="749">
        <f t="shared" si="5"/>
        <v>97432.127399999998</v>
      </c>
      <c r="J42" s="128">
        <f>W36</f>
        <v>1287</v>
      </c>
      <c r="K42" s="751">
        <f t="shared" si="6"/>
        <v>75.7</v>
      </c>
      <c r="L42" s="434">
        <v>0</v>
      </c>
      <c r="M42" s="636">
        <v>0</v>
      </c>
    </row>
    <row r="43" spans="1:24" x14ac:dyDescent="0.35">
      <c r="A43" s="444" t="s">
        <v>862</v>
      </c>
      <c r="B43" s="149" t="s">
        <v>883</v>
      </c>
      <c r="C43" s="432">
        <f>(C42+C44)/2</f>
        <v>91721.5</v>
      </c>
      <c r="D43" s="432">
        <f t="shared" si="0"/>
        <v>0</v>
      </c>
      <c r="E43" s="432">
        <f t="shared" si="1"/>
        <v>91721.5</v>
      </c>
      <c r="F43" s="432">
        <f t="shared" si="2"/>
        <v>11401.767000000002</v>
      </c>
      <c r="G43" s="436">
        <f t="shared" si="3"/>
        <v>458.60750000000002</v>
      </c>
      <c r="H43" s="432">
        <f>C43*0.2068</f>
        <v>18968.0062</v>
      </c>
      <c r="I43" s="749">
        <f t="shared" si="5"/>
        <v>122549.88070000001</v>
      </c>
      <c r="J43" s="128">
        <f>W36</f>
        <v>1287</v>
      </c>
      <c r="K43" s="751">
        <f t="shared" si="6"/>
        <v>95.22</v>
      </c>
      <c r="L43" s="434">
        <v>0</v>
      </c>
      <c r="M43" s="636">
        <v>0</v>
      </c>
    </row>
    <row r="44" spans="1:24" x14ac:dyDescent="0.35">
      <c r="A44" s="754" t="s">
        <v>862</v>
      </c>
      <c r="B44" s="755" t="s">
        <v>883</v>
      </c>
      <c r="C44" s="496">
        <v>110330</v>
      </c>
      <c r="D44" s="496">
        <f t="shared" si="0"/>
        <v>0</v>
      </c>
      <c r="E44" s="432">
        <f t="shared" si="1"/>
        <v>110330</v>
      </c>
      <c r="F44" s="432">
        <f t="shared" si="2"/>
        <v>13969.740000000002</v>
      </c>
      <c r="G44" s="436">
        <f t="shared" si="3"/>
        <v>551.65</v>
      </c>
      <c r="H44" s="496">
        <f>C44*0.2068</f>
        <v>22816.244000000002</v>
      </c>
      <c r="I44" s="749">
        <f t="shared" si="5"/>
        <v>147667.63399999999</v>
      </c>
      <c r="J44" s="128">
        <f>W36</f>
        <v>1287</v>
      </c>
      <c r="K44" s="751">
        <f t="shared" si="6"/>
        <v>114.74</v>
      </c>
      <c r="L44" s="434">
        <v>0</v>
      </c>
      <c r="M44" s="636">
        <v>0</v>
      </c>
    </row>
    <row r="45" spans="1:24" x14ac:dyDescent="0.35">
      <c r="A45" s="444" t="s">
        <v>859</v>
      </c>
      <c r="B45" s="149" t="s">
        <v>860</v>
      </c>
      <c r="C45" s="432">
        <v>105504</v>
      </c>
      <c r="D45" s="432">
        <f t="shared" si="0"/>
        <v>0</v>
      </c>
      <c r="E45" s="432">
        <f t="shared" si="1"/>
        <v>105504</v>
      </c>
      <c r="F45" s="432">
        <f t="shared" si="2"/>
        <v>13303.752</v>
      </c>
      <c r="G45" s="436">
        <f t="shared" si="3"/>
        <v>527.52</v>
      </c>
      <c r="H45" s="432">
        <f t="shared" si="4"/>
        <v>25088.851200000001</v>
      </c>
      <c r="I45" s="749">
        <f t="shared" si="5"/>
        <v>144424.1232</v>
      </c>
      <c r="J45" s="128">
        <v>1376</v>
      </c>
      <c r="K45" s="751">
        <f t="shared" si="6"/>
        <v>104.96</v>
      </c>
      <c r="L45" s="434">
        <v>0</v>
      </c>
      <c r="M45" s="636">
        <v>0</v>
      </c>
    </row>
    <row r="46" spans="1:24" x14ac:dyDescent="0.35">
      <c r="A46" s="444" t="s">
        <v>859</v>
      </c>
      <c r="B46" s="149" t="s">
        <v>712</v>
      </c>
      <c r="C46" s="432">
        <f>(4*114894+6*126018)/10</f>
        <v>121568.4</v>
      </c>
      <c r="D46" s="432">
        <f t="shared" si="0"/>
        <v>0</v>
      </c>
      <c r="E46" s="432">
        <f t="shared" si="1"/>
        <v>121568.4</v>
      </c>
      <c r="F46" s="432">
        <f t="shared" si="2"/>
        <v>15520.6392</v>
      </c>
      <c r="G46" s="436">
        <f t="shared" si="3"/>
        <v>607.84199999999998</v>
      </c>
      <c r="H46" s="432">
        <f t="shared" si="4"/>
        <v>28908.965520000002</v>
      </c>
      <c r="I46" s="749">
        <f t="shared" si="5"/>
        <v>166605.84672</v>
      </c>
      <c r="J46" s="128">
        <v>1376</v>
      </c>
      <c r="K46" s="751">
        <f t="shared" si="6"/>
        <v>121.08</v>
      </c>
      <c r="L46" s="434">
        <v>0</v>
      </c>
      <c r="M46" s="636">
        <v>0</v>
      </c>
    </row>
    <row r="47" spans="1:24" ht="15" thickBot="1" x14ac:dyDescent="0.4">
      <c r="A47" s="445" t="s">
        <v>859</v>
      </c>
      <c r="B47" s="437" t="s">
        <v>861</v>
      </c>
      <c r="C47" s="438">
        <v>139882</v>
      </c>
      <c r="D47" s="438">
        <f t="shared" si="0"/>
        <v>0</v>
      </c>
      <c r="E47" s="438">
        <f t="shared" si="1"/>
        <v>139882</v>
      </c>
      <c r="F47" s="438">
        <f t="shared" si="2"/>
        <v>18047.916000000001</v>
      </c>
      <c r="G47" s="756">
        <f t="shared" si="3"/>
        <v>699.41</v>
      </c>
      <c r="H47" s="438">
        <f t="shared" si="4"/>
        <v>33263.939600000005</v>
      </c>
      <c r="I47" s="439">
        <f t="shared" si="5"/>
        <v>191893.26560000001</v>
      </c>
      <c r="J47" s="757">
        <v>1376</v>
      </c>
      <c r="K47" s="637">
        <f t="shared" si="6"/>
        <v>139.46</v>
      </c>
      <c r="L47" s="638">
        <v>0</v>
      </c>
      <c r="M47" s="639">
        <v>0</v>
      </c>
    </row>
    <row r="96" ht="23.75" customHeight="1" x14ac:dyDescent="0.35"/>
    <row r="97" ht="55.5" customHeight="1" x14ac:dyDescent="0.35"/>
    <row r="98" ht="23.75" customHeight="1" x14ac:dyDescent="0.35"/>
    <row r="99" ht="23.75" customHeight="1" x14ac:dyDescent="0.35"/>
    <row r="100" ht="23.75" customHeight="1" x14ac:dyDescent="0.35"/>
    <row r="101" ht="23.75" customHeight="1" x14ac:dyDescent="0.35"/>
    <row r="102" ht="23.75" customHeight="1" x14ac:dyDescent="0.35"/>
  </sheetData>
  <protectedRanges>
    <protectedRange sqref="C4:C9" name="Range1"/>
  </protectedRanges>
  <dataValidations count="1">
    <dataValidation type="list" allowBlank="1" showInputMessage="1" showErrorMessage="1" sqref="C4" xr:uid="{B6792421-D11D-44B4-9D81-C8CAF58A1013}">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David Tyldesley</DisplayName>
        <AccountId>22</AccountId>
        <AccountType/>
      </UserInfo>
      <UserInfo>
        <DisplayName>Elaine Cartwright</DisplayName>
        <AccountId>20</AccountId>
        <AccountType/>
      </UserInfo>
      <UserInfo>
        <DisplayName>Gary Shield</DisplayName>
        <AccountId>11</AccountId>
        <AccountType/>
      </UserInfo>
      <UserInfo>
        <DisplayName>Nicola Bodey</DisplayName>
        <AccountId>17</AccountId>
        <AccountType/>
      </UserInfo>
      <UserInfo>
        <DisplayName>Ciara Donnelly</DisplayName>
        <AccountId>12</AccountId>
        <AccountType/>
      </UserInfo>
      <UserInfo>
        <DisplayName>Edgar Masanga</DisplayName>
        <AccountId>19</AccountId>
        <AccountType/>
      </UserInfo>
      <UserInfo>
        <DisplayName>Merrily Kenyon</DisplayName>
        <AccountId>16</AccountId>
        <AccountType/>
      </UserInfo>
      <UserInfo>
        <DisplayName>Bing Luan-Gallagher</DisplayName>
        <AccountId>15</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24C17-9003-4474-A67F-56162B9CF558}">
  <ds:schemaRefs>
    <ds:schemaRef ds:uri="acaf4567-dc07-471f-892c-2bcb86ef35ae"/>
    <ds:schemaRef ds:uri="http://schemas.microsoft.com/office/2006/documentManagement/types"/>
    <ds:schemaRef ds:uri="http://purl.org/dc/dcmitype/"/>
    <ds:schemaRef ds:uri="http://purl.org/dc/elements/1.1/"/>
    <ds:schemaRef ds:uri="http://schemas.microsoft.com/office/infopath/2007/PartnerControls"/>
    <ds:schemaRef ds:uri="c1f338ac-e338-414f-952c-f74dcc6d59e1"/>
    <ds:schemaRef ds:uri="http://www.w3.org/XML/1998/namespace"/>
    <ds:schemaRef ds:uri="http://schemas.microsoft.com/office/2006/metadata/properties"/>
    <ds:schemaRef ds:uri="http://schemas.openxmlformats.org/package/2006/metadata/core-properties"/>
    <ds:schemaRef ds:uri="0eb656aa-4e79-4e95-9076-bc119a23e0cc"/>
    <ds:schemaRef ds:uri="http://purl.org/dc/terms/"/>
  </ds:schemaRefs>
</ds:datastoreItem>
</file>

<file path=customXml/itemProps2.xml><?xml version="1.0" encoding="utf-8"?>
<ds:datastoreItem xmlns:ds="http://schemas.openxmlformats.org/officeDocument/2006/customXml" ds:itemID="{8506AACA-5799-4C52-8ED7-91225F3AA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2024-11-26T14:16:35Z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