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4E4DB51F-EB5E-4EC3-B062-40154327A10A}" xr6:coauthVersionLast="47" xr6:coauthVersionMax="47" xr10:uidLastSave="{00000000-0000-0000-0000-000000000000}"/>
  <bookViews>
    <workbookView xWindow="-108" yWindow="-108" windowWidth="23256" windowHeight="127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input'!$A$1:$L$47</definedName>
    <definedName name="_xlnm.Print_Area" localSheetId="1">Guide!$A$1:$E$20</definedName>
    <definedName name="_xlnm.Print_Area" localSheetId="2">'Population selection'!$B$10:$J$23</definedName>
    <definedName name="_xlnm.Print_Area" localSheetId="7">'Resource impact over time'!$A$1:$W$86</definedName>
    <definedName name="_xlnm.Print_Area" localSheetId="6">'Resource impact template'!$A$1:$I$42</definedName>
    <definedName name="_xlnm.Print_Area" localSheetId="8">'RI phasing over years'!#REF!</definedName>
    <definedName name="_xlnm.Print_Area" localSheetId="9">'RI uptake year 1'!#REF!</definedName>
    <definedName name="_xlnm.Print_Area" localSheetId="4">'Unit costs'!$A$1:$M$16</definedName>
    <definedName name="_xlnm.Print_Area" localSheetId="5">'Unit costs - guidelines'!$A$1:$N$58</definedName>
    <definedName name="_xlnm.Print_Titles" localSheetId="3">'Assumptions input'!$1:$1</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21" l="1"/>
  <c r="C7" i="21"/>
  <c r="D39" i="40"/>
  <c r="D8" i="21" l="1"/>
  <c r="E8" i="21" s="1"/>
  <c r="B27" i="41"/>
  <c r="B28" i="41"/>
  <c r="G55" i="21"/>
  <c r="H55" i="21" s="1"/>
  <c r="G34" i="21" l="1"/>
  <c r="D7" i="21" l="1"/>
  <c r="E7" i="21" s="1"/>
  <c r="B63" i="42" l="1"/>
  <c r="A78" i="42"/>
  <c r="A68" i="42"/>
  <c r="A50" i="42"/>
  <c r="A44" i="42"/>
  <c r="C39" i="42"/>
  <c r="A38" i="42"/>
  <c r="A20" i="42"/>
  <c r="A27" i="42" s="1"/>
  <c r="B60" i="42"/>
  <c r="D46" i="40"/>
  <c r="B46" i="40"/>
  <c r="D39" i="42" l="1"/>
  <c r="G26" i="42"/>
  <c r="F26" i="42"/>
  <c r="E26" i="42"/>
  <c r="D26" i="42"/>
  <c r="C26" i="42"/>
  <c r="L26" i="42"/>
  <c r="K26" i="42"/>
  <c r="J26" i="42"/>
  <c r="I26" i="42"/>
  <c r="H26" i="42"/>
  <c r="B78" i="42"/>
  <c r="B68" i="42"/>
  <c r="H14" i="21"/>
  <c r="I39" i="40"/>
  <c r="G39" i="40"/>
  <c r="B39" i="40"/>
  <c r="E39" i="42" l="1"/>
  <c r="F39" i="42"/>
  <c r="H7" i="21" l="1"/>
  <c r="I7" i="21" s="1"/>
  <c r="B50" i="42" s="1"/>
  <c r="H8" i="21"/>
  <c r="H9" i="21" l="1"/>
  <c r="I8" i="21"/>
  <c r="I9" i="21" s="1"/>
  <c r="B7" i="41" l="1"/>
  <c r="B27" i="42" s="1"/>
  <c r="B79" i="42"/>
  <c r="B32" i="41"/>
  <c r="B31" i="41"/>
  <c r="B30" i="41"/>
  <c r="B29" i="41"/>
  <c r="H69" i="21"/>
  <c r="H41" i="21"/>
  <c r="B51" i="42" l="1"/>
  <c r="B56" i="42"/>
  <c r="D21" i="21"/>
  <c r="G28" i="21" s="1"/>
  <c r="H28" i="21" s="1"/>
  <c r="L39" i="42" l="1"/>
  <c r="K39" i="42"/>
  <c r="J39" i="42"/>
  <c r="I39" i="42"/>
  <c r="H39" i="42"/>
  <c r="G39" i="42"/>
  <c r="A56" i="42" l="1"/>
  <c r="A51" i="42"/>
  <c r="A21" i="42"/>
  <c r="A28" i="42" s="1"/>
  <c r="B83" i="42"/>
  <c r="B82" i="42"/>
  <c r="B81" i="42"/>
  <c r="B80" i="42"/>
  <c r="B73" i="42"/>
  <c r="B69" i="42"/>
  <c r="B72" i="42"/>
  <c r="B71" i="42"/>
  <c r="B70" i="42"/>
  <c r="A83" i="42" l="1"/>
  <c r="A82" i="42"/>
  <c r="A81" i="42"/>
  <c r="A80" i="42"/>
  <c r="A32" i="41"/>
  <c r="A73" i="42" s="1"/>
  <c r="A31" i="41"/>
  <c r="A72" i="42" s="1"/>
  <c r="A30" i="41"/>
  <c r="A71" i="42" s="1"/>
  <c r="A29" i="41"/>
  <c r="A70" i="42" s="1"/>
  <c r="A28" i="41"/>
  <c r="A69" i="42" l="1"/>
  <c r="A79" i="42" s="1"/>
  <c r="A11" i="41"/>
  <c r="A17" i="41" s="1"/>
  <c r="A58" i="42" l="1"/>
  <c r="A23" i="42"/>
  <c r="A30" i="42" s="1"/>
  <c r="A57" i="42"/>
  <c r="A22" i="42"/>
  <c r="A29" i="42" s="1"/>
  <c r="A59" i="42"/>
  <c r="A24" i="42"/>
  <c r="A31" i="42" s="1"/>
  <c r="A43" i="42"/>
  <c r="A54" i="42" s="1"/>
  <c r="A37" i="42"/>
  <c r="A60" i="42"/>
  <c r="A10" i="41"/>
  <c r="A16" i="41" s="1"/>
  <c r="A9" i="41"/>
  <c r="A15" i="41" s="1"/>
  <c r="A8" i="41"/>
  <c r="A14" i="41" s="1"/>
  <c r="D75" i="21"/>
  <c r="C61" i="21"/>
  <c r="F60" i="21"/>
  <c r="H60" i="21" s="1"/>
  <c r="F47" i="21"/>
  <c r="H47" i="21" s="1"/>
  <c r="F46" i="21"/>
  <c r="H46" i="21" s="1"/>
  <c r="B54" i="42" l="1"/>
  <c r="B59" i="42"/>
  <c r="B11" i="41"/>
  <c r="B43" i="42" s="1"/>
  <c r="B17" i="41"/>
  <c r="G79" i="21"/>
  <c r="F75" i="21"/>
  <c r="H75" i="21" s="1"/>
  <c r="H48" i="21"/>
  <c r="A34" i="42"/>
  <c r="A42" i="42"/>
  <c r="A53" i="42" s="1"/>
  <c r="A36" i="42"/>
  <c r="A41" i="42"/>
  <c r="A52" i="42" s="1"/>
  <c r="A35" i="42"/>
  <c r="F61" i="21"/>
  <c r="H61" i="21" s="1"/>
  <c r="F21" i="21"/>
  <c r="H21" i="21" s="1"/>
  <c r="B14" i="41" s="1"/>
  <c r="B16" i="41" l="1"/>
  <c r="B10" i="41"/>
  <c r="B30" i="42" s="1"/>
  <c r="H79" i="21"/>
  <c r="B31" i="42"/>
  <c r="B44" i="42"/>
  <c r="B18" i="41"/>
  <c r="B53" i="42"/>
  <c r="B58" i="42"/>
  <c r="B52" i="42"/>
  <c r="B57" i="42"/>
  <c r="B8" i="41"/>
  <c r="A23" i="40"/>
  <c r="H34" i="21"/>
  <c r="E34" i="21"/>
  <c r="B42" i="42" l="1"/>
  <c r="B40" i="42"/>
  <c r="B28" i="42"/>
  <c r="J34" i="21"/>
  <c r="B9" i="41" l="1"/>
  <c r="B41" i="42" s="1"/>
  <c r="B15" i="41"/>
  <c r="C209" i="32"/>
  <c r="J36" i="45"/>
  <c r="L36" i="45" s="1"/>
  <c r="J35" i="45"/>
  <c r="L35" i="45" s="1"/>
  <c r="E31" i="45"/>
  <c r="F31" i="45" s="1"/>
  <c r="H31" i="45" s="1"/>
  <c r="J31" i="45" s="1"/>
  <c r="L31" i="45" s="1"/>
  <c r="E30" i="45"/>
  <c r="F30" i="45" s="1"/>
  <c r="H30" i="45" s="1"/>
  <c r="J30" i="45" s="1"/>
  <c r="L30" i="45" s="1"/>
  <c r="B29" i="42" l="1"/>
  <c r="L32" i="45"/>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AG15" i="42" l="1"/>
  <c r="AH15" i="42"/>
  <c r="AI15" i="42"/>
  <c r="AJ15" i="42"/>
  <c r="AK15" i="42"/>
  <c r="AG46" i="42"/>
  <c r="AH46" i="42"/>
  <c r="AI46" i="42"/>
  <c r="AJ46" i="42"/>
  <c r="AK46" i="42"/>
  <c r="C15" i="32" l="1"/>
  <c r="C14" i="32"/>
  <c r="G15" i="32" l="1"/>
  <c r="C4" i="42" l="1"/>
  <c r="E10" i="42" l="1"/>
  <c r="D10" i="42"/>
  <c r="G10" i="42"/>
  <c r="C10" i="42" l="1"/>
  <c r="F10" i="42"/>
  <c r="J10" i="42"/>
  <c r="L10" i="42"/>
  <c r="I10" i="42"/>
  <c r="P21" i="32"/>
  <c r="O21" i="32"/>
  <c r="N21" i="32"/>
  <c r="P20" i="32"/>
  <c r="O20" i="32"/>
  <c r="N20" i="32"/>
  <c r="P19" i="32"/>
  <c r="O19" i="32"/>
  <c r="N19" i="32"/>
  <c r="P18" i="32"/>
  <c r="O18" i="32"/>
  <c r="N18" i="32"/>
  <c r="P17" i="32"/>
  <c r="O17" i="32"/>
  <c r="N17" i="32"/>
  <c r="H10" i="42" l="1"/>
  <c r="K10"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l="1"/>
  <c r="C23" i="40"/>
  <c r="C24" i="40" s="1"/>
  <c r="C25" i="40" s="1"/>
  <c r="C26" i="40" s="1"/>
  <c r="C27" i="40" s="1"/>
  <c r="C28" i="40" s="1"/>
  <c r="C29" i="40" s="1"/>
  <c r="C40" i="40" s="1"/>
  <c r="L12" i="42"/>
  <c r="F12" i="42"/>
  <c r="K12" i="42"/>
  <c r="C12" i="42"/>
  <c r="J12" i="42"/>
  <c r="I12" i="42"/>
  <c r="H12" i="42"/>
  <c r="G12" i="42"/>
  <c r="E12" i="42"/>
  <c r="D12" i="42"/>
  <c r="C14" i="40"/>
  <c r="E14" i="40" s="1"/>
  <c r="C45" i="40" l="1"/>
  <c r="C18" i="41" s="1"/>
  <c r="C32" i="41" s="1"/>
  <c r="C41" i="40"/>
  <c r="C14" i="41" s="1"/>
  <c r="C44" i="40"/>
  <c r="C17" i="41" s="1"/>
  <c r="C42" i="40"/>
  <c r="C15" i="41" s="1"/>
  <c r="C43" i="40"/>
  <c r="C16" i="41" s="1"/>
  <c r="D13" i="42"/>
  <c r="D14" i="42"/>
  <c r="C14" i="42"/>
  <c r="C13" i="42"/>
  <c r="I13" i="42"/>
  <c r="I14" i="42"/>
  <c r="J14" i="42"/>
  <c r="J13" i="42"/>
  <c r="K13" i="42"/>
  <c r="K14" i="42"/>
  <c r="F14" i="42"/>
  <c r="F13" i="42"/>
  <c r="E14" i="42"/>
  <c r="E13" i="42"/>
  <c r="L13" i="42"/>
  <c r="L14" i="42"/>
  <c r="G13" i="42"/>
  <c r="G14" i="42"/>
  <c r="H13" i="42"/>
  <c r="H14" i="42"/>
  <c r="H15" i="40"/>
  <c r="E15" i="40"/>
  <c r="K22" i="32"/>
  <c r="H14" i="40"/>
  <c r="G59" i="42" l="1"/>
  <c r="G58" i="42"/>
  <c r="G57" i="42"/>
  <c r="G60" i="42"/>
  <c r="J52" i="42"/>
  <c r="J54" i="42"/>
  <c r="J53" i="42"/>
  <c r="J50" i="42"/>
  <c r="P50" i="42" s="1"/>
  <c r="U50" i="42" s="1"/>
  <c r="J51" i="42"/>
  <c r="F59" i="42"/>
  <c r="F57" i="42"/>
  <c r="F60" i="42"/>
  <c r="F83" i="42" s="1"/>
  <c r="F58" i="42"/>
  <c r="K60" i="42"/>
  <c r="K59" i="42"/>
  <c r="K57" i="42"/>
  <c r="K58" i="42"/>
  <c r="G54" i="42"/>
  <c r="G52" i="42"/>
  <c r="G53" i="42"/>
  <c r="D54" i="42"/>
  <c r="D52" i="42"/>
  <c r="D53" i="42"/>
  <c r="E54" i="42"/>
  <c r="E52" i="42"/>
  <c r="E53" i="42"/>
  <c r="H53" i="42"/>
  <c r="H52" i="42"/>
  <c r="H54" i="42"/>
  <c r="H50" i="42"/>
  <c r="H51" i="42"/>
  <c r="C60" i="42"/>
  <c r="C83" i="42" s="1"/>
  <c r="C58" i="42"/>
  <c r="C59" i="42"/>
  <c r="C57" i="42"/>
  <c r="D60" i="42"/>
  <c r="D83" i="42" s="1"/>
  <c r="D57" i="42"/>
  <c r="D58" i="42"/>
  <c r="D59" i="42"/>
  <c r="K51" i="42"/>
  <c r="K54" i="42"/>
  <c r="K50" i="42"/>
  <c r="K53" i="42"/>
  <c r="K52" i="42"/>
  <c r="L60" i="42"/>
  <c r="L58" i="42"/>
  <c r="R58" i="42" s="1"/>
  <c r="W58" i="42" s="1"/>
  <c r="L59" i="42"/>
  <c r="L57" i="42"/>
  <c r="L51" i="42"/>
  <c r="L52" i="42"/>
  <c r="L50" i="42"/>
  <c r="L53" i="42"/>
  <c r="L54" i="42"/>
  <c r="J58" i="42"/>
  <c r="J60" i="42"/>
  <c r="J59" i="42"/>
  <c r="J57" i="42"/>
  <c r="I58" i="42"/>
  <c r="I60" i="42"/>
  <c r="I59" i="42"/>
  <c r="I57" i="42"/>
  <c r="O57" i="42" s="1"/>
  <c r="T57" i="42" s="1"/>
  <c r="E58" i="42"/>
  <c r="E81" i="42" s="1"/>
  <c r="E59" i="42"/>
  <c r="E57" i="42"/>
  <c r="E60" i="42"/>
  <c r="I52" i="42"/>
  <c r="I54" i="42"/>
  <c r="I50" i="42"/>
  <c r="I51" i="42"/>
  <c r="I53" i="42"/>
  <c r="H57" i="42"/>
  <c r="N57" i="42" s="1"/>
  <c r="S57" i="42" s="1"/>
  <c r="H59" i="42"/>
  <c r="N59" i="42" s="1"/>
  <c r="S59" i="42" s="1"/>
  <c r="H60" i="42"/>
  <c r="H83" i="42" s="1"/>
  <c r="H58" i="42"/>
  <c r="N58" i="42" s="1"/>
  <c r="S58" i="42" s="1"/>
  <c r="F51" i="42"/>
  <c r="F54" i="42"/>
  <c r="F82" i="42" s="1"/>
  <c r="F52" i="42"/>
  <c r="F80" i="42" s="1"/>
  <c r="F53" i="42"/>
  <c r="F81" i="42" s="1"/>
  <c r="C54" i="42"/>
  <c r="C82" i="42" s="1"/>
  <c r="C53" i="42"/>
  <c r="C81" i="42" s="1"/>
  <c r="C52" i="42"/>
  <c r="G42" i="42"/>
  <c r="G41" i="42"/>
  <c r="G43" i="42"/>
  <c r="G44" i="42"/>
  <c r="G73" i="42" s="1"/>
  <c r="I41" i="42"/>
  <c r="I42" i="42"/>
  <c r="I44" i="42"/>
  <c r="I73" i="42" s="1"/>
  <c r="I43" i="42"/>
  <c r="F41" i="42"/>
  <c r="F42" i="42"/>
  <c r="F43" i="42"/>
  <c r="F44" i="42"/>
  <c r="F73" i="42" s="1"/>
  <c r="K44" i="42"/>
  <c r="K73" i="42" s="1"/>
  <c r="K42" i="42"/>
  <c r="K43" i="42"/>
  <c r="K41" i="42"/>
  <c r="E42" i="42"/>
  <c r="E41" i="42"/>
  <c r="E43" i="42"/>
  <c r="E44" i="42"/>
  <c r="E73" i="42" s="1"/>
  <c r="C44" i="42"/>
  <c r="C73" i="42" s="1"/>
  <c r="C43" i="42"/>
  <c r="C42" i="42"/>
  <c r="C41" i="42"/>
  <c r="D42" i="42"/>
  <c r="D44" i="42"/>
  <c r="D73" i="42" s="1"/>
  <c r="D41" i="42"/>
  <c r="D43" i="42"/>
  <c r="L44" i="42"/>
  <c r="L73" i="42" s="1"/>
  <c r="L43" i="42"/>
  <c r="L42" i="42"/>
  <c r="L41" i="42"/>
  <c r="J42" i="42"/>
  <c r="J41" i="42"/>
  <c r="J44" i="42"/>
  <c r="J73" i="42" s="1"/>
  <c r="J43" i="42"/>
  <c r="H41" i="42"/>
  <c r="H44" i="42"/>
  <c r="H73" i="42" s="1"/>
  <c r="H42" i="42"/>
  <c r="H43" i="42"/>
  <c r="G51" i="42"/>
  <c r="R51" i="42" s="1"/>
  <c r="F56" i="42"/>
  <c r="F79" i="42" s="1"/>
  <c r="K56" i="42"/>
  <c r="J56" i="42"/>
  <c r="G56" i="42"/>
  <c r="C56" i="42"/>
  <c r="D51" i="42"/>
  <c r="E51" i="42"/>
  <c r="D56" i="42"/>
  <c r="L56" i="42"/>
  <c r="I56" i="42"/>
  <c r="O56" i="42" s="1"/>
  <c r="T56" i="42" s="1"/>
  <c r="E56" i="42"/>
  <c r="H56" i="42"/>
  <c r="C51" i="42"/>
  <c r="C40" i="42"/>
  <c r="D40" i="42"/>
  <c r="F40" i="42"/>
  <c r="D31" i="42"/>
  <c r="D30" i="42"/>
  <c r="D29" i="42"/>
  <c r="D28" i="42"/>
  <c r="J29" i="42"/>
  <c r="J28" i="42"/>
  <c r="J31" i="42"/>
  <c r="J27" i="42"/>
  <c r="J30" i="42"/>
  <c r="P30" i="42" s="1"/>
  <c r="U30" i="42" s="1"/>
  <c r="J40" i="42"/>
  <c r="G40" i="42"/>
  <c r="K28" i="42"/>
  <c r="K30" i="42"/>
  <c r="K31" i="42"/>
  <c r="K27" i="42"/>
  <c r="K29" i="42"/>
  <c r="L31" i="42"/>
  <c r="L27" i="42"/>
  <c r="L28" i="42"/>
  <c r="L30" i="42"/>
  <c r="L29" i="42"/>
  <c r="E31" i="42"/>
  <c r="E29" i="42"/>
  <c r="E30" i="42"/>
  <c r="E71" i="42" s="1"/>
  <c r="E28" i="42"/>
  <c r="I40" i="42"/>
  <c r="H29" i="42"/>
  <c r="H30" i="42"/>
  <c r="H28" i="42"/>
  <c r="H31" i="42"/>
  <c r="H27" i="42"/>
  <c r="G30" i="42"/>
  <c r="G29" i="42"/>
  <c r="G28" i="42"/>
  <c r="G31" i="42"/>
  <c r="L40" i="42"/>
  <c r="E83" i="42"/>
  <c r="E40" i="42"/>
  <c r="I29" i="42"/>
  <c r="I27" i="42"/>
  <c r="I28" i="42"/>
  <c r="I31" i="42"/>
  <c r="I30" i="42"/>
  <c r="K40" i="42"/>
  <c r="H40" i="42"/>
  <c r="F31" i="42"/>
  <c r="F30" i="42"/>
  <c r="F29" i="42"/>
  <c r="F28" i="42"/>
  <c r="C28" i="42"/>
  <c r="C31" i="42"/>
  <c r="C30" i="42"/>
  <c r="C29" i="42"/>
  <c r="E15" i="42"/>
  <c r="K15" i="42"/>
  <c r="J15" i="42"/>
  <c r="H15" i="42"/>
  <c r="G15" i="42"/>
  <c r="D15" i="42"/>
  <c r="L15" i="42"/>
  <c r="I15" i="42"/>
  <c r="F15" i="42"/>
  <c r="C15" i="42"/>
  <c r="C46" i="40"/>
  <c r="G83" i="42"/>
  <c r="L83" i="42"/>
  <c r="I83" i="42"/>
  <c r="H23" i="40"/>
  <c r="H24" i="40" s="1"/>
  <c r="H25" i="40" s="1"/>
  <c r="H26" i="40" s="1"/>
  <c r="H27" i="40" s="1"/>
  <c r="H28" i="40" s="1"/>
  <c r="H29" i="40" s="1"/>
  <c r="H40" i="40" s="1"/>
  <c r="H16" i="40"/>
  <c r="H17" i="40" s="1"/>
  <c r="E23" i="40"/>
  <c r="E24" i="40" s="1"/>
  <c r="E25" i="40" s="1"/>
  <c r="E26" i="40" s="1"/>
  <c r="E27" i="40" s="1"/>
  <c r="E28" i="40" s="1"/>
  <c r="E29" i="40" s="1"/>
  <c r="E40" i="40" s="1"/>
  <c r="E16" i="40"/>
  <c r="E17" i="40" s="1"/>
  <c r="J15" i="40"/>
  <c r="C17" i="40"/>
  <c r="R57" i="42" l="1"/>
  <c r="W57" i="42" s="1"/>
  <c r="Q59" i="42"/>
  <c r="V59" i="42" s="1"/>
  <c r="R60" i="42"/>
  <c r="W60" i="42" s="1"/>
  <c r="R31" i="42"/>
  <c r="W31" i="42" s="1"/>
  <c r="O29" i="42"/>
  <c r="T29" i="42" s="1"/>
  <c r="N28" i="42"/>
  <c r="S28" i="42" s="1"/>
  <c r="R59" i="42"/>
  <c r="W59" i="42" s="1"/>
  <c r="Q60" i="42"/>
  <c r="V60" i="42" s="1"/>
  <c r="N31" i="42"/>
  <c r="S31" i="42" s="1"/>
  <c r="O30" i="42"/>
  <c r="T30" i="42" s="1"/>
  <c r="R29" i="42"/>
  <c r="W29" i="42" s="1"/>
  <c r="Q29" i="42"/>
  <c r="V29" i="42" s="1"/>
  <c r="J78" i="42"/>
  <c r="P78" i="42" s="1"/>
  <c r="U78" i="42" s="1"/>
  <c r="P28" i="42"/>
  <c r="U28" i="42" s="1"/>
  <c r="N60" i="42"/>
  <c r="S60" i="42" s="1"/>
  <c r="O28" i="42"/>
  <c r="T28" i="42" s="1"/>
  <c r="J81" i="42"/>
  <c r="P81" i="42" s="1"/>
  <c r="U81" i="42" s="1"/>
  <c r="P58" i="42"/>
  <c r="U58" i="42" s="1"/>
  <c r="J83" i="42"/>
  <c r="P83" i="42" s="1"/>
  <c r="U83" i="42" s="1"/>
  <c r="P60" i="42"/>
  <c r="U60" i="42" s="1"/>
  <c r="K68" i="42"/>
  <c r="Q68" i="42" s="1"/>
  <c r="Q27" i="42"/>
  <c r="P31" i="42"/>
  <c r="U31" i="42" s="1"/>
  <c r="P56" i="42"/>
  <c r="U56" i="42" s="1"/>
  <c r="H68" i="42"/>
  <c r="N68" i="42" s="1"/>
  <c r="N27" i="42"/>
  <c r="H78" i="42"/>
  <c r="N78" i="42" s="1"/>
  <c r="N50" i="42"/>
  <c r="S50" i="42" s="1"/>
  <c r="K79" i="42"/>
  <c r="Q79" i="42" s="1"/>
  <c r="V79" i="42" s="1"/>
  <c r="Q56" i="42"/>
  <c r="V56" i="42" s="1"/>
  <c r="I78" i="42"/>
  <c r="O78" i="42" s="1"/>
  <c r="O50" i="42"/>
  <c r="T50" i="42" s="1"/>
  <c r="O59" i="42"/>
  <c r="T59" i="42" s="1"/>
  <c r="N30" i="42"/>
  <c r="S30" i="42" s="1"/>
  <c r="Q30" i="42"/>
  <c r="V30" i="42" s="1"/>
  <c r="P29" i="42"/>
  <c r="U29" i="42" s="1"/>
  <c r="L79" i="42"/>
  <c r="R56" i="42"/>
  <c r="W56" i="42" s="1"/>
  <c r="O60" i="42"/>
  <c r="T60" i="42" s="1"/>
  <c r="L78" i="42"/>
  <c r="R78" i="42" s="1"/>
  <c r="R50" i="42"/>
  <c r="W50" i="42" s="1"/>
  <c r="N56" i="42"/>
  <c r="S56" i="42" s="1"/>
  <c r="O31" i="42"/>
  <c r="T31" i="42" s="1"/>
  <c r="N29" i="42"/>
  <c r="S29" i="42" s="1"/>
  <c r="R30" i="42"/>
  <c r="W30" i="42" s="1"/>
  <c r="Q28" i="42"/>
  <c r="V28" i="42" s="1"/>
  <c r="O58" i="42"/>
  <c r="T58" i="42" s="1"/>
  <c r="K78" i="42"/>
  <c r="Q78" i="42" s="1"/>
  <c r="Q50" i="42"/>
  <c r="V50" i="42" s="1"/>
  <c r="K72" i="42"/>
  <c r="Q31" i="42"/>
  <c r="V31" i="42" s="1"/>
  <c r="R28" i="42"/>
  <c r="W28" i="42" s="1"/>
  <c r="P57" i="42"/>
  <c r="U57" i="42" s="1"/>
  <c r="Q58" i="42"/>
  <c r="V58" i="42" s="1"/>
  <c r="J68" i="42"/>
  <c r="P68" i="42" s="1"/>
  <c r="P27" i="42"/>
  <c r="K83" i="42"/>
  <c r="Q83" i="42" s="1"/>
  <c r="V83" i="42" s="1"/>
  <c r="I68" i="42"/>
  <c r="O68" i="42" s="1"/>
  <c r="O27" i="42"/>
  <c r="L68" i="42"/>
  <c r="R68" i="42" s="1"/>
  <c r="R27" i="42"/>
  <c r="P59" i="42"/>
  <c r="U59" i="42" s="1"/>
  <c r="Q57" i="42"/>
  <c r="V57" i="42" s="1"/>
  <c r="C19" i="41"/>
  <c r="I79" i="42"/>
  <c r="H70" i="42"/>
  <c r="E72" i="42"/>
  <c r="D72" i="42"/>
  <c r="J69" i="42"/>
  <c r="H71" i="42"/>
  <c r="L69" i="42"/>
  <c r="G72" i="42"/>
  <c r="D81" i="42"/>
  <c r="D82" i="42"/>
  <c r="H69" i="42"/>
  <c r="E79" i="42"/>
  <c r="C79" i="42"/>
  <c r="J79" i="42"/>
  <c r="I71" i="42"/>
  <c r="J71" i="42"/>
  <c r="P71" i="42" s="1"/>
  <c r="U71" i="42" s="1"/>
  <c r="L80" i="42"/>
  <c r="E70" i="42"/>
  <c r="I69" i="42"/>
  <c r="F71" i="42"/>
  <c r="H82" i="42"/>
  <c r="N82" i="42" s="1"/>
  <c r="S82" i="42" s="1"/>
  <c r="L82" i="42"/>
  <c r="E69" i="42"/>
  <c r="G69" i="42"/>
  <c r="I81" i="42"/>
  <c r="L81" i="42"/>
  <c r="F72" i="42"/>
  <c r="H79" i="42"/>
  <c r="K69" i="42"/>
  <c r="L71" i="42"/>
  <c r="I70" i="42"/>
  <c r="E80" i="42"/>
  <c r="D80" i="42"/>
  <c r="E82" i="42"/>
  <c r="I80" i="42"/>
  <c r="K80" i="42"/>
  <c r="Q80" i="42" s="1"/>
  <c r="V80" i="42" s="1"/>
  <c r="I82" i="42"/>
  <c r="G82" i="42"/>
  <c r="K82" i="42"/>
  <c r="Q82" i="42" s="1"/>
  <c r="V82" i="42" s="1"/>
  <c r="G80" i="42"/>
  <c r="H72" i="42"/>
  <c r="C80" i="42"/>
  <c r="H80" i="42"/>
  <c r="J80" i="42"/>
  <c r="K81" i="42"/>
  <c r="Q81" i="42" s="1"/>
  <c r="V81" i="42" s="1"/>
  <c r="G79" i="42"/>
  <c r="K70" i="42"/>
  <c r="H81" i="42"/>
  <c r="N81" i="42" s="1"/>
  <c r="S81" i="42" s="1"/>
  <c r="D79" i="42"/>
  <c r="O79" i="42" s="1"/>
  <c r="T79" i="42" s="1"/>
  <c r="G81" i="42"/>
  <c r="J82" i="42"/>
  <c r="G61" i="42"/>
  <c r="C72" i="42"/>
  <c r="J70" i="42"/>
  <c r="C71" i="42"/>
  <c r="C69" i="42"/>
  <c r="D71" i="42"/>
  <c r="C70" i="42"/>
  <c r="G71" i="42"/>
  <c r="L70" i="42"/>
  <c r="I72" i="42"/>
  <c r="G70" i="42"/>
  <c r="F69" i="42"/>
  <c r="D70" i="42"/>
  <c r="O42" i="42"/>
  <c r="T42" i="42" s="1"/>
  <c r="K71" i="42"/>
  <c r="L72" i="42"/>
  <c r="J72" i="42"/>
  <c r="F70" i="42"/>
  <c r="D69" i="42"/>
  <c r="C61" i="42"/>
  <c r="H61" i="42"/>
  <c r="E61" i="42"/>
  <c r="J61" i="42"/>
  <c r="L61" i="42"/>
  <c r="O73" i="42"/>
  <c r="T73" i="42" s="1"/>
  <c r="I61" i="42"/>
  <c r="D61" i="42"/>
  <c r="K61" i="42"/>
  <c r="F61" i="42"/>
  <c r="F32" i="42"/>
  <c r="I32" i="42"/>
  <c r="H32" i="42"/>
  <c r="C32" i="42"/>
  <c r="G32" i="42"/>
  <c r="E32" i="42"/>
  <c r="K32" i="42"/>
  <c r="D32" i="42"/>
  <c r="L32" i="42"/>
  <c r="J32" i="42"/>
  <c r="P44" i="42"/>
  <c r="U44" i="42" s="1"/>
  <c r="N52" i="42"/>
  <c r="S52" i="42" s="1"/>
  <c r="N51" i="42"/>
  <c r="S51" i="42" s="1"/>
  <c r="P73" i="42"/>
  <c r="U73" i="42" s="1"/>
  <c r="G18" i="41"/>
  <c r="G17" i="41"/>
  <c r="G16" i="41"/>
  <c r="G15" i="41"/>
  <c r="G14" i="41"/>
  <c r="N83" i="42"/>
  <c r="S83" i="42" s="1"/>
  <c r="D45" i="42"/>
  <c r="H41" i="40"/>
  <c r="H44" i="40"/>
  <c r="H45" i="40"/>
  <c r="H43" i="40"/>
  <c r="H42" i="40"/>
  <c r="G45" i="42"/>
  <c r="E45" i="42"/>
  <c r="R73" i="42"/>
  <c r="W73" i="42" s="1"/>
  <c r="N42" i="42"/>
  <c r="S42" i="42" s="1"/>
  <c r="O43" i="42"/>
  <c r="T43" i="42" s="1"/>
  <c r="P51" i="42"/>
  <c r="U51" i="42" s="1"/>
  <c r="P42" i="42"/>
  <c r="U42" i="42" s="1"/>
  <c r="P53" i="42"/>
  <c r="U53" i="42" s="1"/>
  <c r="P54" i="42"/>
  <c r="U54" i="42" s="1"/>
  <c r="P41" i="42"/>
  <c r="U41" i="42" s="1"/>
  <c r="P43" i="42"/>
  <c r="U43" i="42" s="1"/>
  <c r="R83" i="42"/>
  <c r="W83" i="42" s="1"/>
  <c r="O40" i="42"/>
  <c r="T40" i="42" s="1"/>
  <c r="J45" i="42"/>
  <c r="R40" i="42"/>
  <c r="W40" i="42" s="1"/>
  <c r="P40" i="42"/>
  <c r="U40" i="42" s="1"/>
  <c r="I45" i="42"/>
  <c r="O41" i="42"/>
  <c r="T41" i="42" s="1"/>
  <c r="Q52" i="42"/>
  <c r="V52" i="42" s="1"/>
  <c r="O44" i="42"/>
  <c r="T44" i="42" s="1"/>
  <c r="N40" i="42"/>
  <c r="S40" i="42" s="1"/>
  <c r="Q53" i="42"/>
  <c r="V53" i="42" s="1"/>
  <c r="N41" i="42"/>
  <c r="S41" i="42" s="1"/>
  <c r="N43" i="42"/>
  <c r="S43" i="42" s="1"/>
  <c r="N54" i="42"/>
  <c r="S54" i="42" s="1"/>
  <c r="R52" i="42"/>
  <c r="W52" i="42" s="1"/>
  <c r="O53" i="42"/>
  <c r="T53" i="42" s="1"/>
  <c r="Q43" i="42"/>
  <c r="V43" i="42" s="1"/>
  <c r="R44" i="42"/>
  <c r="W44" i="42" s="1"/>
  <c r="Q73" i="42"/>
  <c r="V73" i="42" s="1"/>
  <c r="F45" i="42"/>
  <c r="C45" i="42"/>
  <c r="AF45" i="42" s="1"/>
  <c r="O52" i="42"/>
  <c r="T52" i="42" s="1"/>
  <c r="P52" i="42"/>
  <c r="U52" i="42" s="1"/>
  <c r="R53" i="42"/>
  <c r="W53" i="42" s="1"/>
  <c r="O83" i="42"/>
  <c r="T83" i="42" s="1"/>
  <c r="O51" i="42"/>
  <c r="T51" i="42" s="1"/>
  <c r="O54" i="42"/>
  <c r="T54" i="42" s="1"/>
  <c r="N73" i="42"/>
  <c r="S73" i="42" s="1"/>
  <c r="R54" i="42"/>
  <c r="W54" i="42" s="1"/>
  <c r="F84" i="42"/>
  <c r="N53" i="42"/>
  <c r="S53" i="42" s="1"/>
  <c r="H45" i="42"/>
  <c r="Q54" i="42"/>
  <c r="V54" i="42" s="1"/>
  <c r="Q51" i="42"/>
  <c r="Q44" i="42"/>
  <c r="V44" i="42" s="1"/>
  <c r="K45" i="42"/>
  <c r="K46" i="42" s="1"/>
  <c r="Q40" i="42"/>
  <c r="V40" i="42" s="1"/>
  <c r="N44" i="42"/>
  <c r="S44" i="42" s="1"/>
  <c r="R43" i="42"/>
  <c r="W43" i="42" s="1"/>
  <c r="Q42" i="42"/>
  <c r="V42" i="42" s="1"/>
  <c r="L45" i="42"/>
  <c r="R41" i="42"/>
  <c r="W41" i="42" s="1"/>
  <c r="R42" i="42"/>
  <c r="W42" i="42" s="1"/>
  <c r="Q41" i="42"/>
  <c r="V41" i="42" s="1"/>
  <c r="C18" i="40"/>
  <c r="C19" i="40" s="1"/>
  <c r="C20" i="40" s="1"/>
  <c r="C34" i="40" s="1"/>
  <c r="C8" i="41" s="1"/>
  <c r="C28" i="41" s="1"/>
  <c r="C41" i="41" s="1"/>
  <c r="H18" i="40"/>
  <c r="H19" i="40" s="1"/>
  <c r="H20" i="40" s="1"/>
  <c r="E18" i="40"/>
  <c r="E19" i="40" s="1"/>
  <c r="E20" i="40" s="1"/>
  <c r="W51" i="42"/>
  <c r="J16" i="40"/>
  <c r="J17" i="40" s="1"/>
  <c r="J23" i="40"/>
  <c r="J24" i="40" s="1"/>
  <c r="J25" i="40" s="1"/>
  <c r="J26" i="40" s="1"/>
  <c r="J27" i="40" s="1"/>
  <c r="J28" i="40" s="1"/>
  <c r="J29" i="40" s="1"/>
  <c r="J40" i="40" s="1"/>
  <c r="J14" i="40"/>
  <c r="K62" i="42" l="1"/>
  <c r="R69" i="42"/>
  <c r="W69" i="42" s="1"/>
  <c r="O81" i="42"/>
  <c r="T81" i="42" s="1"/>
  <c r="L46" i="42"/>
  <c r="L62" i="42" s="1"/>
  <c r="R80" i="42"/>
  <c r="W80" i="42" s="1"/>
  <c r="Q72" i="42"/>
  <c r="V72" i="42" s="1"/>
  <c r="J46" i="42"/>
  <c r="J62" i="42" s="1"/>
  <c r="D84" i="42"/>
  <c r="E46" i="42"/>
  <c r="E62" i="42" s="1"/>
  <c r="G46" i="42"/>
  <c r="G63" i="42" s="1"/>
  <c r="P69" i="42"/>
  <c r="U69" i="42" s="1"/>
  <c r="I46" i="42"/>
  <c r="I63" i="42" s="1"/>
  <c r="C46" i="42"/>
  <c r="C63" i="42" s="1"/>
  <c r="P72" i="42"/>
  <c r="U72" i="42" s="1"/>
  <c r="K63" i="42"/>
  <c r="K64" i="42" s="1"/>
  <c r="F46" i="42"/>
  <c r="F62" i="42" s="1"/>
  <c r="D46" i="42"/>
  <c r="D62" i="42" s="1"/>
  <c r="H46" i="42"/>
  <c r="L63" i="42"/>
  <c r="L64" i="42" s="1"/>
  <c r="N69" i="42"/>
  <c r="S69" i="42" s="1"/>
  <c r="W68" i="42"/>
  <c r="G19" i="41"/>
  <c r="N70" i="42"/>
  <c r="S70" i="42" s="1"/>
  <c r="O32" i="42"/>
  <c r="T27" i="42"/>
  <c r="T32" i="42" s="1"/>
  <c r="T45" i="42" s="1"/>
  <c r="AH45" i="42" s="1"/>
  <c r="T78" i="42"/>
  <c r="S68" i="42"/>
  <c r="T68" i="42"/>
  <c r="V68" i="42"/>
  <c r="P32" i="42"/>
  <c r="U27" i="42"/>
  <c r="U32" i="42" s="1"/>
  <c r="U45" i="42" s="1"/>
  <c r="AI45" i="42" s="1"/>
  <c r="Q84" i="42"/>
  <c r="V78" i="42"/>
  <c r="V84" i="42" s="1"/>
  <c r="W78" i="42"/>
  <c r="R32" i="42"/>
  <c r="W27" i="42"/>
  <c r="W32" i="42" s="1"/>
  <c r="W45" i="42" s="1"/>
  <c r="AK45" i="42" s="1"/>
  <c r="U68" i="42"/>
  <c r="S78" i="42"/>
  <c r="Q32" i="42"/>
  <c r="V27" i="42"/>
  <c r="V32" i="42" s="1"/>
  <c r="V45" i="42" s="1"/>
  <c r="AJ45" i="42" s="1"/>
  <c r="P79" i="42"/>
  <c r="N32" i="42"/>
  <c r="S27" i="42"/>
  <c r="S32" i="42" s="1"/>
  <c r="S45" i="42" s="1"/>
  <c r="AG45" i="42" s="1"/>
  <c r="T61" i="42"/>
  <c r="W61" i="42"/>
  <c r="U61" i="42"/>
  <c r="S61" i="42"/>
  <c r="C84" i="42"/>
  <c r="E74" i="42"/>
  <c r="O82" i="42"/>
  <c r="T82" i="42" s="1"/>
  <c r="N71" i="42"/>
  <c r="S71" i="42" s="1"/>
  <c r="R72" i="42"/>
  <c r="W72" i="42" s="1"/>
  <c r="P82" i="42"/>
  <c r="U82" i="42" s="1"/>
  <c r="O80" i="42"/>
  <c r="T80" i="42" s="1"/>
  <c r="Q71" i="42"/>
  <c r="V71" i="42" s="1"/>
  <c r="N80" i="42"/>
  <c r="S80" i="42" s="1"/>
  <c r="R81" i="42"/>
  <c r="W81" i="42" s="1"/>
  <c r="N72" i="42"/>
  <c r="S72" i="42" s="1"/>
  <c r="H74" i="42"/>
  <c r="P70" i="42"/>
  <c r="U70" i="42" s="1"/>
  <c r="C74" i="42"/>
  <c r="J84" i="42"/>
  <c r="F74" i="42"/>
  <c r="I74" i="42"/>
  <c r="G84" i="42"/>
  <c r="R71" i="42"/>
  <c r="W71" i="42" s="1"/>
  <c r="L84" i="42"/>
  <c r="R79" i="42"/>
  <c r="W79" i="42" s="1"/>
  <c r="E84" i="42"/>
  <c r="O69" i="42"/>
  <c r="T69" i="42" s="1"/>
  <c r="G74" i="42"/>
  <c r="J74" i="42"/>
  <c r="Q70" i="42"/>
  <c r="V70" i="42" s="1"/>
  <c r="K84" i="42"/>
  <c r="I84" i="42"/>
  <c r="R82" i="42"/>
  <c r="W82" i="42" s="1"/>
  <c r="P80" i="42"/>
  <c r="U80" i="42" s="1"/>
  <c r="O72" i="42"/>
  <c r="T72" i="42" s="1"/>
  <c r="K74" i="42"/>
  <c r="H84" i="42"/>
  <c r="N79" i="42"/>
  <c r="S79" i="42" s="1"/>
  <c r="D74" i="42"/>
  <c r="Q69" i="42"/>
  <c r="V69" i="42" s="1"/>
  <c r="O70" i="42"/>
  <c r="T70" i="42" s="1"/>
  <c r="L74" i="42"/>
  <c r="R70" i="42"/>
  <c r="W70" i="42" s="1"/>
  <c r="E34" i="40"/>
  <c r="D8" i="41" s="1"/>
  <c r="H34" i="40"/>
  <c r="O71" i="42"/>
  <c r="T71" i="42" s="1"/>
  <c r="H46" i="40"/>
  <c r="C32" i="40"/>
  <c r="E32" i="40"/>
  <c r="E33" i="40"/>
  <c r="D7" i="41" s="1"/>
  <c r="D27" i="41" s="1"/>
  <c r="J44" i="40"/>
  <c r="J43" i="40"/>
  <c r="J42" i="40"/>
  <c r="J41" i="40"/>
  <c r="J45" i="40"/>
  <c r="H37" i="40"/>
  <c r="H36" i="40"/>
  <c r="H35" i="40"/>
  <c r="H33" i="40"/>
  <c r="H32" i="40"/>
  <c r="H38" i="40"/>
  <c r="E35" i="40"/>
  <c r="D9" i="41" s="1"/>
  <c r="E38" i="40"/>
  <c r="D20" i="41" s="1"/>
  <c r="H20" i="41" s="1"/>
  <c r="E37" i="40"/>
  <c r="D11" i="41" s="1"/>
  <c r="E36" i="40"/>
  <c r="D10" i="41" s="1"/>
  <c r="C38" i="40"/>
  <c r="C20" i="41" s="1"/>
  <c r="C37" i="40"/>
  <c r="C11" i="41" s="1"/>
  <c r="C36" i="40"/>
  <c r="C10" i="41" s="1"/>
  <c r="C30" i="41" s="1"/>
  <c r="C35" i="40"/>
  <c r="C9" i="41" s="1"/>
  <c r="C29" i="41" s="1"/>
  <c r="C33" i="40"/>
  <c r="C7" i="41" s="1"/>
  <c r="C27" i="41" s="1"/>
  <c r="P45" i="42"/>
  <c r="AB45" i="42" s="1"/>
  <c r="O45" i="42"/>
  <c r="AA45" i="42" s="1"/>
  <c r="P61" i="42"/>
  <c r="N61" i="42"/>
  <c r="N45" i="42"/>
  <c r="Z45" i="42" s="1"/>
  <c r="Y45" i="42"/>
  <c r="R45" i="42"/>
  <c r="AD45" i="42" s="1"/>
  <c r="O61" i="42"/>
  <c r="R61" i="42"/>
  <c r="Q61" i="42"/>
  <c r="V51" i="42"/>
  <c r="V61" i="42" s="1"/>
  <c r="Q45" i="42"/>
  <c r="AC45" i="42" s="1"/>
  <c r="J18" i="40"/>
  <c r="J19" i="40" s="1"/>
  <c r="J20" i="40" s="1"/>
  <c r="J63" i="42" l="1"/>
  <c r="I62" i="42"/>
  <c r="I64" i="42" s="1"/>
  <c r="C62" i="42"/>
  <c r="C64" i="42" s="1"/>
  <c r="G20" i="41"/>
  <c r="I20" i="41" s="1"/>
  <c r="E20" i="41"/>
  <c r="F63" i="42"/>
  <c r="F64" i="42" s="1"/>
  <c r="E63" i="42"/>
  <c r="E64" i="42" s="1"/>
  <c r="D63" i="42"/>
  <c r="D64" i="42" s="1"/>
  <c r="J64" i="42"/>
  <c r="G62" i="42"/>
  <c r="G64" i="42" s="1"/>
  <c r="S84" i="42"/>
  <c r="H62" i="42"/>
  <c r="H63" i="42"/>
  <c r="N63" i="42" s="1"/>
  <c r="S63" i="42" s="1"/>
  <c r="S62" i="42" s="1"/>
  <c r="S74" i="42"/>
  <c r="U79" i="42"/>
  <c r="U84" i="42" s="1"/>
  <c r="P84" i="42"/>
  <c r="O84" i="42"/>
  <c r="R84" i="42"/>
  <c r="Q74" i="42"/>
  <c r="N84" i="42"/>
  <c r="O74" i="42"/>
  <c r="P74" i="42"/>
  <c r="U74" i="42"/>
  <c r="N74" i="42"/>
  <c r="R74" i="42"/>
  <c r="W74" i="42"/>
  <c r="T84" i="42"/>
  <c r="T74" i="42"/>
  <c r="W84" i="42"/>
  <c r="V74" i="42"/>
  <c r="V90" i="42" s="1"/>
  <c r="C31" i="41"/>
  <c r="J34" i="40"/>
  <c r="J46" i="40"/>
  <c r="R63" i="42"/>
  <c r="W63" i="42" s="1"/>
  <c r="W62" i="42" s="1"/>
  <c r="J36" i="40"/>
  <c r="J38" i="40"/>
  <c r="J37" i="40"/>
  <c r="J35" i="40"/>
  <c r="J32" i="40"/>
  <c r="J33" i="40"/>
  <c r="P62" i="42"/>
  <c r="U88" i="42"/>
  <c r="Q62" i="42"/>
  <c r="T88" i="42"/>
  <c r="S88" i="42"/>
  <c r="W88" i="42"/>
  <c r="H39" i="40"/>
  <c r="H47" i="40" s="1"/>
  <c r="V88" i="42"/>
  <c r="E41" i="40"/>
  <c r="D14" i="41" s="1"/>
  <c r="D28" i="41" s="1"/>
  <c r="E44" i="40"/>
  <c r="D17" i="41" s="1"/>
  <c r="E42" i="40"/>
  <c r="D15" i="41" s="1"/>
  <c r="D29" i="41" s="1"/>
  <c r="E45" i="40"/>
  <c r="D18" i="41" s="1"/>
  <c r="E43" i="40"/>
  <c r="D16" i="41" s="1"/>
  <c r="D30" i="41" s="1"/>
  <c r="O62" i="42" l="1"/>
  <c r="P63" i="42"/>
  <c r="U63" i="42" s="1"/>
  <c r="U62" i="42" s="1"/>
  <c r="Q63" i="42"/>
  <c r="V63" i="42" s="1"/>
  <c r="V62" i="42" s="1"/>
  <c r="R62" i="42"/>
  <c r="O63" i="42"/>
  <c r="T63" i="42" s="1"/>
  <c r="T62" i="42" s="1"/>
  <c r="H64" i="42"/>
  <c r="N62" i="42"/>
  <c r="S90" i="42"/>
  <c r="T90" i="42"/>
  <c r="V86" i="42"/>
  <c r="U90" i="42"/>
  <c r="U86" i="42"/>
  <c r="D12" i="41"/>
  <c r="C12" i="41"/>
  <c r="C21" i="41" s="1"/>
  <c r="G27" i="41"/>
  <c r="S86" i="42"/>
  <c r="W90" i="42"/>
  <c r="W86" i="42"/>
  <c r="T86" i="42"/>
  <c r="G7" i="41"/>
  <c r="G29" i="41"/>
  <c r="D32" i="41"/>
  <c r="D41" i="41" s="1"/>
  <c r="E41" i="41" s="1"/>
  <c r="D31" i="41"/>
  <c r="H31" i="41" s="1"/>
  <c r="H30" i="41"/>
  <c r="H29" i="41"/>
  <c r="E46" i="40"/>
  <c r="J39" i="40"/>
  <c r="J47" i="40" s="1"/>
  <c r="E39" i="40"/>
  <c r="C39" i="40"/>
  <c r="C47" i="40" s="1"/>
  <c r="G9" i="41"/>
  <c r="H11" i="41"/>
  <c r="D19" i="41" l="1"/>
  <c r="D21" i="41" s="1"/>
  <c r="H32" i="41"/>
  <c r="H18" i="41"/>
  <c r="I18" i="41" s="1"/>
  <c r="E18" i="41"/>
  <c r="H17" i="41"/>
  <c r="I17" i="41" s="1"/>
  <c r="E17" i="41"/>
  <c r="H16" i="41"/>
  <c r="I16" i="41" s="1"/>
  <c r="E16" i="41"/>
  <c r="H15" i="41"/>
  <c r="I15" i="41" s="1"/>
  <c r="E15" i="41"/>
  <c r="H14" i="41"/>
  <c r="E14" i="41"/>
  <c r="E47" i="40"/>
  <c r="E9" i="41"/>
  <c r="H9" i="41"/>
  <c r="I9" i="41" s="1"/>
  <c r="G32" i="41"/>
  <c r="E10" i="41"/>
  <c r="H10" i="41"/>
  <c r="G8" i="41"/>
  <c r="G30" i="41"/>
  <c r="I30" i="41" s="1"/>
  <c r="G10" i="41"/>
  <c r="E8" i="41"/>
  <c r="H8" i="41"/>
  <c r="E29" i="41"/>
  <c r="I29" i="41"/>
  <c r="H28" i="41" l="1"/>
  <c r="E19" i="41"/>
  <c r="I14" i="41"/>
  <c r="H19" i="41"/>
  <c r="I32" i="41"/>
  <c r="E7" i="41"/>
  <c r="H7" i="41"/>
  <c r="H12" i="41" s="1"/>
  <c r="G28" i="41"/>
  <c r="E28" i="41"/>
  <c r="E32" i="41"/>
  <c r="I10" i="41"/>
  <c r="I8" i="41"/>
  <c r="E30" i="41"/>
  <c r="E11" i="41"/>
  <c r="G11" i="41"/>
  <c r="I11" i="41" s="1"/>
  <c r="C33" i="41"/>
  <c r="I19" i="41" l="1"/>
  <c r="H21" i="41"/>
  <c r="H39" i="41" s="1"/>
  <c r="E12" i="41"/>
  <c r="E21" i="41" s="1"/>
  <c r="G12" i="41"/>
  <c r="G21" i="41" s="1"/>
  <c r="G39" i="41" s="1"/>
  <c r="I7" i="41"/>
  <c r="I12" i="41" s="1"/>
  <c r="I28" i="41"/>
  <c r="D33" i="41"/>
  <c r="H27" i="41"/>
  <c r="E27" i="41"/>
  <c r="G31" i="41"/>
  <c r="G33" i="41" s="1"/>
  <c r="E31" i="41"/>
  <c r="G37" i="41" l="1"/>
  <c r="G41" i="41"/>
  <c r="I21" i="41"/>
  <c r="I39" i="41" s="1"/>
  <c r="H33" i="41"/>
  <c r="I27" i="41"/>
  <c r="E33" i="41"/>
  <c r="I31" i="41"/>
  <c r="H41" i="41" l="1"/>
  <c r="H37" i="41"/>
  <c r="I33" i="41"/>
  <c r="I41" i="41" l="1"/>
  <c r="I3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<sst xmlns="http://schemas.openxmlformats.org/spreadsheetml/2006/main" count="2292" uniqueCount="943">
  <si>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</si>
  <si>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</si>
  <si>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</si>
  <si>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</si>
  <si>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</si>
  <si>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</si>
  <si>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</si>
  <si>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</si>
  <si>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</si>
  <si>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</si>
  <si>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</si>
  <si>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</si>
  <si>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</si>
  <si>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</si>
  <si>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</si>
  <si>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</si>
  <si>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</si>
  <si>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</si>
  <si>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</si>
  <si>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</si>
  <si>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</si>
  <si>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</si>
  <si>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</si>
  <si>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</si>
  <si>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</si>
  <si>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</si>
  <si>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</si>
  <si>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</si>
  <si>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</si>
  <si>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</si>
  <si>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</si>
  <si>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</si>
  <si>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</si>
  <si>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</si>
  <si>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</si>
  <si>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</si>
  <si>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</si>
  <si>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</si>
  <si>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</si>
  <si>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</si>
  <si>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</si>
  <si>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</si>
  <si>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</si>
  <si>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</si>
  <si>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</si>
  <si>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</si>
  <si>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</si>
  <si>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</si>
  <si>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</si>
  <si>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</si>
  <si>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</si>
  <si>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</si>
  <si>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</si>
  <si>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</si>
  <si>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</si>
  <si>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</si>
  <si>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</si>
  <si>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</si>
  <si>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</si>
  <si>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</si>
  <si>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</si>
  <si>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</si>
  <si>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</si>
  <si>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</si>
  <si>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</si>
  <si>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</si>
  <si>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</si>
  <si>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</si>
  <si>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</si>
  <si>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</si>
  <si>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</si>
  <si>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</si>
  <si>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</si>
  <si>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</si>
  <si>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</si>
  <si>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</si>
  <si>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</si>
  <si>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</si>
  <si>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</si>
  <si>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</si>
  <si>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</si>
  <si>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</si>
  <si>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</si>
  <si>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</si>
  <si>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</si>
  <si>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</si>
  <si>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</si>
  <si>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</si>
  <si>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</si>
  <si>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</si>
  <si>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</si>
  <si>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</si>
  <si>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</si>
  <si>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</si>
  <si>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</si>
  <si>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</si>
  <si>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</si>
  <si>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</si>
  <si>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</si>
  <si>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</si>
  <si>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</si>
  <si>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</si>
  <si>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</si>
  <si>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</si>
  <si>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</si>
  <si>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</si>
  <si>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</si>
  <si>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</si>
  <si>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</si>
  <si>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</si>
  <si>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</si>
  <si>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</si>
  <si>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</si>
  <si>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</si>
  <si>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</si>
  <si>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</si>
  <si>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</si>
  <si>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</si>
  <si>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</si>
  <si>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</si>
  <si>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</si>
  <si>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</si>
  <si>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</si>
  <si>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</si>
  <si>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</si>
  <si>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</si>
  <si>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</si>
  <si>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</si>
  <si>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</si>
  <si>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</si>
  <si>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</si>
  <si>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</si>
  <si>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</si>
  <si>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</si>
  <si>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</si>
  <si>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</si>
  <si>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</si>
  <si>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</si>
  <si>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</si>
  <si>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</si>
  <si>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</si>
  <si>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</si>
  <si>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</si>
  <si>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</si>
  <si>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</si>
  <si>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</si>
  <si>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</si>
  <si>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</si>
  <si>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</si>
  <si>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</si>
  <si>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</si>
  <si>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</si>
  <si>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</si>
  <si>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</si>
  <si>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</si>
  <si>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</si>
  <si>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</si>
  <si>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</si>
  <si>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</si>
  <si>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</si>
  <si>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</si>
  <si>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</si>
  <si>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</si>
  <si>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</si>
  <si>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</si>
  <si>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</si>
  <si>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</si>
  <si>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</si>
  <si>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</si>
  <si>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</si>
  <si>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</si>
  <si>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</si>
  <si>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</si>
  <si>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</si>
  <si>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</si>
  <si>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</si>
  <si>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</si>
  <si>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</si>
  <si>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</si>
  <si>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</si>
  <si>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</si>
  <si>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</si>
  <si>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</si>
  <si>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</si>
  <si>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</si>
  <si>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</si>
  <si>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</si>
  <si>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</si>
  <si>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</si>
  <si>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</si>
  <si>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</si>
  <si>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</si>
  <si>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</si>
  <si>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</si>
  <si>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</si>
  <si>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</si>
  <si>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</si>
  <si>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</si>
  <si>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</si>
  <si>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</si>
  <si>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</si>
  <si>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</si>
  <si>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</si>
  <si>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</si>
  <si>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</si>
  <si>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</si>
  <si>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</si>
  <si>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</si>
  <si>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</si>
  <si>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</si>
  <si>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</si>
  <si>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</si>
  <si>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</si>
  <si>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</si>
  <si>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</si>
  <si>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</si>
  <si>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</si>
  <si>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</si>
  <si>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</si>
  <si>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</si>
  <si>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</si>
  <si>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</si>
  <si>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</si>
  <si>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</si>
  <si>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</si>
  <si>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</si>
  <si>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</si>
  <si>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</si>
  <si>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</si>
  <si>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</si>
  <si>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</si>
  <si>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</si>
  <si>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</si>
  <si>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</si>
  <si>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</si>
  <si>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</si>
  <si>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</si>
  <si>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</si>
  <si>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</si>
  <si>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</si>
  <si>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</si>
  <si>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</si>
  <si>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</si>
  <si>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</si>
  <si>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</si>
  <si>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</si>
  <si>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</si>
  <si>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</si>
  <si>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</si>
  <si>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</si>
  <si>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</si>
  <si>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</si>
  <si>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</si>
  <si>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</si>
  <si>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</si>
  <si>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</si>
  <si>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</si>
  <si>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</si>
  <si>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</si>
  <si>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</si>
  <si>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</si>
  <si>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</si>
  <si>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</si>
  <si>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</si>
  <si>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</si>
  <si>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</si>
  <si>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</si>
  <si>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</si>
  <si>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</si>
  <si>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</si>
  <si>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</si>
  <si>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</si>
  <si>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</si>
  <si>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</si>
  <si>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</si>
  <si>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</si>
  <si>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</si>
  <si>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</si>
  <si>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</si>
  <si>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</si>
  <si>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</si>
  <si>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</si>
  <si>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</si>
  <si>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</si>
  <si>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</si>
  <si>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</si>
  <si>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</si>
  <si>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</si>
  <si>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</si>
  <si>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</si>
  <si>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</si>
  <si>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</si>
  <si>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</si>
  <si>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</si>
  <si>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</si>
  <si>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</si>
  <si>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</si>
  <si>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</si>
  <si>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</si>
  <si>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</si>
  <si>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</si>
  <si>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</si>
  <si>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</si>
  <si>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</si>
  <si>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</si>
  <si>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</si>
  <si>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</si>
  <si>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</si>
  <si>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</si>
  <si>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</si>
  <si>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</si>
  <si>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</si>
  <si>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</si>
  <si>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</si>
  <si>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</si>
  <si>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</si>
  <si>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</si>
  <si>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</si>
  <si>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</si>
  <si>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</si>
  <si>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</si>
  <si>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</si>
  <si>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</si>
  <si>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</si>
  <si>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</si>
  <si>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</si>
  <si>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</si>
  <si>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</si>
  <si>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</si>
  <si>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</si>
  <si>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</si>
  <si>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</si>
  <si>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</si>
  <si>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</si>
  <si>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</si>
  <si>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</si>
  <si>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</si>
  <si>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</si>
  <si>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</si>
  <si>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</si>
  <si>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</si>
  <si>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</si>
  <si>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</si>
  <si>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</si>
  <si>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</si>
  <si>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</si>
  <si>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</si>
  <si>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</si>
  <si>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</si>
  <si>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</si>
  <si>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</si>
  <si>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</si>
  <si>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</si>
  <si>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</si>
  <si>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</si>
  <si>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</si>
  <si>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</si>
  <si>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</si>
  <si>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</si>
  <si>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</si>
  <si>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</si>
  <si>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</si>
  <si>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</si>
  <si>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</si>
  <si>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</si>
  <si>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</si>
  <si>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</si>
  <si>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</si>
  <si>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</si>
  <si>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</si>
  <si>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</si>
  <si>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</si>
  <si>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</si>
  <si>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</si>
  <si>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</si>
  <si>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</si>
  <si>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</si>
  <si>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</si>
  <si>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</si>
  <si>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</si>
  <si>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</si>
  <si>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</si>
  <si>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</si>
  <si>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</si>
  <si>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</si>
  <si>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</si>
  <si>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</si>
  <si>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</si>
  <si>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</si>
  <si>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</si>
  <si>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</si>
  <si>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</si>
  <si>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</si>
  <si>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</si>
  <si>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</si>
  <si>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</si>
  <si>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</si>
  <si>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</si>
  <si>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</si>
  <si>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</si>
  <si>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</si>
  <si>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</si>
  <si>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</si>
  <si>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</si>
  <si>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</si>
  <si>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</si>
  <si>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</si>
  <si>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</si>
  <si>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</si>
  <si>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</si>
  <si>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</si>
  <si>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</si>
  <si>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</si>
  <si>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</si>
  <si>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</si>
  <si>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</si>
  <si>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</si>
  <si>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</si>
  <si>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</si>
  <si>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</si>
  <si>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</si>
  <si>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</si>
  <si>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</si>
  <si>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</si>
  <si>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</si>
  <si>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</si>
  <si>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</si>
  <si>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</si>
  <si>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</si>
  <si>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</si>
  <si>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</si>
  <si>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</si>
  <si>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</si>
  <si>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</si>
  <si>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</si>
  <si>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</si>
  <si>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</si>
  <si>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</si>
  <si>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</si>
  <si>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</si>
  <si>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</si>
  <si>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</si>
  <si>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</si>
  <si>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</si>
  <si>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</si>
  <si>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</si>
  <si>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</si>
  <si>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</si>
  <si>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</si>
  <si>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</si>
  <si>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</si>
  <si>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</si>
  <si>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</si>
  <si>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</si>
  <si>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</si>
  <si>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</si>
  <si>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</si>
  <si>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</si>
  <si>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</si>
  <si>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</si>
  <si>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</si>
  <si>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</si>
  <si>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</si>
  <si>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</si>
  <si>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</si>
  <si>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</si>
  <si>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</si>
  <si>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</si>
  <si>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</si>
  <si>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</si>
  <si>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</si>
  <si>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</si>
  <si>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</si>
  <si>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</si>
  <si>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</si>
  <si>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</si>
  <si>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</si>
  <si>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</si>
  <si>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</si>
  <si>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</si>
  <si>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</si>
  <si>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</si>
  <si>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</si>
  <si>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</si>
  <si>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</si>
  <si>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</si>
  <si>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</si>
  <si>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</si>
  <si>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</si>
  <si>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</si>
  <si>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</si>
  <si>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</si>
  <si>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</si>
  <si>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</si>
  <si>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</si>
  <si>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</si>
  <si>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</si>
  <si>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</si>
  <si>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</si>
  <si>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</si>
  <si>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</si>
  <si>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</si>
  <si>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</si>
  <si>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</si>
  <si>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</si>
  <si>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</si>
  <si>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</si>
  <si>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</si>
  <si>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</si>
  <si>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</si>
  <si>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</si>
  <si>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</si>
  <si>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</si>
  <si>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</si>
  <si>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</si>
  <si>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</si>
  <si>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</si>
  <si>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</si>
  <si>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</si>
  <si>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</si>
  <si>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</si>
  <si>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</si>
  <si>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</si>
  <si>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</si>
  <si>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</si>
  <si>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</si>
  <si>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</si>
  <si>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</si>
  <si>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</si>
  <si>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</si>
  <si>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</si>
  <si>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</si>
  <si>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</si>
  <si>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</si>
  <si>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</si>
  <si>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</si>
  <si>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</si>
  <si>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</si>
  <si>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</si>
  <si>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</si>
  <si>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</si>
  <si>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</si>
  <si>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</si>
  <si>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</si>
  <si>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</si>
  <si>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</si>
  <si>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</si>
  <si>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</si>
  <si>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</si>
  <si>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</si>
  <si>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</si>
  <si>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</si>
  <si>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</si>
  <si>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</si>
  <si>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</si>
  <si>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</si>
  <si>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</si>
  <si>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</si>
  <si>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</si>
  <si>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</si>
  <si>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</si>
  <si>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</si>
  <si>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</si>
  <si>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</si>
  <si>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</si>
  <si>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</si>
  <si>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</si>
  <si>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</si>
  <si>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</si>
  <si>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</si>
  <si>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</si>
  <si>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</si>
  <si>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</si>
  <si>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</si>
  <si>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</si>
  <si>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</si>
  <si>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</si>
  <si>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</si>
  <si>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</si>
  <si>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</si>
  <si>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</si>
  <si>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</si>
  <si>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</si>
  <si>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</si>
  <si>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</si>
  <si>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</si>
  <si>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</si>
  <si>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</si>
  <si>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</si>
  <si>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</si>
  <si>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</si>
  <si>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</si>
  <si>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</si>
  <si>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</si>
  <si>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</si>
  <si>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</si>
  <si>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</si>
  <si>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</si>
  <si>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</si>
  <si>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</si>
  <si>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</si>
  <si>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</si>
  <si>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</si>
  <si>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</si>
  <si>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</si>
  <si>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</si>
  <si>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</si>
  <si>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</si>
  <si>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</si>
  <si>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</si>
  <si>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</si>
  <si>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</si>
  <si>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</si>
  <si>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</si>
  <si>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</si>
  <si>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</si>
  <si>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</si>
  <si>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</si>
  <si>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</si>
  <si>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</si>
  <si>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</si>
  <si>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</si>
  <si>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</si>
  <si>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</si>
  <si>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</si>
  <si>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</si>
  <si>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</si>
  <si>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</si>
  <si>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</si>
  <si>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</si>
  <si>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</si>
  <si>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</si>
  <si>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</si>
  <si>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</si>
  <si>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</si>
  <si>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</si>
  <si>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</si>
  <si>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</si>
  <si>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</si>
  <si>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</si>
  <si>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</si>
  <si>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</si>
  <si>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</si>
  <si>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</si>
  <si>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</si>
  <si>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</si>
  <si>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</si>
  <si>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</si>
  <si>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</si>
  <si>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</si>
  <si>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</si>
  <si>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</si>
  <si>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</si>
  <si>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</si>
  <si>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</si>
  <si>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</si>
  <si>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</si>
  <si>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</si>
  <si>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</si>
  <si>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</si>
  <si>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</si>
  <si>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</si>
  <si>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</si>
  <si>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</si>
  <si>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</si>
  <si>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</si>
  <si>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</si>
  <si>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</si>
  <si>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</si>
  <si>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</si>
  <si>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</si>
  <si>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</si>
  <si>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</si>
  <si>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</si>
  <si>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</si>
  <si>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</si>
  <si>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</si>
  <si>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</si>
  <si>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</si>
  <si>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</si>
  <si>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</si>
  <si>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</si>
  <si>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</si>
  <si>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</si>
  <si>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</si>
  <si>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</si>
  <si>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</si>
  <si>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</si>
  <si>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</si>
  <si>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</si>
  <si>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</si>
  <si>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</si>
  <si>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</si>
  <si>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</si>
  <si>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</si>
  <si>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</si>
  <si>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</si>
  <si>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</si>
  <si>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</si>
  <si>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</si>
  <si>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</si>
  <si>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</si>
  <si>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</si>
  <si>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</si>
  <si>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</si>
  <si>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</si>
  <si>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</si>
  <si>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</si>
  <si>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</si>
  <si>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</si>
  <si>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</si>
  <si>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</si>
  <si>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</si>
  <si>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</si>
  <si>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</si>
  <si>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</si>
  <si>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</si>
  <si>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</si>
  <si>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</si>
  <si>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</si>
  <si>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</si>
  <si>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</si>
  <si>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</si>
  <si>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</si>
  <si>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</si>
  <si>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</si>
  <si>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</si>
  <si>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</si>
  <si>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</si>
  <si>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</si>
  <si>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</si>
  <si>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</si>
  <si>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</si>
  <si>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</si>
  <si>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</si>
  <si>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</si>
  <si>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</si>
  <si>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</si>
  <si>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</si>
  <si>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</si>
  <si>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</si>
  <si>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</si>
  <si>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</si>
  <si>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</si>
  <si>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</si>
  <si>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</si>
  <si>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</si>
  <si>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</si>
  <si>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</si>
  <si>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</si>
  <si>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</si>
  <si>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</si>
  <si>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</si>
  <si>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</si>
  <si>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</si>
  <si>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</si>
  <si>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</si>
  <si>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</si>
  <si>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</si>
  <si>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</si>
  <si>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</si>
  <si>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</si>
  <si>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</si>
  <si>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</si>
  <si>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</si>
  <si>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</si>
  <si>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</si>
  <si>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</si>
  <si>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</si>
  <si>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</si>
  <si>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</si>
  <si>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</si>
  <si>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</si>
  <si>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</si>
  <si>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</si>
  <si>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</si>
  <si>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</si>
  <si>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</si>
  <si>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</si>
  <si>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</si>
  <si>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</si>
  <si>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</si>
  <si>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</si>
  <si>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</si>
  <si>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</si>
  <si>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</si>
  <si>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</si>
  <si>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</si>
  <si>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</si>
  <si>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</si>
  <si>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</si>
  <si>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</si>
  <si>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Dose 
mg</t>
  </si>
  <si>
    <t>Frequency per month</t>
  </si>
  <si>
    <t>Dosage required</t>
  </si>
  <si>
    <t>Every 4 weeks</t>
  </si>
  <si>
    <t>Every 3 months</t>
  </si>
  <si>
    <t>https://www.medicinescomplete.com/#/content/bnf/_947782286?hspl=botulinum</t>
  </si>
  <si>
    <t>Prevalence of migraine</t>
  </si>
  <si>
    <t>People who have episodic migraine (4 or more migraine headache days per month)</t>
  </si>
  <si>
    <t>Adult population</t>
  </si>
  <si>
    <t>People who access a neurologist / pain specialist</t>
  </si>
  <si>
    <t>People who have chronic migraine (8 or more migraine headache days per month)</t>
  </si>
  <si>
    <t>People receiving eptinezumab</t>
  </si>
  <si>
    <t>Regimen</t>
  </si>
  <si>
    <t>Number of vials required per administration</t>
  </si>
  <si>
    <t>Total annual cost of treatment exc. VAT</t>
  </si>
  <si>
    <t>VAT rate</t>
  </si>
  <si>
    <t>Total annual cost of treatment inc. VAT</t>
  </si>
  <si>
    <t>100 mg dose administered by intravenous (IV) infusion every 12 weeks</t>
  </si>
  <si>
    <t>Tariff description</t>
  </si>
  <si>
    <t>Tariff cost</t>
  </si>
  <si>
    <t>Total annual admin charge</t>
  </si>
  <si>
    <t>Eptinezumab IV infusion</t>
  </si>
  <si>
    <t>Monthly admin charge</t>
  </si>
  <si>
    <t>No. of months applied</t>
  </si>
  <si>
    <t>Drug cost - first year of treatment</t>
  </si>
  <si>
    <t>Initial loading dose of 240mg</t>
  </si>
  <si>
    <t>120mg monthly</t>
  </si>
  <si>
    <t>225mg monthly</t>
  </si>
  <si>
    <t>Dose 
units</t>
  </si>
  <si>
    <t>Total cost of treatment exc. VAT</t>
  </si>
  <si>
    <t>Total cost of treatment inc. VAT</t>
  </si>
  <si>
    <t>Every 12 weeks - one 200 unit vial is assumed per administration</t>
  </si>
  <si>
    <t>Recommendation 1.1 Drug costs</t>
  </si>
  <si>
    <t>Chronic migraine</t>
  </si>
  <si>
    <t>Total</t>
  </si>
  <si>
    <t>Recommendation 1.1 Drug administration costs</t>
  </si>
  <si>
    <r>
      <t>Recommendation 1.1</t>
    </r>
    <r>
      <rPr>
        <b/>
        <sz val="11"/>
        <color rgb="FFFF0000"/>
        <rFont val="Arial"/>
        <family val="2"/>
      </rPr>
      <t xml:space="preserve"> </t>
    </r>
    <r>
      <rPr>
        <b/>
        <sz val="11"/>
        <rFont val="Arial"/>
        <family val="2"/>
      </rPr>
      <t>- total resource impact</t>
    </r>
  </si>
  <si>
    <t>Capacity impact - hospital clinic attendances (non-cash/cash)</t>
  </si>
  <si>
    <t>Number of people - adults aged 18 and over</t>
  </si>
  <si>
    <t>Number of SC injections required per administration</t>
  </si>
  <si>
    <t>Population covered  - adults aged 18 and over</t>
  </si>
  <si>
    <t>People receiving best supportive care</t>
  </si>
  <si>
    <t>Total people accessing treatment</t>
  </si>
  <si>
    <t>Recommendation 1.1- total resource impact</t>
  </si>
  <si>
    <t>© NICE 2023. All rights reserved. Subject to Notice of rights.</t>
  </si>
  <si>
    <t>Company submission. Based on Lundbeck Survey in collaboration with the Migraine Trust of active migraine sufferers. 31.1% &lt; 4 migraines/month; 23.2% 4-7 migraines/month; 45.6% ≥ 8 migraines/month</t>
  </si>
  <si>
    <r>
      <t xml:space="preserve">Sanderson JC, Devine EB, Lipton RB, et al. Headache-related health resource utilisation in chronic and episodic migraine across six countries. </t>
    </r>
    <r>
      <rPr>
        <i/>
        <sz val="11"/>
        <color theme="1"/>
        <rFont val="Calibri"/>
        <family val="2"/>
      </rPr>
      <t>Journal of neurology, neurosurgery, and psychiatry</t>
    </r>
    <r>
      <rPr>
        <sz val="11"/>
        <color theme="1"/>
        <rFont val="Calibri"/>
        <family val="2"/>
      </rPr>
      <t>. 2013; 84(12):1309-17.</t>
    </r>
  </si>
  <si>
    <t>Company submission source: Bionical Solutions. Migraine Patient Journey Reporting. Data on File 2022</t>
  </si>
  <si>
    <t>National Schedule of NHS costs - Year 2020-21 Service Code 400, Neurology, WF01A, Non-Admitted Face-to-Face Attendance, Follow-up</t>
  </si>
  <si>
    <t>Homecare delivery administration and dispensing charge - monthly admin charge of £50 assumed</t>
  </si>
  <si>
    <r>
      <rPr>
        <b/>
        <sz val="11"/>
        <rFont val="Arial"/>
        <family val="2"/>
      </rPr>
      <t>Adult population</t>
    </r>
    <r>
      <rPr>
        <sz val="11"/>
        <color theme="1"/>
        <rFont val="Arial"/>
        <family val="2"/>
      </rPr>
      <t xml:space="preserve"> forecast at 2027/28</t>
    </r>
  </si>
  <si>
    <r>
      <rPr>
        <sz val="11"/>
        <rFont val="Arial"/>
        <family val="2"/>
      </rPr>
      <t>The guidance covers</t>
    </r>
    <r>
      <rPr>
        <b/>
        <sz val="11"/>
        <rFont val="Arial"/>
        <family val="2"/>
      </rPr>
      <t xml:space="preserve"> adults aged 18 and over</t>
    </r>
  </si>
  <si>
    <t xml:space="preserve">Due to the variable nature of migraine (affected by lifestyle factors, menopause, environmental triggers) and looking at prescription data on numbers accessing treatment, the assumption that people who continue treatment each year can be carried forward indefinitely is likely to overestimate costs. Clinical experts described that no one knows the long term predictions of migraine and a continuous use of these treatments is not anticipated.    </t>
  </si>
  <si>
    <t xml:space="preserve">For simplicity and easier presentation, the number of people who are new starters to treatment each year are not adjusted for above. This is because the number of people accessing treatment each year is not anticipated to change significantly over time (around 90 new people estimated to start treatment each year). </t>
  </si>
  <si>
    <t>Notes</t>
  </si>
  <si>
    <t>Recommendation 1.1 Drug costs for people who continue treatment</t>
  </si>
  <si>
    <t>Total drug costs for people who continue treatment</t>
  </si>
  <si>
    <t>Recommendation 1.1 Drug costs people who discontinue treatment</t>
  </si>
  <si>
    <t>Total drug costs people who discontinue treatment</t>
  </si>
  <si>
    <t>Recommendation 1.1 Drug administration costs people who continue treatment</t>
  </si>
  <si>
    <t>Recommendation 1.1 Drug administration costs people who discontinue treatment</t>
  </si>
  <si>
    <t>Total administration costs people who continue treatment</t>
  </si>
  <si>
    <t>Total administration costs people who discontinue treatment</t>
  </si>
  <si>
    <t>Based on latest prescribing data in secondary care up to June 2022. The latest quarter figure was used to estimate annual numbers accessing CGRP inhibitors.</t>
  </si>
  <si>
    <t>Cumulative number of people who continue treatment</t>
  </si>
  <si>
    <t>Cumulative number of people who discontinue treatment</t>
  </si>
  <si>
    <t>People who discontinue treatment are assumed to revert to best supportive care, however for resource impact purposes, the costs of people who discontinue are shown separateley because costs are assumed for 12 weeks.</t>
  </si>
  <si>
    <t>People accessing CGRP inhibitors or botulinum toxin A</t>
  </si>
  <si>
    <t>Rimegepant oral tablet</t>
  </si>
  <si>
    <t>Regimen for prevention of migraine</t>
  </si>
  <si>
    <t>People who have episodic migraine and access a neurologist / pain specialist</t>
  </si>
  <si>
    <t>People who access a neurologist/ pain specialist and who have had 3 or more prior treatment failures</t>
  </si>
  <si>
    <r>
      <t xml:space="preserve">Sanderson JC, Devine EB, Lipton RB, et al. Headache-related health resource utilisation in chronic and episodic migraine across six countries. </t>
    </r>
    <r>
      <rPr>
        <i/>
        <sz val="11"/>
        <color theme="1"/>
        <rFont val="Calibri"/>
        <family val="2"/>
      </rPr>
      <t>Journal of neurology, neurosurgery, and psychiatry</t>
    </r>
    <r>
      <rPr>
        <sz val="11"/>
        <color theme="1"/>
        <rFont val="Calibri"/>
        <family val="2"/>
      </rPr>
      <t>. 2013; 84(12):1309-17.
This is consistent with updated data from the migraine trust (2020): 2.1 out every 100 consultations referred to neurologist</t>
    </r>
    <r>
      <rPr>
        <b/>
        <sz val="11"/>
        <color theme="1"/>
        <rFont val="Calibri"/>
        <family val="2"/>
      </rPr>
      <t>. Note: This assumption is a key activity driver - please amend for local estimates.</t>
    </r>
    <r>
      <rPr>
        <sz val="11"/>
        <color theme="1"/>
        <rFont val="Calibri"/>
        <family val="2"/>
      </rPr>
      <t xml:space="preserve">
https://migrainetrust.org/wp-content/uploads/2021/08/State-of-the-Migraine-Nation-population-rapid-review.pdf</t>
    </r>
  </si>
  <si>
    <t>Rimegepant is recommended, within its marketing authorisation, for preventing episodic migraine in adults who have at least 4 migraine attacks per month.</t>
  </si>
  <si>
    <t>People who have had 3 or more prior treatment failures</t>
  </si>
  <si>
    <t>People who have episodic migraine</t>
  </si>
  <si>
    <t xml:space="preserve">People receiving best supportive care </t>
  </si>
  <si>
    <t>Drug cost - episodic migraine</t>
  </si>
  <si>
    <t>Erenumab SC injection</t>
  </si>
  <si>
    <t>Galcanezumab SC injection</t>
  </si>
  <si>
    <t>Fremanezumab SC injection</t>
  </si>
  <si>
    <t>Botulinum toxin A IV infusion</t>
  </si>
  <si>
    <t>Episodic migraine</t>
  </si>
  <si>
    <t>Eligible population episodic migraine (includes people receiving BSC)</t>
  </si>
  <si>
    <t>Eligible population chronic migraine</t>
  </si>
  <si>
    <t>Total episodic migraine</t>
  </si>
  <si>
    <t>Total must = 100% / Eligible population</t>
  </si>
  <si>
    <t>Local estimate</t>
  </si>
  <si>
    <t xml:space="preserve">People who have chronic migraine </t>
  </si>
  <si>
    <t>sub total</t>
  </si>
  <si>
    <t>Maintenance (33 weeks, 28 day cycle) 75mg every other day</t>
  </si>
  <si>
    <t>Number of cycles**</t>
  </si>
  <si>
    <t>AMGEN. NCT01952574: A Phase 2 Study to Evaluate the Efficacy and Safety of AMG 334 in Migraine Prevention, 2017.</t>
  </si>
  <si>
    <t>Source:</t>
  </si>
  <si>
    <t>A phase 3, long-term, open-label safety study of Galcanezumab in patients with migraine - PMC (nih.gov)</t>
  </si>
  <si>
    <t>Other options (chronic &amp; episodic migraine)</t>
  </si>
  <si>
    <t xml:space="preserve">Total annual admin charge </t>
  </si>
  <si>
    <t xml:space="preserve">Total annual cost of treatment inc. VAT </t>
  </si>
  <si>
    <t>Total cost</t>
  </si>
  <si>
    <t>*Average annual doses  per person</t>
  </si>
  <si>
    <t>*Long-term fremanezumab treatment was well tolerated and resulted in sustained improvements in monthly migraine days, headache days, and headache-related disability for up to 12 months compared with baseline.</t>
  </si>
  <si>
    <t xml:space="preserve">Total annual cost of treatment exc. VAT </t>
  </si>
  <si>
    <t xml:space="preserve">*Average annual  number of administrations per person </t>
  </si>
  <si>
    <t>Long-term safety, tolerability, and efficacy of fremanezumab in migraine - PMC (nih.gov)</t>
  </si>
  <si>
    <t xml:space="preserve"> For simplicity, an overall average of 12 administrations is assumed which considers treatment discontinuation and people continuing treatment beyond 12 months. Source:</t>
  </si>
  <si>
    <t>*Median exposure to treatment 575 days. For simplicity, an overall average treatment duration is assumed of 52 weeks which considers treatment discontinuation and people continuing treatment beyond 12 months. This can be amended locally.</t>
  </si>
  <si>
    <r>
      <t xml:space="preserve">**The average time on treatment in the double-blind or open-label trial for rimegepant was </t>
    </r>
    <r>
      <rPr>
        <u/>
        <sz val="11"/>
        <rFont val="Calibri"/>
        <family val="2"/>
        <scheme val="minor"/>
      </rPr>
      <t>44.6</t>
    </r>
    <r>
      <rPr>
        <sz val="11"/>
        <rFont val="Calibri"/>
        <family val="2"/>
        <scheme val="minor"/>
      </rPr>
      <t xml:space="preserve"> weeks , equal to 11.15 cycles of 28 days. Please amend locally.</t>
    </r>
  </si>
  <si>
    <t>Drug list prices available on BNF online.</t>
  </si>
  <si>
    <t>Initiation (12 weeks, 28 day cycle) 75mg every other day*</t>
  </si>
  <si>
    <t xml:space="preserve">Total cost of treatment incl VAT </t>
  </si>
  <si>
    <t xml:space="preserve">Total admin charge </t>
  </si>
  <si>
    <t xml:space="preserve">Total cost of treatment inc. VAT </t>
  </si>
  <si>
    <t>No. of administrations</t>
  </si>
  <si>
    <t>No. of cycles applied</t>
  </si>
  <si>
    <t xml:space="preserve">*Average number of administrations </t>
  </si>
  <si>
    <t>Average number of administrations</t>
  </si>
  <si>
    <t>Total admin charge</t>
  </si>
  <si>
    <t>People receiving rimegepant (oral tablet)</t>
  </si>
  <si>
    <t>People receiving eptinezumab (IV infusion)</t>
  </si>
  <si>
    <t>People receiving erenumab (subcutaneous injection)</t>
  </si>
  <si>
    <t>People receiving galcanezumab (subcutaneous injection)</t>
  </si>
  <si>
    <t>People receiving fremanezumab (subcutaneous injection)</t>
  </si>
  <si>
    <t>People receiving botulinum toxin A (IV infusion)</t>
  </si>
  <si>
    <t>TA871 committee papers 20230301 (nice.org.uk)</t>
  </si>
  <si>
    <t>Average number of administrations per person*</t>
  </si>
  <si>
    <t>*Company submission Table 41.  Average number of administrations per year per person. For simplicity this considers people stopping treatment and people continuing treatment each year. Data on the proportion of people stopping treatment is unavailable, please amend the average administrations locally.</t>
  </si>
  <si>
    <t>Cost per 140mg pre-filled pen</t>
  </si>
  <si>
    <t xml:space="preserve">Cost per 120mg pre-filled pen </t>
  </si>
  <si>
    <t xml:space="preserve">Cost per 225mg pre-filled syringe / pen </t>
  </si>
  <si>
    <t>Cost per 200 unit/4mL vial</t>
  </si>
  <si>
    <t>Rimegepant for preventing migraine</t>
  </si>
  <si>
    <t>The Prevalence and Disability Burden of Adult Migraine in England and their Relationships to Age, Gender and Ethnicity - TJ Steiner, AI Scher, WF Stewart, K Kolodner, J Liberman, RB Lipton, 2003 (sagepub.com). The estimate of 11.4% is based on tables 2a &amp; 2b after applying the relevant prevalence rates by age to the England population and adjusting for people aged 18 and over.</t>
  </si>
  <si>
    <t>The Prevalence and Disability Burden of Adult Migraine in England and their Relationships to Age, Gender and Ethnicity - TJ Steiner, AI Scher, WF Stewart, K Kolodner, J Liberman, RB Lipton, 2003 (sagepub.com). Please see note above for the 11.4% prevalence estimate.</t>
  </si>
  <si>
    <t>People receiving Botox (IV infusion)</t>
  </si>
  <si>
    <t>Current market shares are taken from National Prescribing Data for 4 quarters up to October 2022. Future market shares based on estimated growth rate in usage with same usage split in anti-CGRPs applied proportionately. Market share for eptinezumab is based on the company submission. It is assumed that market share is taken from all comparators proportionally.</t>
  </si>
  <si>
    <t>Please see above note.</t>
  </si>
  <si>
    <t>Remaining market share applied to botulinum toxin and assumed accessed by people who have chronic migraine and therefore eligible.</t>
  </si>
  <si>
    <t>Estimate per company submission for eptinezumab. Please amend locally.</t>
  </si>
  <si>
    <t>The proposed  price of rimegepant is £12.90 per 75 mg tablet (excluding VAT ).</t>
  </si>
  <si>
    <t>Cost per 100mg vial</t>
  </si>
  <si>
    <t>Number of 8x 75mg tablet packs needed for treatment</t>
  </si>
  <si>
    <t>Tablets required per 28 day cycle</t>
  </si>
  <si>
    <t>Cost per pack of 8 tablets</t>
  </si>
  <si>
    <t>Eligible population for rimegepant - episodic migraine prevention</t>
  </si>
  <si>
    <t>*12 week initiation cost assumed for people who stop treatment.</t>
  </si>
  <si>
    <t>*The mean duration of exposure to galcanezumab was 318.5 days and 310.3 days in the 120 mg and 240 mg dose groups, respectively. For simplicity, an overall average of 11 administrations assumed which considers treatment discontinuation. This can be amended locally. Source:</t>
  </si>
  <si>
    <t>Eligible population - episodic migraine</t>
  </si>
  <si>
    <t>Eligible population - chronic migraine</t>
  </si>
  <si>
    <t>Sub total</t>
  </si>
  <si>
    <t>Rimegepant can be procured and dispensed by community pharmacy at the Drug Tariff price as no commercial confidential arrangement is in place.</t>
  </si>
  <si>
    <t>Rimegepant can be dispensed in community pharmacies. 
No administration charge is anticipated but this may be amended locally in this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</si>
</sst>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
      <b/>
      <sz val="10"/>
      <color rgb="FFFF0000"/>
      <name val="Arial"/>
      <family val="2"/>
    </font>
    <font>
      <u/>
      <sz val="11"/>
      <name val="Calibri"/>
      <family val="2"/>
      <scheme val="minor"/>
    </font>
    <font>
      <u/>
      <sz val="11"/>
      <color theme="1"/>
      <name val="Calibri"/>
      <family val="2"/>
      <scheme val="minor"/>
    </font>
    <font>
      <sz val="11"/>
      <color theme="1"/>
      <name val="Calibri"/>
      <family val="2"/>
    </font>
    <font>
      <u/>
      <sz val="11"/>
      <color theme="10"/>
      <name val="Calibri"/>
      <family val="2"/>
      <scheme val="minor"/>
    </font>
    <font>
      <i/>
      <sz val="11"/>
      <color theme="1"/>
      <name val="Calibri"/>
      <family val="2"/>
    </font>
    <font>
      <sz val="11"/>
      <name val="Calibri"/>
      <family val="2"/>
    </font>
    <font>
      <sz val="11"/>
      <color rgb="FF000000"/>
      <name val="Arial"/>
      <family val="2"/>
    </font>
    <font>
      <b/>
      <u/>
      <sz val="11"/>
      <color theme="1"/>
      <name val="Calibri"/>
      <family val="2"/>
      <scheme val="minor"/>
    </font>
    <font>
      <b/>
      <sz val="11"/>
      <color theme="1"/>
      <name val="Calibri"/>
      <family val="2"/>
    </font>
    <font>
      <sz val="11"/>
      <color rgb="FF21212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indexed="64"/>
      </left>
      <right/>
      <top/>
      <bottom style="medium">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956">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70"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7"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6"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8" xfId="0" applyFont="1" applyFill="1" applyBorder="1" applyAlignment="1">
      <alignment horizontal="center" wrapText="1"/>
    </xf>
    <xf numFmtId="0" fontId="37" fillId="27" borderId="33" xfId="0" applyFont="1" applyFill="1" applyBorder="1" applyAlignment="1">
      <alignment horizontal="center" wrapText="1"/>
    </xf>
    <xf numFmtId="0" fontId="52" fillId="27" borderId="79"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80"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68"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3" xfId="0" applyFont="1" applyFill="1" applyBorder="1"/>
    <xf numFmtId="0" fontId="33" fillId="0" borderId="81" xfId="0" applyFont="1" applyBorder="1"/>
    <xf numFmtId="0" fontId="33" fillId="25" borderId="79" xfId="0" applyFont="1" applyFill="1" applyBorder="1"/>
    <xf numFmtId="0" fontId="33" fillId="0" borderId="79"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9" xfId="92" applyFont="1" applyFill="1" applyBorder="1" applyAlignment="1">
      <alignment horizontal="center"/>
    </xf>
    <xf numFmtId="9" fontId="54" fillId="41" borderId="0" xfId="92" applyFont="1" applyFill="1" applyAlignment="1">
      <alignment horizontal="center"/>
    </xf>
    <xf numFmtId="9" fontId="54" fillId="41" borderId="79"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9" xfId="92" applyNumberFormat="1" applyFont="1" applyFill="1" applyBorder="1" applyAlignment="1">
      <alignment horizontal="right"/>
    </xf>
    <xf numFmtId="9" fontId="38" fillId="41" borderId="79" xfId="92" applyFont="1" applyFill="1" applyBorder="1" applyAlignment="1">
      <alignment horizontal="right"/>
    </xf>
    <xf numFmtId="168" fontId="38" fillId="41" borderId="79" xfId="92" applyNumberFormat="1" applyFont="1" applyFill="1" applyBorder="1" applyAlignment="1">
      <alignment horizontal="right"/>
    </xf>
    <xf numFmtId="0" fontId="54" fillId="41" borderId="79" xfId="0" applyFont="1" applyFill="1" applyBorder="1"/>
    <xf numFmtId="0" fontId="38" fillId="41" borderId="82"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3" xfId="0" applyNumberFormat="1" applyFont="1" applyFill="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4" xfId="0" applyNumberFormat="1" applyFont="1" applyFill="1" applyBorder="1"/>
    <xf numFmtId="0" fontId="0" fillId="0" borderId="56" xfId="0" applyBorder="1"/>
    <xf numFmtId="0" fontId="0" fillId="0" borderId="85"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71" xfId="0" applyNumberFormat="1" applyFont="1" applyFill="1" applyBorder="1" applyAlignment="1">
      <alignment horizontal="right"/>
    </xf>
    <xf numFmtId="3" fontId="33" fillId="24" borderId="70" xfId="0" applyNumberFormat="1" applyFont="1" applyFill="1" applyBorder="1"/>
    <xf numFmtId="165" fontId="37" fillId="24" borderId="71"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3" xfId="0" applyFont="1" applyFill="1" applyBorder="1" applyAlignment="1">
      <alignment horizontal="center" wrapText="1"/>
    </xf>
    <xf numFmtId="0" fontId="33" fillId="24" borderId="50" xfId="0" applyFont="1" applyFill="1" applyBorder="1" applyAlignment="1">
      <alignment horizontal="center" wrapText="1"/>
    </xf>
    <xf numFmtId="0" fontId="33" fillId="24" borderId="76"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7" xfId="0" applyFont="1" applyFill="1" applyBorder="1" applyAlignment="1">
      <alignment horizontal="center" wrapText="1"/>
    </xf>
    <xf numFmtId="0" fontId="33" fillId="28" borderId="31" xfId="0" applyFont="1" applyFill="1" applyBorder="1" applyAlignment="1">
      <alignment horizontal="center" wrapText="1"/>
    </xf>
    <xf numFmtId="3" fontId="33" fillId="0" borderId="57" xfId="0" applyNumberFormat="1" applyFont="1" applyBorder="1" applyAlignment="1">
      <alignment horizontal="center" wrapText="1"/>
    </xf>
    <xf numFmtId="0" fontId="53" fillId="37" borderId="69"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7"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2" xfId="0" applyFill="1" applyBorder="1" applyAlignment="1">
      <alignment horizontal="center" wrapText="1"/>
    </xf>
    <xf numFmtId="3" fontId="57" fillId="28" borderId="87" xfId="0" applyNumberFormat="1" applyFont="1" applyFill="1" applyBorder="1"/>
    <xf numFmtId="3" fontId="0" fillId="0" borderId="62" xfId="0" applyNumberFormat="1" applyBorder="1"/>
    <xf numFmtId="3" fontId="57" fillId="28" borderId="58" xfId="0" applyNumberFormat="1" applyFont="1" applyFill="1" applyBorder="1"/>
    <xf numFmtId="3" fontId="57" fillId="28" borderId="88"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2"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7" fillId="0" borderId="67" xfId="0" applyNumberFormat="1" applyFont="1" applyBorder="1" applyAlignment="1">
      <alignment vertical="center"/>
    </xf>
    <xf numFmtId="0" fontId="33" fillId="0" borderId="47" xfId="0" applyFont="1" applyBorder="1" applyAlignment="1">
      <alignment vertical="center" wrapText="1"/>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37" fillId="24" borderId="46" xfId="0" applyFont="1" applyFill="1" applyBorder="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165" fontId="58" fillId="28" borderId="89"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70" xfId="0" applyFont="1" applyBorder="1" applyAlignment="1">
      <alignment vertical="center" wrapText="1"/>
    </xf>
    <xf numFmtId="165" fontId="57" fillId="0" borderId="60" xfId="0" applyNumberFormat="1" applyFont="1" applyBorder="1" applyAlignment="1">
      <alignment vertical="center"/>
    </xf>
    <xf numFmtId="3" fontId="57" fillId="0" borderId="83" xfId="0" applyNumberFormat="1" applyFont="1" applyBorder="1" applyAlignment="1">
      <alignment vertical="center"/>
    </xf>
    <xf numFmtId="3" fontId="57" fillId="0" borderId="58" xfId="0" applyNumberFormat="1" applyFont="1" applyBorder="1" applyAlignment="1">
      <alignment vertical="center"/>
    </xf>
    <xf numFmtId="3" fontId="57" fillId="0" borderId="71" xfId="0" applyNumberFormat="1" applyFont="1" applyBorder="1" applyAlignment="1">
      <alignment vertical="center"/>
    </xf>
    <xf numFmtId="0" fontId="8" fillId="0" borderId="35" xfId="0" applyFont="1" applyBorder="1" applyAlignment="1">
      <alignment vertical="center" wrapText="1"/>
    </xf>
    <xf numFmtId="9" fontId="0" fillId="41" borderId="46"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3" fillId="41" borderId="60"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6"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5" fontId="2" fillId="0" borderId="0" xfId="82" applyNumberFormat="1" applyAlignment="1">
      <alignment horizontal="right"/>
    </xf>
    <xf numFmtId="10" fontId="33" fillId="0" borderId="11" xfId="0" applyNumberFormat="1" applyFont="1" applyBorder="1" applyAlignment="1">
      <alignment vertical="center"/>
    </xf>
    <xf numFmtId="10" fontId="33" fillId="0" borderId="17" xfId="0" applyNumberFormat="1" applyFont="1" applyBorder="1" applyAlignment="1">
      <alignment vertical="center"/>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46" xfId="0" applyFont="1" applyBorder="1" applyAlignment="1">
      <alignment horizontal="center" vertical="center" wrapText="1"/>
    </xf>
    <xf numFmtId="3" fontId="33" fillId="0" borderId="62" xfId="0" applyNumberFormat="1" applyFont="1" applyBorder="1" applyAlignment="1">
      <alignment horizontal="right" vertical="center" wrapText="1"/>
    </xf>
    <xf numFmtId="3" fontId="37" fillId="0" borderId="62" xfId="0" applyNumberFormat="1" applyFont="1" applyBorder="1" applyAlignment="1">
      <alignment vertical="center"/>
    </xf>
    <xf numFmtId="0" fontId="8" fillId="0" borderId="46" xfId="0" applyFont="1" applyBorder="1" applyAlignment="1">
      <alignment vertical="center" wrapText="1"/>
    </xf>
    <xf numFmtId="0" fontId="33" fillId="0" borderId="33" xfId="0" applyFont="1" applyBorder="1" applyAlignment="1">
      <alignment vertical="center" wrapText="1"/>
    </xf>
    <xf numFmtId="3" fontId="33" fillId="0" borderId="0" xfId="0" applyNumberFormat="1" applyFont="1" applyAlignment="1">
      <alignment vertical="center"/>
    </xf>
    <xf numFmtId="3" fontId="37" fillId="0" borderId="71" xfId="0" applyNumberFormat="1" applyFont="1" applyBorder="1" applyAlignment="1">
      <alignment vertical="center"/>
    </xf>
    <xf numFmtId="10" fontId="33" fillId="41" borderId="59" xfId="0" applyNumberFormat="1" applyFont="1" applyFill="1" applyBorder="1" applyAlignment="1">
      <alignment vertical="center"/>
    </xf>
    <xf numFmtId="0" fontId="65" fillId="0" borderId="11" xfId="82" applyFont="1" applyBorder="1" applyAlignment="1">
      <alignment horizontal="center" wrapText="1"/>
    </xf>
    <xf numFmtId="0" fontId="65" fillId="0" borderId="11" xfId="82" applyFont="1" applyBorder="1" applyAlignment="1">
      <alignment wrapText="1"/>
    </xf>
    <xf numFmtId="0" fontId="65" fillId="0" borderId="11" xfId="82" applyFont="1" applyBorder="1"/>
    <xf numFmtId="4" fontId="65" fillId="0" borderId="11" xfId="82" applyNumberFormat="1" applyFont="1" applyBorder="1" applyAlignment="1">
      <alignment horizontal="right"/>
    </xf>
    <xf numFmtId="9" fontId="31" fillId="0" borderId="11" xfId="0" applyNumberFormat="1" applyFont="1" applyBorder="1"/>
    <xf numFmtId="0" fontId="47" fillId="0" borderId="0" xfId="82" applyFont="1"/>
    <xf numFmtId="164" fontId="65" fillId="0" borderId="0" xfId="82" applyNumberFormat="1" applyFont="1" applyAlignment="1">
      <alignment horizontal="right"/>
    </xf>
    <xf numFmtId="0" fontId="72" fillId="0" borderId="0" xfId="82" applyFont="1"/>
    <xf numFmtId="0" fontId="65" fillId="0" borderId="0" xfId="82" applyFont="1"/>
    <xf numFmtId="164" fontId="65" fillId="0" borderId="11" xfId="82" applyNumberFormat="1" applyFont="1" applyBorder="1"/>
    <xf numFmtId="0" fontId="65" fillId="0" borderId="11" xfId="82" applyFont="1" applyBorder="1" applyAlignment="1">
      <alignment horizontal="left" wrapText="1"/>
    </xf>
    <xf numFmtId="164" fontId="65" fillId="41" borderId="11" xfId="82" applyNumberFormat="1" applyFont="1" applyFill="1" applyBorder="1"/>
    <xf numFmtId="0" fontId="73" fillId="0" borderId="0" xfId="0" applyFont="1"/>
    <xf numFmtId="3" fontId="65" fillId="0" borderId="11" xfId="82" applyNumberFormat="1" applyFont="1" applyBorder="1" applyAlignment="1">
      <alignment horizontal="right"/>
    </xf>
    <xf numFmtId="0" fontId="65" fillId="0" borderId="0" xfId="82" applyFont="1" applyAlignment="1">
      <alignment vertical="top" wrapText="1"/>
    </xf>
    <xf numFmtId="164" fontId="65" fillId="0" borderId="0" xfId="82" applyNumberFormat="1" applyFont="1"/>
    <xf numFmtId="4" fontId="65" fillId="0" borderId="0" xfId="82" applyNumberFormat="1" applyFont="1" applyAlignment="1">
      <alignment horizontal="right"/>
    </xf>
    <xf numFmtId="0" fontId="70" fillId="0" borderId="0" xfId="82" applyFont="1" applyAlignment="1">
      <alignment vertical="top" wrapText="1"/>
    </xf>
    <xf numFmtId="0" fontId="70" fillId="0" borderId="0" xfId="0" applyFont="1"/>
    <xf numFmtId="0" fontId="33" fillId="0" borderId="42" xfId="0" applyFont="1" applyBorder="1" applyAlignment="1">
      <alignment vertical="center"/>
    </xf>
    <xf numFmtId="0" fontId="33" fillId="0" borderId="57" xfId="0" applyFont="1" applyBorder="1" applyAlignment="1">
      <alignment vertical="center"/>
    </xf>
    <xf numFmtId="0" fontId="37" fillId="24" borderId="21" xfId="0" applyFont="1" applyFill="1" applyBorder="1"/>
    <xf numFmtId="165" fontId="33" fillId="24" borderId="14" xfId="0" applyNumberFormat="1" applyFont="1" applyFill="1" applyBorder="1" applyAlignment="1">
      <alignment horizontal="center" wrapText="1"/>
    </xf>
    <xf numFmtId="0" fontId="53" fillId="37" borderId="21" xfId="0" applyFont="1" applyFill="1" applyBorder="1" applyAlignment="1">
      <alignment horizontal="center" wrapText="1"/>
    </xf>
    <xf numFmtId="0" fontId="33" fillId="28" borderId="16" xfId="0" applyFont="1" applyFill="1" applyBorder="1" applyAlignment="1">
      <alignment horizontal="center" wrapText="1"/>
    </xf>
    <xf numFmtId="3" fontId="33" fillId="38" borderId="24" xfId="0" applyNumberFormat="1" applyFont="1" applyFill="1" applyBorder="1" applyAlignment="1">
      <alignment horizontal="center" wrapText="1"/>
    </xf>
    <xf numFmtId="0" fontId="53" fillId="37" borderId="41" xfId="0" applyFont="1" applyFill="1" applyBorder="1" applyAlignment="1">
      <alignment horizontal="center" wrapText="1"/>
    </xf>
    <xf numFmtId="0" fontId="33" fillId="28" borderId="26" xfId="0" applyFont="1" applyFill="1" applyBorder="1" applyAlignment="1">
      <alignment horizontal="center" wrapText="1"/>
    </xf>
    <xf numFmtId="3" fontId="33" fillId="38" borderId="43" xfId="0" applyNumberFormat="1" applyFont="1" applyFill="1" applyBorder="1" applyAlignment="1">
      <alignment horizontal="center" wrapText="1"/>
    </xf>
    <xf numFmtId="0" fontId="65" fillId="0" borderId="0" xfId="82" applyFont="1" applyAlignment="1">
      <alignment wrapText="1"/>
    </xf>
    <xf numFmtId="0" fontId="69" fillId="0" borderId="0" xfId="0" applyFont="1" applyAlignment="1">
      <alignment vertical="center" wrapText="1"/>
    </xf>
    <xf numFmtId="0" fontId="53" fillId="37" borderId="18" xfId="0" applyFont="1" applyFill="1" applyBorder="1" applyAlignment="1">
      <alignment horizontal="center" wrapText="1"/>
    </xf>
    <xf numFmtId="0" fontId="7" fillId="0" borderId="65" xfId="0" applyFont="1" applyBorder="1" applyAlignment="1">
      <alignment horizontal="left" vertical="center"/>
    </xf>
    <xf numFmtId="165" fontId="33" fillId="0" borderId="62" xfId="0" applyNumberFormat="1" applyFont="1" applyBorder="1" applyAlignment="1">
      <alignment vertical="center"/>
    </xf>
    <xf numFmtId="0" fontId="8" fillId="0" borderId="74" xfId="0" applyFont="1" applyBorder="1" applyAlignment="1">
      <alignment horizontal="left" vertical="center" wrapText="1"/>
    </xf>
    <xf numFmtId="165" fontId="33" fillId="0" borderId="75" xfId="0" applyNumberFormat="1" applyFont="1" applyBorder="1" applyAlignment="1">
      <alignment horizontal="right"/>
    </xf>
    <xf numFmtId="3" fontId="33" fillId="0" borderId="75" xfId="0" applyNumberFormat="1" applyFont="1" applyBorder="1"/>
    <xf numFmtId="165" fontId="37" fillId="0" borderId="75" xfId="0" applyNumberFormat="1" applyFont="1" applyBorder="1"/>
    <xf numFmtId="0" fontId="8" fillId="0" borderId="37" xfId="0" applyFont="1" applyBorder="1" applyAlignment="1">
      <alignment horizontal="left" vertical="center" wrapText="1"/>
    </xf>
    <xf numFmtId="165" fontId="33" fillId="0" borderId="32" xfId="0" applyNumberFormat="1" applyFont="1" applyBorder="1" applyAlignment="1">
      <alignment horizontal="right"/>
    </xf>
    <xf numFmtId="3" fontId="33" fillId="0" borderId="32" xfId="0" applyNumberFormat="1" applyFont="1" applyBorder="1"/>
    <xf numFmtId="165" fontId="37" fillId="0" borderId="32" xfId="0" applyNumberFormat="1" applyFont="1" applyBorder="1"/>
    <xf numFmtId="0" fontId="8" fillId="0" borderId="33" xfId="0" applyFont="1" applyBorder="1" applyAlignment="1">
      <alignment horizontal="left" vertical="center" wrapText="1"/>
    </xf>
    <xf numFmtId="0" fontId="69" fillId="0" borderId="32" xfId="0" applyFont="1" applyBorder="1" applyAlignment="1">
      <alignment vertical="center" wrapText="1"/>
    </xf>
    <xf numFmtId="0" fontId="37" fillId="0" borderId="47" xfId="0" applyFont="1" applyBorder="1" applyAlignment="1">
      <alignment vertical="center" wrapText="1"/>
    </xf>
    <xf numFmtId="10" fontId="37" fillId="0" borderId="15" xfId="0" applyNumberFormat="1" applyFont="1" applyBorder="1" applyAlignment="1">
      <alignment vertical="center"/>
    </xf>
    <xf numFmtId="3" fontId="37" fillId="0" borderId="63" xfId="0" applyNumberFormat="1" applyFont="1" applyBorder="1" applyAlignment="1">
      <alignment vertical="center"/>
    </xf>
    <xf numFmtId="10" fontId="37" fillId="0" borderId="39" xfId="0" applyNumberFormat="1" applyFont="1" applyBorder="1" applyAlignment="1">
      <alignment vertical="center"/>
    </xf>
    <xf numFmtId="10" fontId="37" fillId="0" borderId="47" xfId="0" applyNumberFormat="1" applyFont="1" applyBorder="1" applyAlignment="1">
      <alignment vertical="center"/>
    </xf>
    <xf numFmtId="3" fontId="37" fillId="24" borderId="70" xfId="0" applyNumberFormat="1" applyFont="1" applyFill="1" applyBorder="1"/>
    <xf numFmtId="3" fontId="33" fillId="24" borderId="71" xfId="0" applyNumberFormat="1" applyFont="1" applyFill="1" applyBorder="1"/>
    <xf numFmtId="165" fontId="37" fillId="24" borderId="86" xfId="0" applyNumberFormat="1" applyFont="1" applyFill="1" applyBorder="1"/>
    <xf numFmtId="3" fontId="8" fillId="28" borderId="28" xfId="0" applyNumberFormat="1" applyFont="1" applyFill="1" applyBorder="1" applyAlignment="1">
      <alignment horizontal="right" vertical="center"/>
    </xf>
    <xf numFmtId="0" fontId="7" fillId="0" borderId="46" xfId="0" applyFont="1" applyBorder="1" applyAlignment="1">
      <alignment horizontal="left" vertical="center" wrapText="1"/>
    </xf>
    <xf numFmtId="9" fontId="0" fillId="41" borderId="11" xfId="0" applyNumberFormat="1" applyFill="1" applyBorder="1"/>
    <xf numFmtId="0" fontId="8" fillId="0" borderId="46" xfId="0" applyFont="1" applyBorder="1" applyAlignment="1">
      <alignment horizontal="left" vertical="center"/>
    </xf>
    <xf numFmtId="10" fontId="0" fillId="0" borderId="11" xfId="0" applyNumberFormat="1" applyBorder="1"/>
    <xf numFmtId="10" fontId="0" fillId="0" borderId="17" xfId="0" applyNumberFormat="1" applyBorder="1"/>
    <xf numFmtId="10" fontId="0" fillId="0" borderId="62" xfId="0" applyNumberFormat="1" applyBorder="1"/>
    <xf numFmtId="0" fontId="69" fillId="0" borderId="10" xfId="0" applyFont="1" applyBorder="1" applyAlignment="1">
      <alignment vertical="center" wrapText="1"/>
    </xf>
    <xf numFmtId="3" fontId="57" fillId="0" borderId="0" xfId="0" applyNumberFormat="1" applyFont="1"/>
    <xf numFmtId="165" fontId="57" fillId="0" borderId="0" xfId="0" applyNumberFormat="1" applyFont="1"/>
    <xf numFmtId="3" fontId="65" fillId="0" borderId="0" xfId="0" applyNumberFormat="1" applyFont="1"/>
    <xf numFmtId="9" fontId="57" fillId="0" borderId="11" xfId="0" applyNumberFormat="1" applyFont="1" applyBorder="1"/>
    <xf numFmtId="0" fontId="65" fillId="0" borderId="0" xfId="0" applyFont="1"/>
    <xf numFmtId="0" fontId="57" fillId="0" borderId="57" xfId="0" applyFont="1" applyBorder="1"/>
    <xf numFmtId="0" fontId="57" fillId="0" borderId="33" xfId="0" applyFont="1" applyBorder="1"/>
    <xf numFmtId="0" fontId="8" fillId="24" borderId="47" xfId="0" applyFont="1" applyFill="1" applyBorder="1" applyAlignment="1">
      <alignment horizontal="left" vertical="center" wrapText="1"/>
    </xf>
    <xf numFmtId="3" fontId="0" fillId="0" borderId="36" xfId="0" applyNumberFormat="1" applyBorder="1"/>
    <xf numFmtId="165" fontId="33" fillId="41" borderId="14" xfId="0" applyNumberFormat="1" applyFont="1" applyFill="1" applyBorder="1" applyAlignment="1">
      <alignment horizontal="right" wrapText="1"/>
    </xf>
    <xf numFmtId="1" fontId="0" fillId="0" borderId="12" xfId="0" applyNumberFormat="1" applyBorder="1"/>
    <xf numFmtId="1" fontId="0" fillId="0" borderId="62" xfId="0" applyNumberFormat="1" applyBorder="1"/>
    <xf numFmtId="0" fontId="65" fillId="0" borderId="0" xfId="0" quotePrefix="1" applyFont="1"/>
    <xf numFmtId="165" fontId="33" fillId="41" borderId="62" xfId="0" applyNumberFormat="1" applyFont="1" applyFill="1" applyBorder="1" applyAlignment="1">
      <alignment horizontal="right" vertical="center"/>
    </xf>
    <xf numFmtId="165" fontId="33" fillId="24" borderId="51" xfId="0" applyNumberFormat="1" applyFont="1" applyFill="1" applyBorder="1" applyAlignment="1">
      <alignment horizontal="center" wrapText="1"/>
    </xf>
    <xf numFmtId="0" fontId="37" fillId="24" borderId="45" xfId="0" applyFont="1" applyFill="1" applyBorder="1" applyAlignment="1">
      <alignment vertical="center" wrapText="1"/>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33" fillId="0" borderId="17" xfId="0" applyFont="1" applyBorder="1" applyAlignment="1">
      <alignment vertical="center"/>
    </xf>
    <xf numFmtId="0" fontId="0" fillId="0" borderId="12" xfId="0" applyBorder="1" applyAlignment="1">
      <alignment vertical="center"/>
    </xf>
    <xf numFmtId="0" fontId="33" fillId="0" borderId="30" xfId="0" applyFont="1" applyBorder="1" applyAlignment="1">
      <alignment vertical="center"/>
    </xf>
    <xf numFmtId="0" fontId="0" fillId="0" borderId="0" xfId="0" applyAlignment="1">
      <alignment horizontal="left" vertical="center" wrapText="1"/>
    </xf>
    <xf numFmtId="0" fontId="70" fillId="0" borderId="0" xfId="0" applyFont="1" applyAlignment="1">
      <alignment vertical="center"/>
    </xf>
    <xf numFmtId="10" fontId="33" fillId="0" borderId="66" xfId="0" applyNumberFormat="1" applyFont="1" applyBorder="1" applyAlignment="1">
      <alignment vertical="center"/>
    </xf>
    <xf numFmtId="0" fontId="33" fillId="0" borderId="93" xfId="0" applyFont="1" applyBorder="1" applyAlignment="1">
      <alignment vertical="center"/>
    </xf>
    <xf numFmtId="0" fontId="33" fillId="0" borderId="92" xfId="0" applyFont="1" applyBorder="1" applyAlignment="1">
      <alignment vertical="center"/>
    </xf>
    <xf numFmtId="0" fontId="0" fillId="0" borderId="91" xfId="0" applyBorder="1" applyAlignment="1">
      <alignment vertical="center" wrapText="1"/>
    </xf>
    <xf numFmtId="0" fontId="77" fillId="0" borderId="91" xfId="0" applyFont="1" applyBorder="1" applyAlignment="1">
      <alignment vertical="center"/>
    </xf>
    <xf numFmtId="0" fontId="77" fillId="0" borderId="91" xfId="0" applyFont="1" applyBorder="1" applyAlignment="1">
      <alignment vertical="center" wrapText="1"/>
    </xf>
    <xf numFmtId="0" fontId="33" fillId="0" borderId="94" xfId="0" applyFont="1" applyBorder="1" applyAlignment="1">
      <alignment vertical="center"/>
    </xf>
    <xf numFmtId="0" fontId="33" fillId="0" borderId="95" xfId="0" applyFont="1" applyBorder="1" applyAlignment="1">
      <alignment vertical="center"/>
    </xf>
    <xf numFmtId="0" fontId="33" fillId="0" borderId="10" xfId="0" applyFont="1" applyBorder="1" applyAlignment="1">
      <alignment vertical="center"/>
    </xf>
    <xf numFmtId="0" fontId="8" fillId="0" borderId="0" xfId="0" applyFont="1" applyAlignment="1">
      <alignment horizontal="left"/>
    </xf>
    <xf numFmtId="0" fontId="65" fillId="41" borderId="11" xfId="82" applyFont="1" applyFill="1" applyBorder="1"/>
    <xf numFmtId="4" fontId="65" fillId="41" borderId="11" xfId="82" applyNumberFormat="1" applyFont="1" applyFill="1" applyBorder="1" applyAlignment="1">
      <alignment horizontal="right"/>
    </xf>
    <xf numFmtId="3" fontId="0" fillId="0" borderId="91" xfId="0" applyNumberFormat="1" applyBorder="1"/>
    <xf numFmtId="3" fontId="0" fillId="0" borderId="90" xfId="0" applyNumberFormat="1" applyBorder="1"/>
    <xf numFmtId="164" fontId="65" fillId="0" borderId="11" xfId="82" applyNumberFormat="1" applyFont="1" applyBorder="1" applyAlignment="1">
      <alignment horizontal="right"/>
    </xf>
    <xf numFmtId="0" fontId="48" fillId="25" borderId="0" xfId="0" applyFont="1" applyFill="1" applyAlignment="1">
      <alignment vertical="center"/>
    </xf>
    <xf numFmtId="0" fontId="50" fillId="25" borderId="0" xfId="0" applyFont="1" applyFill="1"/>
    <xf numFmtId="0" fontId="79" fillId="0" borderId="0" xfId="0" applyFont="1"/>
    <xf numFmtId="0" fontId="65" fillId="0" borderId="90" xfId="82" applyFont="1" applyBorder="1" applyAlignment="1">
      <alignment horizontal="center" wrapText="1"/>
    </xf>
    <xf numFmtId="0" fontId="65" fillId="0" borderId="90" xfId="82" applyFont="1" applyBorder="1"/>
    <xf numFmtId="3" fontId="65" fillId="0" borderId="90" xfId="82" applyNumberFormat="1" applyFont="1" applyBorder="1"/>
    <xf numFmtId="165" fontId="31" fillId="0" borderId="0" xfId="0" applyNumberFormat="1" applyFont="1"/>
    <xf numFmtId="165" fontId="70" fillId="0" borderId="90" xfId="82" applyNumberFormat="1" applyFont="1" applyBorder="1"/>
    <xf numFmtId="0" fontId="31" fillId="0" borderId="0" xfId="0" applyFont="1"/>
    <xf numFmtId="0" fontId="65" fillId="0" borderId="90" xfId="82" applyFont="1" applyBorder="1" applyAlignment="1">
      <alignment vertical="top" wrapText="1"/>
    </xf>
    <xf numFmtId="0" fontId="65" fillId="0" borderId="0" xfId="82" applyFont="1" applyAlignment="1">
      <alignment horizontal="center" wrapText="1"/>
    </xf>
    <xf numFmtId="165" fontId="77" fillId="41" borderId="90" xfId="82" applyNumberFormat="1" applyFont="1" applyFill="1" applyBorder="1"/>
    <xf numFmtId="10" fontId="33" fillId="41" borderId="90" xfId="0" applyNumberFormat="1" applyFont="1" applyFill="1" applyBorder="1" applyAlignment="1">
      <alignment vertical="center"/>
    </xf>
    <xf numFmtId="10" fontId="33" fillId="0" borderId="90" xfId="0" applyNumberFormat="1" applyFont="1" applyBorder="1" applyAlignment="1">
      <alignment vertical="center"/>
    </xf>
    <xf numFmtId="10" fontId="33" fillId="0" borderId="92" xfId="0" applyNumberFormat="1" applyFont="1" applyBorder="1" applyAlignment="1">
      <alignment vertical="center"/>
    </xf>
    <xf numFmtId="0" fontId="7" fillId="0" borderId="91" xfId="0" applyFont="1" applyBorder="1" applyAlignment="1">
      <alignment vertical="center"/>
    </xf>
    <xf numFmtId="0" fontId="0" fillId="0" borderId="95" xfId="0" applyBorder="1"/>
    <xf numFmtId="0" fontId="7" fillId="0" borderId="10" xfId="0" applyFont="1" applyBorder="1" applyAlignment="1">
      <alignment vertical="center"/>
    </xf>
    <xf numFmtId="0" fontId="70" fillId="0" borderId="0" xfId="0" quotePrefix="1" applyFont="1"/>
    <xf numFmtId="0" fontId="33" fillId="0" borderId="21" xfId="0" applyFont="1" applyBorder="1"/>
    <xf numFmtId="0" fontId="33" fillId="0" borderId="64" xfId="0" applyFont="1" applyBorder="1"/>
    <xf numFmtId="165" fontId="70" fillId="0" borderId="0" xfId="82" applyNumberFormat="1" applyFont="1"/>
    <xf numFmtId="0" fontId="65" fillId="0" borderId="0" xfId="82" applyFont="1" applyAlignment="1">
      <alignment vertical="top"/>
    </xf>
    <xf numFmtId="3" fontId="65" fillId="0" borderId="0" xfId="82" applyNumberFormat="1" applyFont="1"/>
    <xf numFmtId="9" fontId="31" fillId="0" borderId="0" xfId="0" applyNumberFormat="1" applyFont="1"/>
    <xf numFmtId="9" fontId="0" fillId="41" borderId="90" xfId="92" applyFont="1" applyFill="1" applyBorder="1"/>
    <xf numFmtId="0" fontId="0" fillId="0" borderId="90" xfId="0" applyBorder="1"/>
    <xf numFmtId="9" fontId="0" fillId="0" borderId="46" xfId="92" applyFont="1" applyFill="1" applyBorder="1"/>
    <xf numFmtId="9" fontId="0" fillId="0" borderId="11" xfId="92" applyFont="1" applyFill="1" applyBorder="1"/>
    <xf numFmtId="9" fontId="0" fillId="0" borderId="40" xfId="92" applyFont="1" applyFill="1" applyBorder="1"/>
    <xf numFmtId="9" fontId="0" fillId="0" borderId="90" xfId="92" applyFont="1" applyFill="1" applyBorder="1"/>
    <xf numFmtId="168" fontId="0" fillId="41" borderId="90" xfId="0" applyNumberFormat="1" applyFill="1" applyBorder="1"/>
    <xf numFmtId="9" fontId="0" fillId="0" borderId="90" xfId="0" applyNumberFormat="1" applyBorder="1"/>
    <xf numFmtId="168" fontId="0" fillId="41" borderId="35" xfId="92" applyNumberFormat="1" applyFont="1" applyFill="1" applyBorder="1"/>
    <xf numFmtId="168" fontId="0" fillId="41" borderId="92" xfId="92" applyNumberFormat="1" applyFont="1" applyFill="1" applyBorder="1"/>
    <xf numFmtId="168" fontId="0" fillId="41" borderId="90" xfId="92" applyNumberFormat="1" applyFont="1" applyFill="1" applyBorder="1"/>
    <xf numFmtId="9" fontId="0" fillId="0" borderId="35" xfId="92" applyFont="1" applyFill="1" applyBorder="1"/>
    <xf numFmtId="9" fontId="0" fillId="0" borderId="92" xfId="92" applyFont="1" applyFill="1" applyBorder="1"/>
    <xf numFmtId="168" fontId="0" fillId="0" borderId="90" xfId="0" applyNumberFormat="1" applyBorder="1"/>
    <xf numFmtId="168" fontId="0" fillId="0" borderId="92" xfId="0" applyNumberFormat="1" applyBorder="1"/>
    <xf numFmtId="168" fontId="0" fillId="0" borderId="62" xfId="0" applyNumberFormat="1" applyBorder="1"/>
    <xf numFmtId="0" fontId="37" fillId="0" borderId="65" xfId="0" applyFont="1" applyBorder="1" applyAlignment="1">
      <alignment vertical="center" wrapText="1"/>
    </xf>
    <xf numFmtId="165" fontId="0" fillId="0" borderId="15" xfId="0" applyNumberFormat="1" applyBorder="1" applyAlignment="1">
      <alignment vertical="center"/>
    </xf>
    <xf numFmtId="3" fontId="57" fillId="0" borderId="13" xfId="0" applyNumberFormat="1" applyFont="1" applyBorder="1" applyAlignment="1">
      <alignment vertical="center"/>
    </xf>
    <xf numFmtId="3" fontId="57" fillId="0" borderId="95" xfId="0" applyNumberFormat="1" applyFont="1" applyBorder="1" applyAlignment="1">
      <alignment vertical="center"/>
    </xf>
    <xf numFmtId="3" fontId="57" fillId="0" borderId="90" xfId="0" applyNumberFormat="1" applyFont="1" applyBorder="1" applyAlignment="1">
      <alignment vertical="center"/>
    </xf>
    <xf numFmtId="10" fontId="33" fillId="0" borderId="84" xfId="0" applyNumberFormat="1" applyFont="1" applyBorder="1" applyAlignment="1">
      <alignment vertical="center"/>
    </xf>
    <xf numFmtId="3" fontId="33" fillId="0" borderId="46" xfId="0" applyNumberFormat="1" applyFont="1" applyBorder="1" applyAlignment="1">
      <alignment vertical="center"/>
    </xf>
    <xf numFmtId="165" fontId="33" fillId="41" borderId="95" xfId="0" applyNumberFormat="1" applyFont="1" applyFill="1" applyBorder="1" applyAlignment="1">
      <alignment horizontal="right" vertical="center"/>
    </xf>
    <xf numFmtId="165" fontId="33" fillId="0" borderId="95" xfId="0" applyNumberFormat="1" applyFont="1" applyBorder="1" applyAlignment="1">
      <alignment vertical="center"/>
    </xf>
    <xf numFmtId="165" fontId="33" fillId="0" borderId="15" xfId="0" applyNumberFormat="1" applyFont="1" applyBorder="1" applyAlignment="1">
      <alignment vertical="center"/>
    </xf>
    <xf numFmtId="165" fontId="33" fillId="0" borderId="95" xfId="0" applyNumberFormat="1" applyFont="1" applyBorder="1" applyAlignment="1">
      <alignment horizontal="right" vertical="center"/>
    </xf>
    <xf numFmtId="3" fontId="33" fillId="0" borderId="36" xfId="0" applyNumberFormat="1" applyFont="1" applyBorder="1" applyAlignment="1">
      <alignment vertical="center"/>
    </xf>
    <xf numFmtId="3" fontId="33" fillId="0" borderId="15" xfId="0" applyNumberFormat="1" applyFont="1" applyBorder="1" applyAlignment="1">
      <alignment vertical="center"/>
    </xf>
    <xf numFmtId="0" fontId="37" fillId="0" borderId="59" xfId="0" applyFont="1" applyBorder="1" applyAlignment="1">
      <alignment vertical="center" wrapText="1"/>
    </xf>
    <xf numFmtId="0" fontId="47" fillId="0" borderId="28" xfId="0" applyFont="1" applyBorder="1"/>
    <xf numFmtId="3" fontId="65" fillId="0" borderId="28" xfId="0" applyNumberFormat="1" applyFont="1" applyBorder="1"/>
    <xf numFmtId="0" fontId="8" fillId="0" borderId="34" xfId="82" applyFont="1" applyBorder="1"/>
    <xf numFmtId="165" fontId="0" fillId="0" borderId="90" xfId="0" applyNumberFormat="1" applyBorder="1"/>
    <xf numFmtId="3" fontId="57" fillId="0" borderId="90" xfId="0" applyNumberFormat="1" applyFont="1" applyBorder="1"/>
    <xf numFmtId="3" fontId="57" fillId="0" borderId="62" xfId="0" applyNumberFormat="1" applyFont="1" applyBorder="1"/>
    <xf numFmtId="3" fontId="57" fillId="0" borderId="92" xfId="0" applyNumberFormat="1" applyFont="1" applyBorder="1"/>
    <xf numFmtId="1" fontId="0" fillId="0" borderId="90" xfId="0" applyNumberFormat="1" applyBorder="1"/>
    <xf numFmtId="1" fontId="0" fillId="0" borderId="92" xfId="0" applyNumberFormat="1" applyBorder="1"/>
    <xf numFmtId="3" fontId="0" fillId="0" borderId="92" xfId="0" applyNumberFormat="1" applyBorder="1"/>
    <xf numFmtId="10" fontId="0" fillId="0" borderId="90" xfId="0" applyNumberFormat="1" applyBorder="1"/>
    <xf numFmtId="10" fontId="0" fillId="0" borderId="93" xfId="0" applyNumberFormat="1" applyBorder="1"/>
    <xf numFmtId="164" fontId="0" fillId="0" borderId="90" xfId="0" applyNumberFormat="1" applyBorder="1"/>
    <xf numFmtId="10" fontId="0" fillId="24" borderId="90" xfId="0" applyNumberFormat="1" applyFill="1" applyBorder="1"/>
    <xf numFmtId="10" fontId="0" fillId="24" borderId="62" xfId="0" applyNumberFormat="1" applyFill="1" applyBorder="1"/>
    <xf numFmtId="1" fontId="0" fillId="0" borderId="93" xfId="0" applyNumberFormat="1" applyBorder="1"/>
    <xf numFmtId="3" fontId="0" fillId="0" borderId="93" xfId="0" applyNumberFormat="1" applyBorder="1"/>
    <xf numFmtId="1" fontId="0" fillId="24" borderId="90" xfId="0" applyNumberFormat="1" applyFill="1" applyBorder="1"/>
    <xf numFmtId="1" fontId="0" fillId="24" borderId="62" xfId="0" applyNumberFormat="1" applyFill="1" applyBorder="1"/>
    <xf numFmtId="3" fontId="57" fillId="0" borderId="95" xfId="0" applyNumberFormat="1" applyFont="1" applyBorder="1"/>
    <xf numFmtId="3" fontId="65" fillId="0" borderId="20" xfId="0" applyNumberFormat="1" applyFont="1" applyBorder="1"/>
    <xf numFmtId="3" fontId="65" fillId="0" borderId="25" xfId="0" applyNumberFormat="1" applyFont="1" applyBorder="1"/>
    <xf numFmtId="1" fontId="0" fillId="0" borderId="15" xfId="0" applyNumberFormat="1" applyBorder="1"/>
    <xf numFmtId="1" fontId="0" fillId="0" borderId="11" xfId="0" applyNumberFormat="1" applyBorder="1" applyAlignment="1">
      <alignment horizontal="right"/>
    </xf>
    <xf numFmtId="1" fontId="0" fillId="0" borderId="15" xfId="0" applyNumberFormat="1" applyBorder="1" applyAlignment="1">
      <alignment horizontal="right"/>
    </xf>
    <xf numFmtId="0" fontId="8" fillId="0" borderId="21" xfId="0" applyFont="1" applyBorder="1" applyAlignment="1">
      <alignment horizontal="left" vertical="center"/>
    </xf>
    <xf numFmtId="3" fontId="37" fillId="0" borderId="36" xfId="0" applyNumberFormat="1" applyFont="1" applyBorder="1" applyAlignment="1">
      <alignment vertical="center"/>
    </xf>
    <xf numFmtId="3" fontId="37" fillId="0" borderId="46" xfId="0" applyNumberFormat="1" applyFont="1" applyBorder="1" applyAlignment="1">
      <alignment vertical="center"/>
    </xf>
    <xf numFmtId="3" fontId="37" fillId="0" borderId="95" xfId="0" applyNumberFormat="1" applyFont="1" applyBorder="1" applyAlignment="1">
      <alignment vertical="center"/>
    </xf>
    <xf numFmtId="3" fontId="33" fillId="0" borderId="92" xfId="0" applyNumberFormat="1" applyFont="1" applyBorder="1" applyAlignment="1">
      <alignment vertical="center"/>
    </xf>
    <xf numFmtId="3" fontId="37" fillId="0" borderId="92" xfId="0" applyNumberFormat="1" applyFont="1" applyBorder="1" applyAlignment="1">
      <alignment vertical="center"/>
    </xf>
    <xf numFmtId="3" fontId="37" fillId="0" borderId="47" xfId="0" applyNumberFormat="1" applyFont="1" applyBorder="1" applyAlignment="1">
      <alignment vertical="center"/>
    </xf>
    <xf numFmtId="3" fontId="33" fillId="0" borderId="47" xfId="0" applyNumberFormat="1" applyFont="1" applyBorder="1" applyAlignment="1">
      <alignment vertical="center"/>
    </xf>
    <xf numFmtId="3" fontId="37" fillId="0" borderId="15" xfId="0" applyNumberFormat="1" applyFont="1" applyBorder="1" applyAlignment="1">
      <alignment vertical="center"/>
    </xf>
    <xf numFmtId="3" fontId="37" fillId="0" borderId="90" xfId="0" applyNumberFormat="1" applyFont="1" applyBorder="1" applyAlignment="1">
      <alignment vertical="center"/>
    </xf>
    <xf numFmtId="0" fontId="8" fillId="0" borderId="65" xfId="0" applyFont="1" applyBorder="1" applyAlignment="1">
      <alignment horizontal="left" vertical="center"/>
    </xf>
    <xf numFmtId="0" fontId="8" fillId="24" borderId="46" xfId="0" applyFont="1" applyFill="1" applyBorder="1" applyAlignment="1">
      <alignment horizontal="left" vertical="center" wrapText="1"/>
    </xf>
    <xf numFmtId="0" fontId="8" fillId="0" borderId="34" xfId="0" applyFont="1" applyBorder="1" applyAlignment="1">
      <alignment vertical="center" wrapText="1"/>
    </xf>
    <xf numFmtId="3" fontId="0" fillId="0" borderId="59" xfId="0" applyNumberFormat="1" applyBorder="1"/>
    <xf numFmtId="3" fontId="0" fillId="0" borderId="60" xfId="0" applyNumberFormat="1" applyBorder="1"/>
    <xf numFmtId="3" fontId="0" fillId="0" borderId="83" xfId="0" applyNumberFormat="1" applyBorder="1"/>
    <xf numFmtId="165" fontId="0" fillId="0" borderId="59" xfId="0" applyNumberFormat="1" applyBorder="1"/>
    <xf numFmtId="165" fontId="0" fillId="0" borderId="60" xfId="0" applyNumberFormat="1" applyBorder="1"/>
    <xf numFmtId="165" fontId="0" fillId="0" borderId="58" xfId="0" applyNumberFormat="1" applyBorder="1"/>
    <xf numFmtId="3" fontId="57" fillId="24" borderId="90" xfId="0" applyNumberFormat="1" applyFont="1" applyFill="1" applyBorder="1"/>
    <xf numFmtId="0" fontId="57" fillId="24" borderId="26" xfId="0" applyFont="1" applyFill="1" applyBorder="1"/>
    <xf numFmtId="3" fontId="57" fillId="24" borderId="26" xfId="0" applyNumberFormat="1" applyFont="1" applyFill="1" applyBorder="1"/>
    <xf numFmtId="3" fontId="57" fillId="24" borderId="51" xfId="0" applyNumberFormat="1" applyFont="1" applyFill="1" applyBorder="1"/>
    <xf numFmtId="0" fontId="57" fillId="24" borderId="91" xfId="0" applyFont="1" applyFill="1" applyBorder="1"/>
    <xf numFmtId="3" fontId="57" fillId="24" borderId="91" xfId="0" applyNumberFormat="1" applyFont="1" applyFill="1" applyBorder="1"/>
    <xf numFmtId="3" fontId="57" fillId="24" borderId="62" xfId="0" applyNumberFormat="1" applyFont="1" applyFill="1" applyBorder="1"/>
    <xf numFmtId="3" fontId="57" fillId="24" borderId="46" xfId="0" applyNumberFormat="1" applyFont="1" applyFill="1" applyBorder="1"/>
    <xf numFmtId="165" fontId="57" fillId="24" borderId="90" xfId="0" applyNumberFormat="1" applyFont="1" applyFill="1" applyBorder="1"/>
    <xf numFmtId="165" fontId="57" fillId="24" borderId="36" xfId="0" applyNumberFormat="1" applyFont="1" applyFill="1" applyBorder="1"/>
    <xf numFmtId="0" fontId="8" fillId="24" borderId="46" xfId="0" applyFont="1" applyFill="1" applyBorder="1" applyAlignment="1">
      <alignment horizontal="left" vertical="center"/>
    </xf>
    <xf numFmtId="165" fontId="33" fillId="0" borderId="14" xfId="0" applyNumberFormat="1" applyFont="1" applyBorder="1" applyAlignment="1">
      <alignment horizontal="center" wrapText="1"/>
    </xf>
    <xf numFmtId="0" fontId="53" fillId="0" borderId="21" xfId="0" applyFont="1" applyBorder="1" applyAlignment="1">
      <alignment horizontal="center" wrapText="1"/>
    </xf>
    <xf numFmtId="0" fontId="33" fillId="0" borderId="16" xfId="0" applyFont="1" applyBorder="1" applyAlignment="1">
      <alignment horizontal="center" wrapText="1"/>
    </xf>
    <xf numFmtId="3" fontId="33" fillId="0" borderId="24" xfId="0" applyNumberFormat="1" applyFont="1" applyBorder="1" applyAlignment="1">
      <alignment horizontal="center" wrapText="1"/>
    </xf>
    <xf numFmtId="0" fontId="37" fillId="0" borderId="64" xfId="0" applyFont="1" applyBorder="1"/>
    <xf numFmtId="3" fontId="7" fillId="0" borderId="46" xfId="0" applyNumberFormat="1" applyFont="1" applyBorder="1" applyAlignment="1">
      <alignment horizontal="right" wrapText="1"/>
    </xf>
    <xf numFmtId="3" fontId="33" fillId="0" borderId="90" xfId="0" applyNumberFormat="1" applyFont="1" applyBorder="1" applyAlignment="1">
      <alignment horizontal="right" wrapText="1"/>
    </xf>
    <xf numFmtId="0" fontId="53" fillId="0" borderId="41" xfId="0" applyFont="1" applyBorder="1" applyAlignment="1">
      <alignment horizontal="center" wrapText="1"/>
    </xf>
    <xf numFmtId="0" fontId="33" fillId="0" borderId="26" xfId="0" applyFont="1" applyBorder="1" applyAlignment="1">
      <alignment horizontal="center" wrapText="1"/>
    </xf>
    <xf numFmtId="3" fontId="33" fillId="0" borderId="43" xfId="0" applyNumberFormat="1" applyFont="1" applyBorder="1" applyAlignment="1">
      <alignment horizontal="center" wrapText="1"/>
    </xf>
    <xf numFmtId="0" fontId="33" fillId="0" borderId="74" xfId="0" applyFont="1" applyBorder="1"/>
    <xf numFmtId="3" fontId="0" fillId="0" borderId="68" xfId="0" applyNumberFormat="1" applyBorder="1"/>
    <xf numFmtId="0" fontId="8" fillId="0" borderId="35" xfId="0" applyFont="1" applyBorder="1" applyAlignment="1">
      <alignment horizontal="left" vertical="center" wrapText="1"/>
    </xf>
    <xf numFmtId="0" fontId="57" fillId="0" borderId="91" xfId="0" applyFont="1" applyBorder="1"/>
    <xf numFmtId="0" fontId="0" fillId="0" borderId="96" xfId="0" applyBorder="1"/>
    <xf numFmtId="3" fontId="57" fillId="24" borderId="93" xfId="0" applyNumberFormat="1" applyFont="1" applyFill="1" applyBorder="1"/>
    <xf numFmtId="3" fontId="57" fillId="24" borderId="41" xfId="0" applyNumberFormat="1" applyFont="1" applyFill="1" applyBorder="1"/>
    <xf numFmtId="3" fontId="0" fillId="0" borderId="84" xfId="0" applyNumberFormat="1" applyBorder="1"/>
    <xf numFmtId="3" fontId="0" fillId="0" borderId="58" xfId="0" applyNumberFormat="1" applyBorder="1"/>
    <xf numFmtId="3" fontId="57" fillId="28" borderId="74" xfId="0" applyNumberFormat="1" applyFont="1" applyFill="1" applyBorder="1"/>
    <xf numFmtId="3" fontId="57" fillId="28" borderId="66" xfId="0" applyNumberFormat="1" applyFont="1" applyFill="1" applyBorder="1"/>
    <xf numFmtId="165" fontId="57" fillId="28" borderId="70" xfId="0" applyNumberFormat="1" applyFont="1" applyFill="1" applyBorder="1"/>
    <xf numFmtId="165" fontId="57" fillId="28" borderId="84" xfId="0" applyNumberFormat="1" applyFont="1" applyFill="1" applyBorder="1"/>
    <xf numFmtId="165" fontId="57" fillId="28" borderId="60" xfId="0" applyNumberFormat="1" applyFont="1" applyFill="1" applyBorder="1"/>
    <xf numFmtId="165" fontId="37" fillId="24" borderId="60" xfId="0" applyNumberFormat="1" applyFont="1" applyFill="1" applyBorder="1"/>
    <xf numFmtId="3" fontId="33" fillId="0" borderId="93" xfId="0" applyNumberFormat="1" applyFont="1" applyBorder="1" applyAlignment="1">
      <alignment vertical="center"/>
    </xf>
    <xf numFmtId="3" fontId="33" fillId="24" borderId="60" xfId="0" applyNumberFormat="1" applyFont="1" applyFill="1" applyBorder="1"/>
    <xf numFmtId="0" fontId="37" fillId="24" borderId="50" xfId="0" applyFont="1" applyFill="1" applyBorder="1" applyAlignment="1">
      <alignment vertical="center" wrapText="1"/>
    </xf>
    <xf numFmtId="165" fontId="57" fillId="24" borderId="92" xfId="0" applyNumberFormat="1" applyFont="1" applyFill="1" applyBorder="1"/>
    <xf numFmtId="165" fontId="57" fillId="24" borderId="35" xfId="0" applyNumberFormat="1" applyFont="1" applyFill="1" applyBorder="1"/>
    <xf numFmtId="164" fontId="65" fillId="0" borderId="90" xfId="82" applyNumberFormat="1" applyFont="1" applyBorder="1" applyAlignment="1">
      <alignment horizontal="right"/>
    </xf>
    <xf numFmtId="164" fontId="65" fillId="0" borderId="90" xfId="82" applyNumberFormat="1" applyFont="1" applyBorder="1"/>
    <xf numFmtId="0" fontId="65" fillId="0" borderId="14" xfId="82" applyFont="1" applyBorder="1" applyAlignment="1">
      <alignment horizontal="center" wrapText="1"/>
    </xf>
    <xf numFmtId="3" fontId="65" fillId="0" borderId="95" xfId="82" applyNumberFormat="1" applyFont="1" applyBorder="1" applyAlignment="1">
      <alignment horizontal="right"/>
    </xf>
    <xf numFmtId="164" fontId="65" fillId="0" borderId="95" xfId="82" applyNumberFormat="1" applyFont="1" applyBorder="1"/>
    <xf numFmtId="0" fontId="65" fillId="0" borderId="95" xfId="82" applyFont="1" applyBorder="1" applyAlignment="1">
      <alignment horizontal="center" wrapText="1"/>
    </xf>
    <xf numFmtId="165" fontId="33" fillId="0" borderId="63" xfId="0" applyNumberFormat="1" applyFont="1" applyBorder="1" applyAlignment="1">
      <alignment horizontal="right" vertical="center"/>
    </xf>
    <xf numFmtId="3" fontId="33" fillId="0" borderId="65" xfId="0" applyNumberFormat="1" applyFont="1" applyBorder="1" applyAlignment="1">
      <alignment vertical="center"/>
    </xf>
    <xf numFmtId="165" fontId="65" fillId="0" borderId="11" xfId="82" applyNumberFormat="1" applyFont="1" applyBorder="1" applyAlignment="1">
      <alignment horizontal="right"/>
    </xf>
    <xf numFmtId="165" fontId="65" fillId="41" borderId="90" xfId="82" applyNumberFormat="1" applyFont="1" applyFill="1" applyBorder="1"/>
    <xf numFmtId="165" fontId="65" fillId="41" borderId="11" xfId="82" applyNumberFormat="1" applyFont="1" applyFill="1" applyBorder="1"/>
    <xf numFmtId="164" fontId="7" fillId="41" borderId="90" xfId="82" applyNumberFormat="1" applyFont="1" applyFill="1" applyBorder="1" applyAlignment="1">
      <alignment horizontal="right"/>
    </xf>
    <xf numFmtId="3" fontId="65" fillId="41" borderId="11" xfId="82" applyNumberFormat="1" applyFont="1" applyFill="1" applyBorder="1" applyAlignment="1">
      <alignment horizontal="right"/>
    </xf>
    <xf numFmtId="0" fontId="65" fillId="41" borderId="90" xfId="82" applyFont="1" applyFill="1" applyBorder="1"/>
    <xf numFmtId="0" fontId="0" fillId="0" borderId="0" xfId="0" applyAlignment="1">
      <alignment wrapText="1"/>
    </xf>
    <xf numFmtId="0" fontId="70" fillId="0" borderId="0" xfId="82" quotePrefix="1" applyFont="1"/>
    <xf numFmtId="0" fontId="47" fillId="0" borderId="0" xfId="82" quotePrefix="1" applyFont="1"/>
    <xf numFmtId="0" fontId="65" fillId="24" borderId="0" xfId="82" applyFont="1" applyFill="1"/>
    <xf numFmtId="0" fontId="65" fillId="0" borderId="30" xfId="82" applyFont="1" applyBorder="1"/>
    <xf numFmtId="0" fontId="65" fillId="0" borderId="92" xfId="82" applyFont="1" applyBorder="1"/>
    <xf numFmtId="0" fontId="65" fillId="0" borderId="14" xfId="82" applyFont="1" applyBorder="1"/>
    <xf numFmtId="9" fontId="0" fillId="41" borderId="90" xfId="0" applyNumberFormat="1" applyFill="1" applyBorder="1"/>
    <xf numFmtId="9" fontId="0" fillId="0" borderId="0" xfId="0" applyNumberFormat="1"/>
    <xf numFmtId="9" fontId="0" fillId="0" borderId="94" xfId="0" applyNumberFormat="1" applyBorder="1"/>
    <xf numFmtId="0" fontId="65" fillId="0" borderId="0" xfId="82" quotePrefix="1" applyFont="1"/>
    <xf numFmtId="0" fontId="75" fillId="0" borderId="0" xfId="72" applyFont="1" applyAlignment="1" applyProtection="1"/>
    <xf numFmtId="164" fontId="0" fillId="0" borderId="0" xfId="0" applyNumberFormat="1"/>
    <xf numFmtId="0" fontId="65" fillId="0" borderId="0" xfId="82" applyFont="1" applyAlignment="1">
      <alignment horizontal="left"/>
    </xf>
    <xf numFmtId="0" fontId="75" fillId="25" borderId="0" xfId="72" applyFont="1" applyFill="1" applyAlignment="1" applyProtection="1"/>
    <xf numFmtId="0" fontId="81" fillId="0" borderId="0" xfId="0" applyFont="1"/>
    <xf numFmtId="0" fontId="70" fillId="0" borderId="12" xfId="82" applyFont="1" applyBorder="1"/>
    <xf numFmtId="0" fontId="65" fillId="0" borderId="26" xfId="82" applyFont="1" applyBorder="1" applyAlignment="1">
      <alignment horizontal="center" wrapText="1"/>
    </xf>
    <xf numFmtId="0" fontId="65" fillId="0" borderId="43" xfId="82" applyFont="1" applyBorder="1" applyAlignment="1">
      <alignment horizontal="center" wrapText="1"/>
    </xf>
    <xf numFmtId="0" fontId="65" fillId="0" borderId="12" xfId="82" applyFont="1" applyBorder="1"/>
    <xf numFmtId="0" fontId="65" fillId="0" borderId="17" xfId="82" applyFont="1" applyBorder="1"/>
    <xf numFmtId="3" fontId="65" fillId="0" borderId="11" xfId="82" applyNumberFormat="1" applyFont="1" applyBorder="1"/>
    <xf numFmtId="3" fontId="65" fillId="41" borderId="91" xfId="82" applyNumberFormat="1" applyFont="1" applyFill="1" applyBorder="1"/>
    <xf numFmtId="164" fontId="65" fillId="25" borderId="0" xfId="82" applyNumberFormat="1" applyFont="1" applyFill="1"/>
    <xf numFmtId="3" fontId="65" fillId="0" borderId="0" xfId="82" applyNumberFormat="1" applyFont="1" applyAlignment="1">
      <alignment horizontal="right"/>
    </xf>
    <xf numFmtId="165" fontId="65" fillId="0" borderId="0" xfId="82" applyNumberFormat="1" applyFont="1"/>
    <xf numFmtId="0" fontId="47" fillId="0" borderId="0" xfId="82" quotePrefix="1" applyFont="1" applyAlignment="1">
      <alignment vertical="top"/>
    </xf>
    <xf numFmtId="165" fontId="65" fillId="0" borderId="14" xfId="82" applyNumberFormat="1" applyFont="1" applyBorder="1" applyAlignment="1">
      <alignment horizontal="right"/>
    </xf>
    <xf numFmtId="165" fontId="65" fillId="0" borderId="0" xfId="82" applyNumberFormat="1" applyFont="1" applyAlignment="1">
      <alignment horizontal="right"/>
    </xf>
    <xf numFmtId="3" fontId="65" fillId="0" borderId="95" xfId="82" applyNumberFormat="1" applyFont="1" applyBorder="1" applyAlignment="1">
      <alignment horizontal="center" wrapText="1"/>
    </xf>
    <xf numFmtId="3" fontId="65" fillId="0" borderId="14" xfId="82" applyNumberFormat="1" applyFont="1" applyBorder="1"/>
    <xf numFmtId="0" fontId="65" fillId="25" borderId="0" xfId="82" applyFont="1" applyFill="1" applyAlignment="1">
      <alignment horizontal="left"/>
    </xf>
    <xf numFmtId="0" fontId="65" fillId="0" borderId="42" xfId="0" applyFont="1" applyBorder="1" applyAlignment="1">
      <alignment vertical="center"/>
    </xf>
    <xf numFmtId="0" fontId="32" fillId="0" borderId="0" xfId="72" applyAlignment="1" applyProtection="1"/>
    <xf numFmtId="169" fontId="65" fillId="0" borderId="90" xfId="82" applyNumberFormat="1" applyFont="1"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77" fillId="0" borderId="91" xfId="0" applyFont="1" applyBorder="1" applyAlignment="1">
      <alignment vertical="center" wrapText="1"/>
    </xf>
    <xf numFmtId="0" fontId="0" fillId="0" borderId="93" xfId="0" applyBorder="1" applyAlignment="1">
      <alignment vertical="center" wrapText="1"/>
    </xf>
    <xf numFmtId="0" fontId="0" fillId="0" borderId="92" xfId="0" applyBorder="1" applyAlignment="1">
      <alignment vertical="center" wrapText="1"/>
    </xf>
    <xf numFmtId="0" fontId="75" fillId="0" borderId="12" xfId="72" applyFont="1" applyBorder="1" applyAlignment="1" applyProtection="1">
      <alignment wrapText="1"/>
    </xf>
    <xf numFmtId="0" fontId="31" fillId="0" borderId="30" xfId="0" applyFont="1" applyBorder="1" applyAlignment="1">
      <alignment wrapText="1"/>
    </xf>
    <xf numFmtId="0" fontId="65" fillId="0" borderId="12" xfId="72" applyFont="1" applyFill="1" applyBorder="1" applyAlignment="1" applyProtection="1">
      <alignment vertical="top" wrapText="1"/>
    </xf>
    <xf numFmtId="0" fontId="31" fillId="0" borderId="30" xfId="0" applyFont="1" applyBorder="1" applyAlignment="1">
      <alignment vertical="top" wrapText="1"/>
    </xf>
    <xf numFmtId="0" fontId="31" fillId="0" borderId="17" xfId="0" applyFont="1" applyBorder="1" applyAlignment="1">
      <alignment vertical="top" wrapText="1"/>
    </xf>
    <xf numFmtId="0" fontId="0" fillId="0" borderId="91" xfId="0" applyBorder="1" applyAlignment="1">
      <alignment horizontal="left" vertical="center" wrapText="1"/>
    </xf>
    <xf numFmtId="0" fontId="74" fillId="0" borderId="91" xfId="0" applyFont="1" applyBorder="1" applyAlignment="1">
      <alignment vertical="center" wrapText="1"/>
    </xf>
    <xf numFmtId="0" fontId="2" fillId="0" borderId="0" xfId="82" applyAlignment="1">
      <alignment vertical="top" wrapText="1"/>
    </xf>
    <xf numFmtId="0" fontId="0" fillId="0" borderId="0" xfId="0" applyAlignment="1">
      <alignment wrapText="1"/>
    </xf>
    <xf numFmtId="0" fontId="65" fillId="0" borderId="12" xfId="82" applyFont="1" applyBorder="1" applyAlignment="1">
      <alignment vertical="top" wrapText="1"/>
    </xf>
    <xf numFmtId="0" fontId="0" fillId="0" borderId="30" xfId="0" applyBorder="1" applyAlignment="1">
      <alignment wrapText="1"/>
    </xf>
    <xf numFmtId="0" fontId="0" fillId="0" borderId="17" xfId="0" applyBorder="1" applyAlignment="1">
      <alignment wrapText="1"/>
    </xf>
    <xf numFmtId="0" fontId="65" fillId="0" borderId="95" xfId="82" quotePrefix="1" applyFont="1" applyBorder="1" applyAlignment="1">
      <alignment wrapText="1"/>
    </xf>
    <xf numFmtId="0" fontId="0" fillId="0" borderId="95" xfId="0" applyBorder="1" applyAlignment="1">
      <alignment wrapText="1"/>
    </xf>
    <xf numFmtId="0" fontId="81" fillId="0" borderId="0" xfId="0" applyFont="1" applyAlignment="1">
      <alignment wrapText="1"/>
    </xf>
    <xf numFmtId="0" fontId="65" fillId="0" borderId="0" xfId="82" applyFont="1" applyAlignment="1">
      <alignment wrapText="1"/>
    </xf>
    <xf numFmtId="0" fontId="33" fillId="0" borderId="0" xfId="0" applyFont="1" applyAlignment="1">
      <alignment wrapText="1"/>
    </xf>
    <xf numFmtId="0" fontId="78" fillId="0" borderId="0" xfId="0" applyFont="1" applyAlignment="1">
      <alignment vertical="center"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3" xfId="0" applyFont="1" applyFill="1" applyBorder="1" applyAlignment="1">
      <alignment horizontal="center"/>
    </xf>
    <xf numFmtId="0" fontId="0" fillId="0" borderId="72"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579120</xdr:colOff>
          <xdr:row>58</xdr:row>
          <xdr:rowOff>7620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379211</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journals.sagepub.com/doi/10.1046/j.1468-2982.2003.00568.x" TargetMode="External"/><Relationship Id="rId5" Type="http://schemas.openxmlformats.org/officeDocument/2006/relationships/hyperlink" Target="https://journals.sagepub.com/doi/10.1046/j.1468-2982.2003.00568.x"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ncbi.nlm.nih.gov/pmc/articles/PMC7682830/" TargetMode="External"/><Relationship Id="rId2" Type="http://schemas.openxmlformats.org/officeDocument/2006/relationships/hyperlink" Target="https://www.ncbi.nlm.nih.gov/pmc/articles/PMC6234796/" TargetMode="External"/><Relationship Id="rId1" Type="http://schemas.openxmlformats.org/officeDocument/2006/relationships/hyperlink" Target="https://www.medicinescomplete.com/"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nice.org.uk/guidance/ta871/evidence/committee-papers-pdf-1137632684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8" zoomScale="80" zoomScaleNormal="80" workbookViewId="0">
      <selection activeCell="N14" sqref="N14"/>
    </sheetView>
  </sheetViews>
  <sheetFormatPr defaultRowHeight="14.4" x14ac:dyDescent="0.3"/>
  <sheetData/>
  <sheetProtection algorithmName="SHA-512" hashValue="D9HKTKvKCYU/o+NwgdaSzoAQt9S/8e3MhLx4BaOHQTGKGFWkA0VAlPxXtODW52qnu5uXArn50FQbH7CO7Ue+Aw==" saltValue="Q+dV4d/itQxY9cKJrmYIh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579120</xdr:colOff>
                <xdr:row>58</xdr:row>
                <xdr:rowOff>7620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09375" defaultRowHeight="15" x14ac:dyDescent="0.25"/>
  <cols>
    <col min="1" max="1" width="10.88671875" style="247" customWidth="1"/>
    <col min="2" max="3" width="10.88671875" style="358" customWidth="1"/>
    <col min="4" max="6" width="10.88671875" style="245" customWidth="1"/>
    <col min="7" max="12" width="10.88671875" style="247" customWidth="1"/>
    <col min="13" max="17" width="8.109375" style="247" customWidth="1"/>
    <col min="18" max="18" width="11.5546875" style="247" customWidth="1"/>
    <col min="19" max="16384" width="9.109375" style="247"/>
  </cols>
  <sheetData>
    <row r="1" spans="1:18" s="359" customFormat="1" ht="30" customHeight="1" thickBot="1" x14ac:dyDescent="0.35">
      <c r="A1" s="360" t="s">
        <v>530</v>
      </c>
      <c r="B1" s="361"/>
      <c r="C1" s="361"/>
      <c r="D1" s="361"/>
      <c r="E1" s="361"/>
      <c r="F1" s="361"/>
      <c r="G1" s="361"/>
      <c r="H1" s="361"/>
      <c r="I1" s="361"/>
      <c r="J1" s="361"/>
      <c r="K1" s="361"/>
      <c r="L1" s="361"/>
      <c r="M1" s="364" t="s">
        <v>545</v>
      </c>
      <c r="N1" s="365"/>
      <c r="O1" s="365"/>
      <c r="P1" s="365"/>
      <c r="Q1" s="365"/>
      <c r="R1" s="366"/>
    </row>
    <row r="2" spans="1:18" ht="15.75" customHeight="1" x14ac:dyDescent="0.25">
      <c r="A2" s="250"/>
      <c r="B2" s="244"/>
      <c r="C2" s="243"/>
      <c r="D2" s="243"/>
      <c r="E2" s="243"/>
      <c r="F2" s="246"/>
      <c r="G2" s="246"/>
      <c r="H2" s="246"/>
      <c r="I2" s="246"/>
      <c r="J2" s="246"/>
      <c r="K2" s="246"/>
      <c r="L2" s="246"/>
      <c r="M2" s="246"/>
      <c r="N2" s="246"/>
      <c r="O2" s="246"/>
      <c r="P2" s="246"/>
      <c r="Q2" s="246"/>
      <c r="R2" s="246"/>
    </row>
    <row r="3" spans="1:18" x14ac:dyDescent="0.25">
      <c r="A3" s="252">
        <v>1200</v>
      </c>
      <c r="B3" s="252" t="s">
        <v>531</v>
      </c>
      <c r="C3" s="243"/>
      <c r="D3" s="243"/>
      <c r="E3" s="243"/>
      <c r="F3" s="246"/>
      <c r="G3" s="246"/>
      <c r="H3" s="246"/>
      <c r="I3" s="246"/>
      <c r="J3" s="246"/>
      <c r="K3" s="246"/>
      <c r="L3" s="246"/>
      <c r="M3" s="246"/>
      <c r="N3" s="246"/>
      <c r="O3" s="246"/>
      <c r="P3" s="246"/>
      <c r="Q3" s="246"/>
      <c r="R3" s="246"/>
    </row>
    <row r="4" spans="1:18" x14ac:dyDescent="0.25">
      <c r="A4" s="252" t="s">
        <v>543</v>
      </c>
      <c r="B4" s="244"/>
      <c r="C4" s="243"/>
      <c r="D4" s="243"/>
      <c r="E4" s="243"/>
      <c r="F4" s="246"/>
      <c r="G4" s="246"/>
      <c r="H4" s="246"/>
      <c r="I4" s="246"/>
      <c r="J4" s="246"/>
      <c r="K4" s="246"/>
      <c r="L4" s="246"/>
      <c r="M4" s="246"/>
      <c r="N4" s="246"/>
      <c r="O4" s="246"/>
      <c r="P4" s="246"/>
      <c r="Q4" s="246"/>
      <c r="R4" s="246"/>
    </row>
    <row r="5" spans="1:18" x14ac:dyDescent="0.25">
      <c r="A5" s="252" t="s">
        <v>544</v>
      </c>
      <c r="B5" s="244"/>
      <c r="C5" s="243"/>
      <c r="D5" s="243"/>
      <c r="E5" s="243"/>
      <c r="F5" s="246"/>
      <c r="G5" s="246"/>
      <c r="H5" s="246"/>
      <c r="I5" s="246"/>
      <c r="J5" s="246"/>
      <c r="K5" s="246"/>
      <c r="L5" s="246"/>
      <c r="M5" s="246"/>
      <c r="N5" s="246"/>
      <c r="O5" s="246"/>
      <c r="P5" s="246"/>
      <c r="Q5" s="246"/>
      <c r="R5" s="246"/>
    </row>
    <row r="6" spans="1:18" x14ac:dyDescent="0.25">
      <c r="A6" s="250" t="s">
        <v>534</v>
      </c>
      <c r="B6" s="244"/>
      <c r="C6" s="243"/>
      <c r="D6" s="243"/>
      <c r="E6" s="243"/>
      <c r="F6" s="246"/>
      <c r="G6" s="246"/>
      <c r="H6" s="246"/>
      <c r="I6" s="246"/>
      <c r="J6" s="246"/>
      <c r="K6" s="246"/>
      <c r="L6" s="246"/>
      <c r="M6" s="246"/>
      <c r="N6" s="246"/>
      <c r="O6" s="246"/>
      <c r="P6" s="246"/>
      <c r="Q6" s="246"/>
      <c r="R6" s="246"/>
    </row>
    <row r="7" spans="1:18" ht="15.6" thickBot="1" x14ac:dyDescent="0.3">
      <c r="A7" s="243"/>
      <c r="B7" s="243"/>
      <c r="C7" s="243"/>
      <c r="D7" s="243"/>
      <c r="E7" s="243"/>
      <c r="F7" s="246"/>
      <c r="G7" s="246"/>
      <c r="H7" s="246"/>
      <c r="I7" s="246"/>
      <c r="J7" s="246"/>
      <c r="K7" s="246"/>
      <c r="L7" s="246"/>
      <c r="M7" s="246"/>
      <c r="N7" s="246"/>
      <c r="O7" s="246"/>
      <c r="P7" s="246"/>
      <c r="Q7" s="246"/>
      <c r="R7" s="246"/>
    </row>
    <row r="8" spans="1:18" ht="15.6" x14ac:dyDescent="0.3">
      <c r="A8" s="945" t="s">
        <v>535</v>
      </c>
      <c r="B8" s="946"/>
      <c r="C8" s="946"/>
      <c r="D8" s="946"/>
      <c r="E8" s="946"/>
      <c r="F8" s="946"/>
      <c r="G8" s="946"/>
      <c r="H8" s="946"/>
      <c r="I8" s="946"/>
      <c r="J8" s="946"/>
      <c r="K8" s="946"/>
      <c r="L8" s="947"/>
      <c r="M8" s="246"/>
      <c r="N8" s="246"/>
      <c r="O8" s="246"/>
      <c r="P8" s="246"/>
      <c r="Q8" s="246"/>
      <c r="R8" s="246"/>
    </row>
    <row r="9" spans="1:18" s="262" customFormat="1" ht="62.1" customHeight="1" thickBot="1" x14ac:dyDescent="0.3">
      <c r="A9" s="257">
        <v>1</v>
      </c>
      <c r="B9" s="258">
        <v>2</v>
      </c>
      <c r="C9" s="259">
        <v>3</v>
      </c>
      <c r="D9" s="258">
        <v>4</v>
      </c>
      <c r="E9" s="258">
        <v>5</v>
      </c>
      <c r="F9" s="259">
        <v>6</v>
      </c>
      <c r="G9" s="258">
        <v>7</v>
      </c>
      <c r="H9" s="258">
        <v>8</v>
      </c>
      <c r="I9" s="259">
        <v>9</v>
      </c>
      <c r="J9" s="258">
        <v>10</v>
      </c>
      <c r="K9" s="258">
        <v>11</v>
      </c>
      <c r="L9" s="260">
        <v>12</v>
      </c>
      <c r="M9" s="246"/>
      <c r="N9" s="246"/>
      <c r="O9" s="246"/>
      <c r="P9" s="246"/>
      <c r="Q9" s="246"/>
      <c r="R9" s="246"/>
    </row>
    <row r="10" spans="1:18" s="262" customFormat="1" ht="28.35" customHeight="1" x14ac:dyDescent="0.25">
      <c r="A10" s="337"/>
      <c r="B10" s="269"/>
      <c r="C10" s="338"/>
      <c r="D10" s="337"/>
      <c r="E10" s="269"/>
      <c r="F10" s="338"/>
      <c r="G10" s="337"/>
      <c r="H10" s="269"/>
      <c r="I10" s="338"/>
      <c r="J10" s="337"/>
      <c r="K10" s="269"/>
      <c r="L10" s="339">
        <v>90</v>
      </c>
      <c r="M10" s="246"/>
      <c r="N10" s="246"/>
      <c r="O10" s="246"/>
      <c r="P10" s="246"/>
      <c r="Q10" s="246"/>
      <c r="R10" s="246"/>
    </row>
    <row r="11" spans="1:18" s="16" customFormat="1" ht="25.35" customHeight="1" x14ac:dyDescent="0.25">
      <c r="A11" s="264"/>
      <c r="B11" s="264"/>
      <c r="C11" s="264"/>
      <c r="D11" s="265"/>
      <c r="E11" s="265"/>
      <c r="F11" s="265"/>
      <c r="G11" s="264"/>
      <c r="H11" s="264"/>
      <c r="I11" s="264"/>
      <c r="J11" s="265"/>
      <c r="K11" s="340">
        <v>90</v>
      </c>
      <c r="L11" s="340">
        <v>90</v>
      </c>
      <c r="M11" s="246"/>
      <c r="N11" s="246"/>
      <c r="O11" s="246"/>
      <c r="P11" s="246"/>
      <c r="Q11" s="246"/>
      <c r="R11" s="246"/>
    </row>
    <row r="12" spans="1:18" s="16" customFormat="1" ht="25.35" customHeight="1" x14ac:dyDescent="0.25">
      <c r="A12" s="264"/>
      <c r="B12" s="264"/>
      <c r="C12" s="264"/>
      <c r="D12" s="265"/>
      <c r="E12" s="265"/>
      <c r="F12" s="265"/>
      <c r="G12" s="264"/>
      <c r="H12" s="264"/>
      <c r="I12" s="264"/>
      <c r="J12" s="340">
        <v>90</v>
      </c>
      <c r="K12" s="340">
        <v>90</v>
      </c>
      <c r="L12" s="340">
        <v>90</v>
      </c>
      <c r="M12" s="246"/>
      <c r="N12" s="246"/>
      <c r="O12" s="246"/>
      <c r="P12" s="246"/>
      <c r="Q12" s="246"/>
      <c r="R12" s="246"/>
    </row>
    <row r="13" spans="1:18" s="16" customFormat="1" ht="25.35" customHeight="1" x14ac:dyDescent="0.25">
      <c r="A13" s="264"/>
      <c r="B13" s="264"/>
      <c r="C13" s="264"/>
      <c r="D13" s="265"/>
      <c r="E13" s="265"/>
      <c r="F13" s="265"/>
      <c r="G13" s="264"/>
      <c r="H13" s="264"/>
      <c r="I13" s="340">
        <v>90</v>
      </c>
      <c r="J13" s="340">
        <v>90</v>
      </c>
      <c r="K13" s="340">
        <v>90</v>
      </c>
      <c r="L13" s="340">
        <v>90</v>
      </c>
      <c r="M13" s="246"/>
      <c r="N13" s="246"/>
      <c r="O13" s="246"/>
      <c r="P13" s="246"/>
      <c r="Q13" s="246"/>
      <c r="R13" s="246"/>
    </row>
    <row r="14" spans="1:18" s="16" customFormat="1" ht="25.35" customHeight="1" x14ac:dyDescent="0.25">
      <c r="A14" s="285"/>
      <c r="B14" s="285"/>
      <c r="C14" s="285"/>
      <c r="D14" s="341"/>
      <c r="E14" s="341"/>
      <c r="F14" s="341"/>
      <c r="G14" s="285"/>
      <c r="H14" s="340">
        <v>90</v>
      </c>
      <c r="I14" s="340">
        <v>90</v>
      </c>
      <c r="J14" s="340">
        <v>90</v>
      </c>
      <c r="K14" s="340">
        <v>90</v>
      </c>
      <c r="L14" s="340">
        <v>90</v>
      </c>
      <c r="M14" s="246"/>
      <c r="N14" s="246"/>
      <c r="O14" s="246"/>
      <c r="P14" s="246"/>
      <c r="Q14" s="246"/>
      <c r="R14" s="246"/>
    </row>
    <row r="15" spans="1:18" s="16" customFormat="1" ht="25.35" customHeight="1" x14ac:dyDescent="0.25">
      <c r="A15" s="292"/>
      <c r="B15" s="293"/>
      <c r="C15" s="294"/>
      <c r="D15" s="342"/>
      <c r="E15" s="293"/>
      <c r="F15" s="294"/>
      <c r="G15" s="340">
        <v>90</v>
      </c>
      <c r="H15" s="340">
        <v>90</v>
      </c>
      <c r="I15" s="340">
        <v>90</v>
      </c>
      <c r="J15" s="340">
        <v>90</v>
      </c>
      <c r="K15" s="340">
        <v>90</v>
      </c>
      <c r="L15" s="340">
        <v>90</v>
      </c>
      <c r="M15" s="246"/>
      <c r="N15" s="246"/>
      <c r="O15" s="246"/>
      <c r="P15" s="246"/>
      <c r="Q15" s="246"/>
      <c r="R15" s="246"/>
    </row>
    <row r="16" spans="1:18" s="16" customFormat="1" ht="25.35" customHeight="1" x14ac:dyDescent="0.25">
      <c r="A16" s="264"/>
      <c r="B16" s="264"/>
      <c r="C16" s="264"/>
      <c r="D16" s="265"/>
      <c r="E16" s="265"/>
      <c r="F16" s="340">
        <v>90</v>
      </c>
      <c r="G16" s="340">
        <v>90</v>
      </c>
      <c r="H16" s="340">
        <v>90</v>
      </c>
      <c r="I16" s="340">
        <v>90</v>
      </c>
      <c r="J16" s="340">
        <v>90</v>
      </c>
      <c r="K16" s="340">
        <v>90</v>
      </c>
      <c r="L16" s="340">
        <v>90</v>
      </c>
      <c r="M16" s="246"/>
      <c r="N16" s="246"/>
      <c r="O16" s="246"/>
      <c r="P16" s="246"/>
      <c r="Q16" s="246"/>
      <c r="R16" s="246"/>
    </row>
    <row r="17" spans="1:18" s="16" customFormat="1" ht="25.35" customHeight="1" x14ac:dyDescent="0.25">
      <c r="A17" s="264"/>
      <c r="B17" s="264"/>
      <c r="C17" s="264"/>
      <c r="D17" s="265"/>
      <c r="E17" s="340">
        <v>90</v>
      </c>
      <c r="F17" s="340">
        <v>90</v>
      </c>
      <c r="G17" s="340">
        <v>90</v>
      </c>
      <c r="H17" s="340">
        <v>90</v>
      </c>
      <c r="I17" s="340">
        <v>90</v>
      </c>
      <c r="J17" s="340">
        <v>90</v>
      </c>
      <c r="K17" s="340">
        <v>90</v>
      </c>
      <c r="L17" s="340">
        <v>90</v>
      </c>
      <c r="M17" s="246"/>
      <c r="N17" s="246"/>
      <c r="O17" s="246"/>
      <c r="P17" s="246"/>
      <c r="Q17" s="246"/>
      <c r="R17" s="246"/>
    </row>
    <row r="18" spans="1:18" s="16" customFormat="1" ht="25.35" customHeight="1" x14ac:dyDescent="0.25">
      <c r="A18" s="264"/>
      <c r="B18" s="264"/>
      <c r="C18" s="264"/>
      <c r="D18" s="340">
        <v>90</v>
      </c>
      <c r="E18" s="340">
        <v>90</v>
      </c>
      <c r="F18" s="340">
        <v>90</v>
      </c>
      <c r="G18" s="340">
        <v>90</v>
      </c>
      <c r="H18" s="340">
        <v>90</v>
      </c>
      <c r="I18" s="340">
        <v>90</v>
      </c>
      <c r="J18" s="340">
        <v>90</v>
      </c>
      <c r="K18" s="340">
        <v>90</v>
      </c>
      <c r="L18" s="340">
        <v>90</v>
      </c>
      <c r="M18" s="246"/>
      <c r="N18" s="246"/>
      <c r="O18" s="246"/>
      <c r="P18" s="246"/>
      <c r="Q18" s="246"/>
      <c r="R18" s="246"/>
    </row>
    <row r="19" spans="1:18" s="16" customFormat="1" ht="25.35" customHeight="1" x14ac:dyDescent="0.25">
      <c r="A19" s="264"/>
      <c r="B19" s="264"/>
      <c r="C19" s="340">
        <v>90</v>
      </c>
      <c r="D19" s="340">
        <v>90</v>
      </c>
      <c r="E19" s="340">
        <v>90</v>
      </c>
      <c r="F19" s="340">
        <v>90</v>
      </c>
      <c r="G19" s="340">
        <v>90</v>
      </c>
      <c r="H19" s="340">
        <v>90</v>
      </c>
      <c r="I19" s="340">
        <v>90</v>
      </c>
      <c r="J19" s="340">
        <v>90</v>
      </c>
      <c r="K19" s="340">
        <v>90</v>
      </c>
      <c r="L19" s="340">
        <v>90</v>
      </c>
      <c r="M19" s="246"/>
      <c r="N19" s="246"/>
      <c r="O19" s="246"/>
      <c r="P19" s="246"/>
      <c r="Q19" s="246"/>
      <c r="R19" s="246"/>
    </row>
    <row r="20" spans="1:18" s="262" customFormat="1" ht="25.35" customHeight="1" x14ac:dyDescent="0.25">
      <c r="A20" s="264"/>
      <c r="B20" s="340">
        <v>90</v>
      </c>
      <c r="C20" s="340">
        <v>90</v>
      </c>
      <c r="D20" s="340">
        <v>90</v>
      </c>
      <c r="E20" s="340">
        <v>90</v>
      </c>
      <c r="F20" s="340">
        <v>90</v>
      </c>
      <c r="G20" s="340">
        <v>90</v>
      </c>
      <c r="H20" s="340">
        <v>90</v>
      </c>
      <c r="I20" s="340">
        <v>90</v>
      </c>
      <c r="J20" s="340">
        <v>90</v>
      </c>
      <c r="K20" s="340">
        <v>90</v>
      </c>
      <c r="L20" s="340">
        <v>90</v>
      </c>
      <c r="M20" s="246"/>
      <c r="N20" s="246"/>
      <c r="O20" s="246"/>
      <c r="P20" s="246"/>
      <c r="Q20" s="246"/>
      <c r="R20" s="246"/>
    </row>
    <row r="21" spans="1:18" s="343" customFormat="1" ht="25.35" customHeight="1" x14ac:dyDescent="0.25">
      <c r="A21" s="340">
        <v>90</v>
      </c>
      <c r="B21" s="340">
        <v>90</v>
      </c>
      <c r="C21" s="340">
        <v>90</v>
      </c>
      <c r="D21" s="340">
        <v>90</v>
      </c>
      <c r="E21" s="340">
        <v>90</v>
      </c>
      <c r="F21" s="340">
        <v>90</v>
      </c>
      <c r="G21" s="340">
        <v>90</v>
      </c>
      <c r="H21" s="340">
        <v>90</v>
      </c>
      <c r="I21" s="340">
        <v>90</v>
      </c>
      <c r="J21" s="340">
        <v>90</v>
      </c>
      <c r="K21" s="340">
        <v>90</v>
      </c>
      <c r="L21" s="340">
        <v>90</v>
      </c>
      <c r="M21" s="246"/>
      <c r="N21" s="246"/>
      <c r="O21" s="246"/>
      <c r="P21" s="246"/>
      <c r="Q21" s="246"/>
      <c r="R21" s="246"/>
    </row>
    <row r="22" spans="1:18" s="16" customFormat="1" ht="30" customHeight="1" x14ac:dyDescent="0.25">
      <c r="A22" s="344">
        <f>SUM(A10:A21)</f>
        <v>90</v>
      </c>
      <c r="B22" s="344">
        <f t="shared" ref="B22:L22" si="0">SUM(B10:B21)</f>
        <v>180</v>
      </c>
      <c r="C22" s="344">
        <f t="shared" si="0"/>
        <v>270</v>
      </c>
      <c r="D22" s="344">
        <f t="shared" si="0"/>
        <v>360</v>
      </c>
      <c r="E22" s="344">
        <f t="shared" si="0"/>
        <v>450</v>
      </c>
      <c r="F22" s="344">
        <f t="shared" si="0"/>
        <v>540</v>
      </c>
      <c r="G22" s="344">
        <f t="shared" si="0"/>
        <v>630</v>
      </c>
      <c r="H22" s="344">
        <f t="shared" si="0"/>
        <v>720</v>
      </c>
      <c r="I22" s="344">
        <f t="shared" si="0"/>
        <v>810</v>
      </c>
      <c r="J22" s="344">
        <f t="shared" si="0"/>
        <v>900</v>
      </c>
      <c r="K22" s="344">
        <f t="shared" si="0"/>
        <v>990</v>
      </c>
      <c r="L22" s="344">
        <f t="shared" si="0"/>
        <v>1080</v>
      </c>
      <c r="M22" s="345" t="s">
        <v>536</v>
      </c>
      <c r="N22" s="12"/>
      <c r="O22" s="12"/>
      <c r="P22" s="12"/>
      <c r="Q22" s="12"/>
      <c r="R22" s="12"/>
    </row>
    <row r="23" spans="1:18" s="16" customFormat="1" ht="30" customHeight="1" x14ac:dyDescent="0.25">
      <c r="A23" s="344"/>
      <c r="B23" s="344"/>
      <c r="C23" s="344"/>
      <c r="D23" s="344"/>
      <c r="E23" s="344"/>
      <c r="F23" s="344"/>
      <c r="G23" s="344"/>
      <c r="H23" s="344"/>
      <c r="I23" s="344"/>
      <c r="J23" s="344"/>
      <c r="K23" s="344"/>
      <c r="L23" s="346" t="s">
        <v>537</v>
      </c>
      <c r="M23" s="345"/>
      <c r="N23" s="12"/>
      <c r="O23" s="12"/>
      <c r="P23" s="12"/>
      <c r="Q23" s="12"/>
      <c r="R23" s="12"/>
    </row>
    <row r="24" spans="1:18" ht="30" customHeight="1" x14ac:dyDescent="0.25">
      <c r="A24" s="347">
        <f>A22/$A$3</f>
        <v>7.4999999999999997E-2</v>
      </c>
      <c r="B24" s="347">
        <f t="shared" ref="B24:L24" si="1">B22/$A$3</f>
        <v>0.15</v>
      </c>
      <c r="C24" s="347">
        <f t="shared" si="1"/>
        <v>0.22500000000000001</v>
      </c>
      <c r="D24" s="347">
        <f t="shared" si="1"/>
        <v>0.3</v>
      </c>
      <c r="E24" s="347">
        <f t="shared" si="1"/>
        <v>0.375</v>
      </c>
      <c r="F24" s="347">
        <f t="shared" si="1"/>
        <v>0.45</v>
      </c>
      <c r="G24" s="347">
        <f t="shared" si="1"/>
        <v>0.52500000000000002</v>
      </c>
      <c r="H24" s="347">
        <f t="shared" si="1"/>
        <v>0.6</v>
      </c>
      <c r="I24" s="347">
        <f t="shared" si="1"/>
        <v>0.67500000000000004</v>
      </c>
      <c r="J24" s="347">
        <f t="shared" si="1"/>
        <v>0.75</v>
      </c>
      <c r="K24" s="347">
        <f t="shared" si="1"/>
        <v>0.82499999999999996</v>
      </c>
      <c r="L24" s="347">
        <f t="shared" si="1"/>
        <v>0.9</v>
      </c>
      <c r="M24" s="348" t="s">
        <v>538</v>
      </c>
      <c r="N24" s="246"/>
      <c r="O24" s="246"/>
      <c r="P24" s="246"/>
      <c r="Q24" s="246"/>
      <c r="R24" s="246"/>
    </row>
    <row r="25" spans="1:18" ht="30" customHeight="1" x14ac:dyDescent="0.25">
      <c r="A25" s="12"/>
      <c r="B25" s="344"/>
      <c r="C25" s="344"/>
      <c r="D25" s="350"/>
      <c r="E25" s="350"/>
      <c r="F25" s="350"/>
      <c r="G25" s="12"/>
      <c r="H25" s="12"/>
      <c r="I25" s="12"/>
      <c r="J25" s="12"/>
      <c r="K25" s="12"/>
      <c r="L25" s="351">
        <f>SUM(A24:L24)</f>
        <v>5.8500000000000005</v>
      </c>
      <c r="M25" s="246"/>
      <c r="N25" s="246"/>
      <c r="O25" s="246"/>
      <c r="P25" s="246"/>
      <c r="Q25" s="246"/>
      <c r="R25" s="246"/>
    </row>
    <row r="26" spans="1:18" ht="30" customHeight="1" x14ac:dyDescent="0.25">
      <c r="A26" s="12"/>
      <c r="B26" s="344"/>
      <c r="C26" s="344"/>
      <c r="D26" s="350"/>
      <c r="E26" s="350"/>
      <c r="F26" s="350"/>
      <c r="G26" s="12"/>
      <c r="H26" s="12"/>
      <c r="I26" s="12"/>
      <c r="J26" s="12"/>
      <c r="K26" s="12"/>
      <c r="L26" s="256" t="s">
        <v>539</v>
      </c>
      <c r="M26" s="246"/>
      <c r="N26" s="246"/>
      <c r="O26" s="246"/>
      <c r="P26" s="246"/>
      <c r="Q26" s="246"/>
      <c r="R26" s="246"/>
    </row>
    <row r="27" spans="1:18" ht="30" customHeight="1" x14ac:dyDescent="0.3">
      <c r="A27" s="12"/>
      <c r="B27" s="344"/>
      <c r="C27" s="344"/>
      <c r="D27" s="350"/>
      <c r="E27" s="350"/>
      <c r="F27" s="350"/>
      <c r="G27" s="12"/>
      <c r="H27" s="12"/>
      <c r="I27" s="12"/>
      <c r="J27" s="12"/>
      <c r="K27" s="12"/>
      <c r="L27" s="353">
        <f>L25/(12*100%)</f>
        <v>0.48750000000000004</v>
      </c>
      <c r="M27" s="354" t="s">
        <v>540</v>
      </c>
      <c r="N27" s="246"/>
      <c r="O27" s="246"/>
      <c r="P27" s="246"/>
      <c r="Q27" s="246"/>
      <c r="R27" s="246"/>
    </row>
    <row r="28" spans="1:18" x14ac:dyDescent="0.25">
      <c r="A28" s="246"/>
      <c r="B28" s="357"/>
      <c r="C28" s="357"/>
      <c r="D28" s="352"/>
      <c r="E28" s="352"/>
      <c r="F28" s="352"/>
      <c r="G28" s="246"/>
      <c r="H28" s="246"/>
      <c r="I28" s="246"/>
      <c r="J28" s="246"/>
      <c r="K28" s="246"/>
      <c r="L28" s="256" t="s">
        <v>541</v>
      </c>
      <c r="M28" s="246"/>
      <c r="N28" s="246"/>
      <c r="O28" s="246"/>
      <c r="P28" s="246"/>
      <c r="Q28" s="246"/>
      <c r="R28" s="246"/>
    </row>
    <row r="29" spans="1:18" x14ac:dyDescent="0.25">
      <c r="A29" s="246"/>
      <c r="B29" s="357"/>
      <c r="C29" s="357"/>
      <c r="D29" s="352"/>
      <c r="E29" s="352"/>
      <c r="F29" s="352"/>
      <c r="G29" s="246"/>
      <c r="H29" s="246"/>
      <c r="I29" s="246"/>
      <c r="J29" s="246"/>
      <c r="K29" s="246"/>
      <c r="L29" s="256" t="s">
        <v>542</v>
      </c>
      <c r="M29" s="246"/>
      <c r="N29" s="246"/>
      <c r="O29" s="246"/>
      <c r="P29" s="246"/>
      <c r="Q29" s="246"/>
      <c r="R29" s="246"/>
    </row>
    <row r="30" spans="1:18" s="245" customFormat="1" x14ac:dyDescent="0.25">
      <c r="A30" s="243"/>
      <c r="B30" s="244"/>
      <c r="C30" s="244"/>
      <c r="D30" s="242"/>
      <c r="E30" s="242"/>
      <c r="F30" s="242"/>
      <c r="G30" s="242"/>
      <c r="H30" s="242"/>
      <c r="I30" s="242"/>
      <c r="J30" s="242"/>
      <c r="K30" s="242"/>
      <c r="L30" s="242"/>
      <c r="M30" s="242"/>
      <c r="N30" s="242"/>
      <c r="O30" s="242"/>
      <c r="P30" s="242"/>
      <c r="Q30" s="242"/>
      <c r="R30" s="242"/>
    </row>
    <row r="31" spans="1:18" s="245" customFormat="1" x14ac:dyDescent="0.25">
      <c r="A31" s="247"/>
      <c r="B31" s="358"/>
      <c r="C31" s="358"/>
    </row>
    <row r="32" spans="1:18" s="245" customFormat="1" x14ac:dyDescent="0.25">
      <c r="A32" s="247"/>
      <c r="B32" s="358"/>
      <c r="C32" s="358"/>
    </row>
    <row r="33" spans="1:3" s="245" customFormat="1" x14ac:dyDescent="0.25">
      <c r="A33" s="247"/>
      <c r="B33" s="358"/>
      <c r="C33" s="358"/>
    </row>
    <row r="34" spans="1:3" s="245" customFormat="1" x14ac:dyDescent="0.25">
      <c r="A34" s="247"/>
      <c r="B34" s="358"/>
      <c r="C34" s="358"/>
    </row>
    <row r="35" spans="1:3" s="245" customFormat="1" x14ac:dyDescent="0.25">
      <c r="A35" s="247"/>
      <c r="B35" s="358"/>
      <c r="C35" s="358"/>
    </row>
    <row r="36" spans="1:3" s="245" customFormat="1" x14ac:dyDescent="0.25">
      <c r="A36" s="247"/>
      <c r="B36" s="358"/>
      <c r="C36" s="358"/>
    </row>
    <row r="37" spans="1:3" s="245" customFormat="1" x14ac:dyDescent="0.25">
      <c r="A37" s="247"/>
      <c r="B37" s="358"/>
      <c r="C37" s="358"/>
    </row>
    <row r="38" spans="1:3" s="245" customFormat="1" x14ac:dyDescent="0.25">
      <c r="A38" s="247"/>
      <c r="B38" s="358"/>
      <c r="C38" s="358"/>
    </row>
    <row r="39" spans="1:3" s="245" customFormat="1" x14ac:dyDescent="0.25">
      <c r="A39" s="247"/>
      <c r="B39" s="358"/>
      <c r="C39" s="358"/>
    </row>
    <row r="40" spans="1:3" s="245" customFormat="1" x14ac:dyDescent="0.25">
      <c r="A40" s="247"/>
      <c r="B40" s="358"/>
      <c r="C40" s="358"/>
    </row>
    <row r="41" spans="1:3" s="245" customFormat="1" x14ac:dyDescent="0.25">
      <c r="A41" s="247"/>
      <c r="B41" s="358"/>
      <c r="C41" s="358"/>
    </row>
    <row r="42" spans="1:3" s="245" customFormat="1" x14ac:dyDescent="0.25">
      <c r="A42" s="247"/>
      <c r="B42" s="358"/>
      <c r="C42" s="358"/>
    </row>
    <row r="43" spans="1:3" s="245" customFormat="1" x14ac:dyDescent="0.25">
      <c r="A43" s="247"/>
      <c r="B43" s="358"/>
      <c r="C43" s="358"/>
    </row>
    <row r="44" spans="1:3" s="245" customFormat="1" x14ac:dyDescent="0.25">
      <c r="A44" s="247"/>
      <c r="B44" s="358"/>
      <c r="C44" s="358"/>
    </row>
    <row r="45" spans="1:3" s="245" customFormat="1" x14ac:dyDescent="0.25">
      <c r="A45" s="247"/>
      <c r="B45" s="358"/>
      <c r="C45" s="358"/>
    </row>
    <row r="46" spans="1:3" s="245" customFormat="1" x14ac:dyDescent="0.25">
      <c r="A46" s="247"/>
      <c r="B46" s="358"/>
      <c r="C46" s="358"/>
    </row>
    <row r="47" spans="1:3" s="245" customFormat="1" x14ac:dyDescent="0.25">
      <c r="A47" s="247"/>
      <c r="B47" s="358"/>
      <c r="C47" s="358"/>
    </row>
    <row r="48" spans="1:3" s="245" customFormat="1" x14ac:dyDescent="0.25">
      <c r="A48" s="247"/>
      <c r="B48" s="358"/>
      <c r="C48" s="358"/>
    </row>
    <row r="49" spans="1:3" s="245" customFormat="1" x14ac:dyDescent="0.25">
      <c r="A49" s="247"/>
      <c r="B49" s="358"/>
      <c r="C49" s="358"/>
    </row>
    <row r="50" spans="1:3" s="245" customFormat="1" x14ac:dyDescent="0.25">
      <c r="A50" s="247"/>
      <c r="B50" s="358"/>
      <c r="C50" s="358"/>
    </row>
    <row r="51" spans="1:3" s="245" customFormat="1" x14ac:dyDescent="0.25">
      <c r="A51" s="247"/>
      <c r="B51" s="358"/>
      <c r="C51" s="358"/>
    </row>
    <row r="52" spans="1:3" s="245" customFormat="1" x14ac:dyDescent="0.25">
      <c r="A52" s="247"/>
      <c r="B52" s="358"/>
      <c r="C52" s="358"/>
    </row>
    <row r="53" spans="1:3" s="245" customFormat="1" x14ac:dyDescent="0.25">
      <c r="A53" s="247"/>
      <c r="B53" s="358"/>
      <c r="C53" s="358"/>
    </row>
    <row r="54" spans="1:3" s="245" customFormat="1" x14ac:dyDescent="0.25">
      <c r="A54" s="247"/>
      <c r="B54" s="358"/>
      <c r="C54" s="358"/>
    </row>
    <row r="55" spans="1:3" s="245" customFormat="1" x14ac:dyDescent="0.25">
      <c r="A55" s="247"/>
      <c r="B55" s="358"/>
      <c r="C55" s="358"/>
    </row>
    <row r="56" spans="1:3" s="245" customFormat="1" x14ac:dyDescent="0.25">
      <c r="A56" s="247"/>
      <c r="B56" s="358"/>
      <c r="C56" s="358"/>
    </row>
    <row r="57" spans="1:3" s="245" customFormat="1" x14ac:dyDescent="0.25">
      <c r="A57" s="247"/>
      <c r="B57" s="358"/>
      <c r="C57" s="358"/>
    </row>
    <row r="58" spans="1:3" s="245" customFormat="1" x14ac:dyDescent="0.25">
      <c r="A58" s="247"/>
      <c r="B58" s="358"/>
      <c r="C58" s="358"/>
    </row>
    <row r="59" spans="1:3" s="245" customFormat="1" x14ac:dyDescent="0.25">
      <c r="A59" s="247"/>
      <c r="B59" s="358"/>
      <c r="C59" s="358"/>
    </row>
    <row r="60" spans="1:3" s="245" customFormat="1" x14ac:dyDescent="0.25">
      <c r="A60" s="247"/>
      <c r="B60" s="358"/>
      <c r="C60" s="358"/>
    </row>
    <row r="61" spans="1:3" s="245" customFormat="1" x14ac:dyDescent="0.25">
      <c r="A61" s="247"/>
      <c r="B61" s="358"/>
      <c r="C61" s="358"/>
    </row>
    <row r="62" spans="1:3" s="245" customFormat="1" x14ac:dyDescent="0.25">
      <c r="A62" s="247"/>
      <c r="B62" s="358"/>
      <c r="C62" s="358"/>
    </row>
    <row r="63" spans="1:3" s="245" customFormat="1" x14ac:dyDescent="0.25">
      <c r="A63" s="247"/>
      <c r="B63" s="358"/>
      <c r="C63" s="358"/>
    </row>
    <row r="64" spans="1:3" s="245" customFormat="1" x14ac:dyDescent="0.25">
      <c r="A64" s="247"/>
      <c r="B64" s="358"/>
      <c r="C64" s="358"/>
    </row>
    <row r="65" spans="1:3" s="245" customFormat="1" x14ac:dyDescent="0.25">
      <c r="A65" s="247"/>
      <c r="B65" s="358"/>
      <c r="C65" s="358"/>
    </row>
    <row r="66" spans="1:3" s="245" customFormat="1" x14ac:dyDescent="0.25">
      <c r="A66" s="247"/>
      <c r="B66" s="358"/>
      <c r="C66" s="358"/>
    </row>
    <row r="67" spans="1:3" s="245" customFormat="1" x14ac:dyDescent="0.25">
      <c r="A67" s="247"/>
      <c r="B67" s="358"/>
      <c r="C67" s="358"/>
    </row>
    <row r="68" spans="1:3" s="245" customFormat="1" x14ac:dyDescent="0.25">
      <c r="A68" s="247"/>
      <c r="B68" s="358"/>
      <c r="C68" s="358"/>
    </row>
    <row r="69" spans="1:3" s="245" customFormat="1" x14ac:dyDescent="0.25">
      <c r="A69" s="247"/>
      <c r="B69" s="358"/>
      <c r="C69" s="358"/>
    </row>
    <row r="70" spans="1:3" s="245" customFormat="1" x14ac:dyDescent="0.25">
      <c r="A70" s="247"/>
      <c r="B70" s="358"/>
      <c r="C70" s="358"/>
    </row>
    <row r="71" spans="1:3" s="245" customFormat="1" x14ac:dyDescent="0.25">
      <c r="A71" s="247"/>
      <c r="B71" s="358"/>
      <c r="C71" s="358"/>
    </row>
    <row r="72" spans="1:3" s="245" customFormat="1" x14ac:dyDescent="0.25">
      <c r="A72" s="247"/>
      <c r="B72" s="358"/>
      <c r="C72" s="358"/>
    </row>
    <row r="73" spans="1:3" s="245" customFormat="1" x14ac:dyDescent="0.25">
      <c r="A73" s="247"/>
      <c r="B73" s="358"/>
      <c r="C73" s="358"/>
    </row>
    <row r="74" spans="1:3" s="245" customFormat="1" x14ac:dyDescent="0.25">
      <c r="A74" s="247"/>
      <c r="B74" s="358"/>
      <c r="C74" s="358"/>
    </row>
    <row r="75" spans="1:3" s="245" customFormat="1" x14ac:dyDescent="0.25">
      <c r="A75" s="247"/>
      <c r="B75" s="358"/>
      <c r="C75" s="358"/>
    </row>
    <row r="76" spans="1:3" s="245" customFormat="1" x14ac:dyDescent="0.25">
      <c r="A76" s="247"/>
      <c r="B76" s="358"/>
      <c r="C76" s="358"/>
    </row>
    <row r="77" spans="1:3" s="245" customFormat="1" x14ac:dyDescent="0.25">
      <c r="A77" s="247"/>
      <c r="B77" s="358"/>
      <c r="C77" s="358"/>
    </row>
    <row r="78" spans="1:3" s="245" customFormat="1" x14ac:dyDescent="0.25">
      <c r="A78" s="247"/>
      <c r="B78" s="358"/>
      <c r="C78" s="358"/>
    </row>
    <row r="79" spans="1:3" s="245" customFormat="1" x14ac:dyDescent="0.25">
      <c r="A79" s="247"/>
      <c r="B79" s="358"/>
      <c r="C79" s="358"/>
    </row>
    <row r="80" spans="1:3" s="245" customFormat="1" x14ac:dyDescent="0.25">
      <c r="A80" s="247"/>
      <c r="B80" s="358"/>
      <c r="C80" s="358"/>
    </row>
    <row r="81" spans="1:3" s="245" customFormat="1" x14ac:dyDescent="0.25">
      <c r="A81" s="247"/>
      <c r="B81" s="358"/>
      <c r="C81" s="358"/>
    </row>
    <row r="82" spans="1:3" s="245" customFormat="1" x14ac:dyDescent="0.25">
      <c r="A82" s="247"/>
      <c r="B82" s="358"/>
      <c r="C82" s="358"/>
    </row>
    <row r="83" spans="1:3" s="245" customFormat="1" x14ac:dyDescent="0.25">
      <c r="A83" s="247"/>
      <c r="B83" s="358"/>
      <c r="C83" s="358"/>
    </row>
    <row r="84" spans="1:3" s="245" customFormat="1" x14ac:dyDescent="0.25">
      <c r="A84" s="247"/>
      <c r="B84" s="358"/>
      <c r="C84" s="358"/>
    </row>
    <row r="85" spans="1:3" s="245" customFormat="1" x14ac:dyDescent="0.25">
      <c r="A85" s="247"/>
      <c r="B85" s="358"/>
      <c r="C85" s="358"/>
    </row>
    <row r="86" spans="1:3" s="245" customFormat="1" x14ac:dyDescent="0.25">
      <c r="A86" s="247"/>
      <c r="B86" s="358"/>
      <c r="C86" s="358"/>
    </row>
    <row r="87" spans="1:3" s="245" customFormat="1" x14ac:dyDescent="0.25">
      <c r="A87" s="247"/>
      <c r="B87" s="358"/>
      <c r="C87" s="358"/>
    </row>
    <row r="88" spans="1:3" s="245" customFormat="1" x14ac:dyDescent="0.25">
      <c r="A88" s="247"/>
      <c r="B88" s="358"/>
      <c r="C88" s="358"/>
    </row>
    <row r="89" spans="1:3" s="245" customFormat="1" x14ac:dyDescent="0.25">
      <c r="A89" s="247"/>
      <c r="B89" s="358"/>
      <c r="C89" s="358"/>
    </row>
    <row r="90" spans="1:3" s="245" customFormat="1" x14ac:dyDescent="0.25">
      <c r="A90" s="247"/>
      <c r="B90" s="358"/>
      <c r="C90" s="358"/>
    </row>
    <row r="91" spans="1:3" s="245" customFormat="1" x14ac:dyDescent="0.25">
      <c r="A91" s="247"/>
      <c r="B91" s="358"/>
      <c r="C91" s="358"/>
    </row>
    <row r="92" spans="1:3" s="245" customFormat="1" x14ac:dyDescent="0.25">
      <c r="A92" s="247"/>
      <c r="B92" s="358"/>
      <c r="C92" s="358"/>
    </row>
    <row r="93" spans="1:3" s="245" customFormat="1" x14ac:dyDescent="0.25">
      <c r="A93" s="247"/>
      <c r="B93" s="358"/>
      <c r="C93" s="358"/>
    </row>
    <row r="94" spans="1:3" s="245" customFormat="1" x14ac:dyDescent="0.25">
      <c r="A94" s="247"/>
      <c r="B94" s="358"/>
      <c r="C94" s="358"/>
    </row>
    <row r="95" spans="1:3" s="245" customFormat="1" x14ac:dyDescent="0.25">
      <c r="A95" s="247"/>
      <c r="B95" s="358"/>
      <c r="C95" s="358"/>
    </row>
    <row r="96" spans="1:3" s="245" customFormat="1" x14ac:dyDescent="0.25">
      <c r="A96" s="247"/>
      <c r="B96" s="358"/>
      <c r="C96" s="358"/>
    </row>
    <row r="97" spans="1:3" s="245" customFormat="1" x14ac:dyDescent="0.25">
      <c r="A97" s="247"/>
      <c r="B97" s="358"/>
      <c r="C97" s="358"/>
    </row>
    <row r="98" spans="1:3" s="245" customFormat="1" x14ac:dyDescent="0.25">
      <c r="A98" s="247"/>
      <c r="B98" s="358"/>
      <c r="C98" s="358"/>
    </row>
    <row r="99" spans="1:3" s="245" customFormat="1" x14ac:dyDescent="0.25">
      <c r="A99" s="247"/>
      <c r="B99" s="358"/>
      <c r="C99" s="358"/>
    </row>
    <row r="100" spans="1:3" s="245" customFormat="1" x14ac:dyDescent="0.25">
      <c r="A100" s="247"/>
      <c r="B100" s="358"/>
      <c r="C100" s="358"/>
    </row>
    <row r="101" spans="1:3" s="245" customFormat="1" x14ac:dyDescent="0.25">
      <c r="A101" s="247"/>
      <c r="B101" s="358"/>
      <c r="C101" s="358"/>
    </row>
    <row r="102" spans="1:3" s="245" customFormat="1" x14ac:dyDescent="0.25">
      <c r="A102" s="247"/>
      <c r="B102" s="358"/>
      <c r="C102" s="358"/>
    </row>
    <row r="103" spans="1:3" s="245" customFormat="1" x14ac:dyDescent="0.25">
      <c r="A103" s="247"/>
      <c r="B103" s="358"/>
      <c r="C103" s="358"/>
    </row>
    <row r="104" spans="1:3" s="245" customFormat="1" x14ac:dyDescent="0.25">
      <c r="A104" s="247"/>
      <c r="B104" s="358"/>
      <c r="C104" s="358"/>
    </row>
    <row r="105" spans="1:3" s="245" customFormat="1" x14ac:dyDescent="0.25">
      <c r="A105" s="247"/>
      <c r="B105" s="358"/>
      <c r="C105" s="358"/>
    </row>
    <row r="106" spans="1:3" s="245" customFormat="1" x14ac:dyDescent="0.25">
      <c r="A106" s="247"/>
      <c r="B106" s="358"/>
      <c r="C106" s="358"/>
    </row>
    <row r="107" spans="1:3" s="245" customFormat="1" x14ac:dyDescent="0.25">
      <c r="A107" s="247"/>
      <c r="B107" s="358"/>
      <c r="C107" s="358"/>
    </row>
    <row r="108" spans="1:3" s="245" customFormat="1" x14ac:dyDescent="0.25">
      <c r="A108" s="247"/>
      <c r="B108" s="358"/>
      <c r="C108" s="358"/>
    </row>
    <row r="109" spans="1:3" s="245" customFormat="1" x14ac:dyDescent="0.25">
      <c r="A109" s="247"/>
      <c r="B109" s="358"/>
      <c r="C109" s="358"/>
    </row>
    <row r="110" spans="1:3" s="245" customFormat="1" x14ac:dyDescent="0.25">
      <c r="A110" s="247"/>
      <c r="B110" s="358"/>
      <c r="C110" s="358"/>
    </row>
    <row r="111" spans="1:3" s="245" customFormat="1" x14ac:dyDescent="0.25">
      <c r="A111" s="247"/>
      <c r="B111" s="358"/>
      <c r="C111" s="358"/>
    </row>
    <row r="112" spans="1:3" s="245" customFormat="1" x14ac:dyDescent="0.25">
      <c r="A112" s="247"/>
      <c r="B112" s="358"/>
      <c r="C112" s="358"/>
    </row>
    <row r="113" spans="1:3" s="245" customFormat="1" x14ac:dyDescent="0.25">
      <c r="A113" s="247"/>
      <c r="B113" s="358"/>
      <c r="C113" s="358"/>
    </row>
    <row r="114" spans="1:3" s="245" customFormat="1" x14ac:dyDescent="0.25">
      <c r="A114" s="247"/>
      <c r="B114" s="358"/>
      <c r="C114" s="358"/>
    </row>
    <row r="115" spans="1:3" s="245" customFormat="1" x14ac:dyDescent="0.25">
      <c r="A115" s="247"/>
      <c r="B115" s="358"/>
      <c r="C115" s="358"/>
    </row>
    <row r="116" spans="1:3" s="245" customFormat="1" x14ac:dyDescent="0.25">
      <c r="A116" s="247"/>
      <c r="B116" s="358"/>
      <c r="C116" s="358"/>
    </row>
    <row r="117" spans="1:3" s="245" customFormat="1" x14ac:dyDescent="0.25">
      <c r="A117" s="247"/>
      <c r="B117" s="358"/>
      <c r="C117" s="358"/>
    </row>
    <row r="118" spans="1:3" s="245" customFormat="1" x14ac:dyDescent="0.25">
      <c r="A118" s="247"/>
      <c r="B118" s="358"/>
      <c r="C118" s="358"/>
    </row>
    <row r="119" spans="1:3" s="245" customFormat="1" x14ac:dyDescent="0.25">
      <c r="A119" s="247"/>
      <c r="B119" s="358"/>
      <c r="C119" s="358"/>
    </row>
    <row r="120" spans="1:3" s="245" customFormat="1" x14ac:dyDescent="0.25">
      <c r="A120" s="247"/>
      <c r="B120" s="358"/>
      <c r="C120" s="358"/>
    </row>
    <row r="121" spans="1:3" s="245" customFormat="1" x14ac:dyDescent="0.25">
      <c r="A121" s="247"/>
      <c r="B121" s="358"/>
      <c r="C121" s="358"/>
    </row>
    <row r="122" spans="1:3" s="245" customFormat="1" x14ac:dyDescent="0.25">
      <c r="A122" s="247"/>
      <c r="B122" s="358"/>
      <c r="C122" s="358"/>
    </row>
    <row r="123" spans="1:3" s="245" customFormat="1" x14ac:dyDescent="0.25">
      <c r="A123" s="247"/>
      <c r="B123" s="358"/>
      <c r="C123" s="358"/>
    </row>
    <row r="124" spans="1:3" s="245" customFormat="1" x14ac:dyDescent="0.25">
      <c r="A124" s="247"/>
      <c r="B124" s="358"/>
      <c r="C124" s="358"/>
    </row>
    <row r="125" spans="1:3" s="245" customFormat="1" x14ac:dyDescent="0.25">
      <c r="A125" s="247"/>
      <c r="B125" s="358"/>
      <c r="C125" s="358"/>
    </row>
    <row r="126" spans="1:3" s="245" customFormat="1" x14ac:dyDescent="0.25">
      <c r="A126" s="247"/>
      <c r="B126" s="358"/>
      <c r="C126" s="358"/>
    </row>
    <row r="127" spans="1:3" s="245" customFormat="1" x14ac:dyDescent="0.25">
      <c r="A127" s="247"/>
      <c r="B127" s="358"/>
      <c r="C127" s="358"/>
    </row>
    <row r="128" spans="1:3" s="245" customFormat="1" x14ac:dyDescent="0.25">
      <c r="A128" s="247"/>
      <c r="B128" s="358"/>
      <c r="C128" s="358"/>
    </row>
    <row r="129" spans="1:3" s="245" customFormat="1" x14ac:dyDescent="0.25">
      <c r="A129" s="247"/>
      <c r="B129" s="358"/>
      <c r="C129" s="358"/>
    </row>
    <row r="130" spans="1:3" s="245" customFormat="1" x14ac:dyDescent="0.25">
      <c r="A130" s="247"/>
      <c r="B130" s="358"/>
      <c r="C130" s="358"/>
    </row>
    <row r="131" spans="1:3" s="245" customFormat="1" x14ac:dyDescent="0.25">
      <c r="A131" s="247"/>
      <c r="B131" s="358"/>
      <c r="C131" s="358"/>
    </row>
    <row r="132" spans="1:3" s="245" customFormat="1" x14ac:dyDescent="0.25">
      <c r="A132" s="247"/>
      <c r="B132" s="358"/>
      <c r="C132" s="358"/>
    </row>
    <row r="133" spans="1:3" s="245" customFormat="1" x14ac:dyDescent="0.25">
      <c r="A133" s="247"/>
      <c r="B133" s="358"/>
      <c r="C133" s="358"/>
    </row>
    <row r="134" spans="1:3" s="245" customFormat="1" x14ac:dyDescent="0.25">
      <c r="A134" s="247"/>
      <c r="B134" s="358"/>
      <c r="C134" s="358"/>
    </row>
    <row r="135" spans="1:3" s="245" customFormat="1" x14ac:dyDescent="0.25">
      <c r="A135" s="247"/>
      <c r="B135" s="358"/>
      <c r="C135" s="358"/>
    </row>
    <row r="136" spans="1:3" s="245" customFormat="1" x14ac:dyDescent="0.25">
      <c r="A136" s="247"/>
      <c r="B136" s="358"/>
      <c r="C136" s="358"/>
    </row>
    <row r="137" spans="1:3" s="245" customFormat="1" x14ac:dyDescent="0.25">
      <c r="A137" s="247"/>
      <c r="B137" s="358"/>
      <c r="C137" s="358"/>
    </row>
    <row r="138" spans="1:3" s="245" customFormat="1" x14ac:dyDescent="0.25">
      <c r="A138" s="247"/>
      <c r="B138" s="358"/>
      <c r="C138" s="358"/>
    </row>
    <row r="139" spans="1:3" s="245" customFormat="1" x14ac:dyDescent="0.25">
      <c r="A139" s="247"/>
      <c r="B139" s="358"/>
      <c r="C139" s="358"/>
    </row>
    <row r="140" spans="1:3" s="245" customFormat="1" x14ac:dyDescent="0.25">
      <c r="A140" s="247"/>
      <c r="B140" s="358"/>
      <c r="C140" s="358"/>
    </row>
    <row r="141" spans="1:3" s="245" customFormat="1" x14ac:dyDescent="0.25">
      <c r="A141" s="247"/>
      <c r="B141" s="358"/>
      <c r="C141" s="358"/>
    </row>
    <row r="142" spans="1:3" s="245" customFormat="1" x14ac:dyDescent="0.25">
      <c r="A142" s="247"/>
      <c r="B142" s="358"/>
      <c r="C142" s="358"/>
    </row>
    <row r="143" spans="1:3" s="245" customFormat="1" x14ac:dyDescent="0.25">
      <c r="A143" s="247"/>
      <c r="B143" s="358"/>
      <c r="C143" s="358"/>
    </row>
    <row r="144" spans="1:3" s="245" customFormat="1" x14ac:dyDescent="0.25">
      <c r="A144" s="247"/>
      <c r="B144" s="358"/>
      <c r="C144" s="358"/>
    </row>
    <row r="145" spans="1:3" s="245" customFormat="1" x14ac:dyDescent="0.25">
      <c r="A145" s="247"/>
      <c r="B145" s="358"/>
      <c r="C145" s="358"/>
    </row>
    <row r="146" spans="1:3" s="245" customFormat="1" x14ac:dyDescent="0.25">
      <c r="A146" s="247"/>
      <c r="B146" s="358"/>
      <c r="C146" s="358"/>
    </row>
    <row r="147" spans="1:3" s="245" customFormat="1" x14ac:dyDescent="0.25">
      <c r="A147" s="247"/>
      <c r="B147" s="358"/>
      <c r="C147" s="358"/>
    </row>
    <row r="148" spans="1:3" s="245" customFormat="1" x14ac:dyDescent="0.25">
      <c r="A148" s="247"/>
      <c r="B148" s="358"/>
      <c r="C148" s="358"/>
    </row>
    <row r="149" spans="1:3" s="245" customFormat="1" x14ac:dyDescent="0.25">
      <c r="A149" s="247"/>
      <c r="B149" s="358"/>
      <c r="C149" s="358"/>
    </row>
    <row r="150" spans="1:3" s="245" customFormat="1" x14ac:dyDescent="0.25">
      <c r="A150" s="247"/>
      <c r="B150" s="358"/>
      <c r="C150" s="358"/>
    </row>
    <row r="151" spans="1:3" s="245" customFormat="1" x14ac:dyDescent="0.25">
      <c r="A151" s="247"/>
      <c r="B151" s="358"/>
      <c r="C151" s="358"/>
    </row>
    <row r="152" spans="1:3" s="245" customFormat="1" x14ac:dyDescent="0.25">
      <c r="A152" s="247"/>
      <c r="B152" s="358"/>
      <c r="C152" s="358"/>
    </row>
    <row r="153" spans="1:3" s="245" customFormat="1" x14ac:dyDescent="0.25">
      <c r="A153" s="247"/>
      <c r="B153" s="358"/>
      <c r="C153" s="358"/>
    </row>
    <row r="154" spans="1:3" s="245" customFormat="1" x14ac:dyDescent="0.25">
      <c r="A154" s="247"/>
      <c r="B154" s="358"/>
      <c r="C154" s="358"/>
    </row>
    <row r="155" spans="1:3" s="245" customFormat="1" x14ac:dyDescent="0.25">
      <c r="A155" s="247"/>
      <c r="B155" s="358"/>
      <c r="C155" s="358"/>
    </row>
    <row r="156" spans="1:3" s="245" customFormat="1" x14ac:dyDescent="0.25">
      <c r="A156" s="247"/>
      <c r="B156" s="358"/>
      <c r="C156" s="358"/>
    </row>
    <row r="157" spans="1:3" s="245" customFormat="1" x14ac:dyDescent="0.25">
      <c r="A157" s="247"/>
      <c r="B157" s="358"/>
      <c r="C157" s="358"/>
    </row>
    <row r="158" spans="1:3" s="245" customFormat="1" x14ac:dyDescent="0.25">
      <c r="A158" s="247"/>
      <c r="B158" s="358"/>
      <c r="C158" s="358"/>
    </row>
    <row r="159" spans="1:3" s="245" customFormat="1" x14ac:dyDescent="0.25">
      <c r="A159" s="247"/>
      <c r="B159" s="358"/>
      <c r="C159" s="358"/>
    </row>
    <row r="160" spans="1:3" s="245" customFormat="1" x14ac:dyDescent="0.25">
      <c r="A160" s="247"/>
      <c r="B160" s="358"/>
      <c r="C160" s="358"/>
    </row>
    <row r="161" spans="1:3" s="245" customFormat="1" x14ac:dyDescent="0.25">
      <c r="A161" s="247"/>
      <c r="B161" s="358"/>
      <c r="C161" s="358"/>
    </row>
    <row r="162" spans="1:3" s="245" customFormat="1" x14ac:dyDescent="0.25">
      <c r="A162" s="247"/>
      <c r="B162" s="358"/>
      <c r="C162" s="358"/>
    </row>
    <row r="163" spans="1:3" s="245" customFormat="1" x14ac:dyDescent="0.25">
      <c r="A163" s="247"/>
      <c r="B163" s="358"/>
      <c r="C163" s="358"/>
    </row>
    <row r="164" spans="1:3" s="245" customFormat="1" x14ac:dyDescent="0.25">
      <c r="A164" s="247"/>
      <c r="B164" s="358"/>
      <c r="C164" s="358"/>
    </row>
    <row r="165" spans="1:3" s="245" customFormat="1" x14ac:dyDescent="0.25">
      <c r="A165" s="247"/>
      <c r="B165" s="358"/>
      <c r="C165" s="358"/>
    </row>
    <row r="166" spans="1:3" s="245" customFormat="1" x14ac:dyDescent="0.25">
      <c r="A166" s="247"/>
      <c r="B166" s="358"/>
      <c r="C166" s="358"/>
    </row>
    <row r="167" spans="1:3" s="245" customFormat="1" x14ac:dyDescent="0.25">
      <c r="A167" s="247"/>
      <c r="B167" s="358"/>
      <c r="C167" s="358"/>
    </row>
    <row r="168" spans="1:3" s="245" customFormat="1" x14ac:dyDescent="0.25">
      <c r="A168" s="247"/>
      <c r="B168" s="358"/>
      <c r="C168" s="358"/>
    </row>
    <row r="169" spans="1:3" s="245" customFormat="1" x14ac:dyDescent="0.25">
      <c r="A169" s="247"/>
      <c r="B169" s="358"/>
      <c r="C169" s="358"/>
    </row>
    <row r="170" spans="1:3" s="245" customFormat="1" x14ac:dyDescent="0.25">
      <c r="A170" s="247"/>
      <c r="B170" s="358"/>
      <c r="C170" s="358"/>
    </row>
    <row r="171" spans="1:3" s="245" customFormat="1" x14ac:dyDescent="0.25">
      <c r="A171" s="247"/>
      <c r="B171" s="358"/>
      <c r="C171" s="358"/>
    </row>
    <row r="172" spans="1:3" s="245" customFormat="1" x14ac:dyDescent="0.25">
      <c r="A172" s="247"/>
      <c r="B172" s="358"/>
      <c r="C172" s="358"/>
    </row>
    <row r="173" spans="1:3" s="245" customFormat="1" x14ac:dyDescent="0.25">
      <c r="A173" s="247"/>
      <c r="B173" s="358"/>
      <c r="C173" s="358"/>
    </row>
    <row r="174" spans="1:3" s="245" customFormat="1" x14ac:dyDescent="0.25">
      <c r="A174" s="247"/>
      <c r="B174" s="358"/>
      <c r="C174" s="358"/>
    </row>
    <row r="175" spans="1:3" s="245" customFormat="1" x14ac:dyDescent="0.25">
      <c r="A175" s="247"/>
      <c r="B175" s="358"/>
      <c r="C175" s="358"/>
    </row>
    <row r="176" spans="1:3" s="245" customFormat="1" x14ac:dyDescent="0.25">
      <c r="A176" s="247"/>
      <c r="B176" s="358"/>
      <c r="C176" s="358"/>
    </row>
    <row r="177" spans="1:3" s="245" customFormat="1" x14ac:dyDescent="0.25">
      <c r="A177" s="247"/>
      <c r="B177" s="358"/>
      <c r="C177" s="358"/>
    </row>
    <row r="178" spans="1:3" s="245" customFormat="1" x14ac:dyDescent="0.25">
      <c r="A178" s="247"/>
      <c r="B178" s="358"/>
      <c r="C178" s="358"/>
    </row>
    <row r="179" spans="1:3" s="245" customFormat="1" x14ac:dyDescent="0.25">
      <c r="A179" s="247"/>
      <c r="B179" s="358"/>
      <c r="C179" s="358"/>
    </row>
    <row r="180" spans="1:3" s="245" customFormat="1" x14ac:dyDescent="0.25">
      <c r="A180" s="247"/>
      <c r="B180" s="358"/>
      <c r="C180" s="358"/>
    </row>
    <row r="181" spans="1:3" s="245" customFormat="1" x14ac:dyDescent="0.25">
      <c r="A181" s="247"/>
      <c r="B181" s="358"/>
      <c r="C181" s="358"/>
    </row>
    <row r="182" spans="1:3" s="245" customFormat="1" x14ac:dyDescent="0.25">
      <c r="A182" s="247"/>
      <c r="B182" s="358"/>
      <c r="C182" s="358"/>
    </row>
    <row r="183" spans="1:3" s="245" customFormat="1" x14ac:dyDescent="0.25">
      <c r="A183" s="247"/>
      <c r="B183" s="358"/>
      <c r="C183" s="358"/>
    </row>
    <row r="184" spans="1:3" s="245" customFormat="1" x14ac:dyDescent="0.25">
      <c r="A184" s="247"/>
      <c r="B184" s="358"/>
      <c r="C184" s="358"/>
    </row>
    <row r="185" spans="1:3" s="245" customFormat="1" x14ac:dyDescent="0.25">
      <c r="A185" s="247"/>
      <c r="B185" s="358"/>
      <c r="C185" s="358"/>
    </row>
    <row r="186" spans="1:3" s="245" customFormat="1" x14ac:dyDescent="0.25">
      <c r="A186" s="247"/>
      <c r="B186" s="358"/>
      <c r="C186" s="358"/>
    </row>
    <row r="187" spans="1:3" s="245" customFormat="1" x14ac:dyDescent="0.25">
      <c r="A187" s="247"/>
      <c r="B187" s="358"/>
      <c r="C187" s="358"/>
    </row>
    <row r="188" spans="1:3" s="245" customFormat="1" x14ac:dyDescent="0.25">
      <c r="A188" s="247"/>
      <c r="B188" s="358"/>
      <c r="C188" s="358"/>
    </row>
    <row r="189" spans="1:3" s="245" customFormat="1" x14ac:dyDescent="0.25">
      <c r="A189" s="247"/>
      <c r="B189" s="358"/>
      <c r="C189" s="358"/>
    </row>
    <row r="190" spans="1:3" s="245" customFormat="1" x14ac:dyDescent="0.25">
      <c r="A190" s="247"/>
      <c r="B190" s="358"/>
      <c r="C190" s="358"/>
    </row>
    <row r="191" spans="1:3" s="245" customFormat="1" x14ac:dyDescent="0.25">
      <c r="A191" s="247"/>
      <c r="B191" s="358"/>
      <c r="C191" s="358"/>
    </row>
    <row r="192" spans="1:3" s="245" customFormat="1" x14ac:dyDescent="0.25">
      <c r="A192" s="247"/>
      <c r="B192" s="358"/>
      <c r="C192" s="358"/>
    </row>
    <row r="193" spans="1:3" s="245" customFormat="1" x14ac:dyDescent="0.25">
      <c r="A193" s="247"/>
      <c r="B193" s="358"/>
      <c r="C193" s="358"/>
    </row>
    <row r="194" spans="1:3" s="245" customFormat="1" x14ac:dyDescent="0.25">
      <c r="A194" s="247"/>
      <c r="B194" s="358"/>
      <c r="C194" s="358"/>
    </row>
    <row r="195" spans="1:3" s="245" customFormat="1" x14ac:dyDescent="0.25">
      <c r="A195" s="247"/>
      <c r="B195" s="358"/>
      <c r="C195" s="358"/>
    </row>
    <row r="196" spans="1:3" s="245" customFormat="1" x14ac:dyDescent="0.25">
      <c r="A196" s="247"/>
      <c r="B196" s="358"/>
      <c r="C196" s="358"/>
    </row>
    <row r="197" spans="1:3" s="245" customFormat="1" x14ac:dyDescent="0.25">
      <c r="A197" s="247"/>
      <c r="B197" s="358"/>
      <c r="C197" s="358"/>
    </row>
    <row r="198" spans="1:3" s="245" customFormat="1" x14ac:dyDescent="0.25">
      <c r="A198" s="247"/>
      <c r="B198" s="358"/>
      <c r="C198" s="358"/>
    </row>
    <row r="199" spans="1:3" s="245" customFormat="1" x14ac:dyDescent="0.25">
      <c r="A199" s="247"/>
      <c r="B199" s="358"/>
      <c r="C199" s="358"/>
    </row>
    <row r="200" spans="1:3" s="245" customFormat="1" x14ac:dyDescent="0.25">
      <c r="A200" s="247"/>
      <c r="B200" s="358"/>
      <c r="C200" s="358"/>
    </row>
    <row r="201" spans="1:3" s="245" customFormat="1" x14ac:dyDescent="0.25">
      <c r="A201" s="247"/>
      <c r="B201" s="358"/>
      <c r="C201" s="358"/>
    </row>
    <row r="202" spans="1:3" s="245" customFormat="1" x14ac:dyDescent="0.25">
      <c r="A202" s="247"/>
      <c r="B202" s="358"/>
      <c r="C202" s="358"/>
    </row>
    <row r="203" spans="1:3" s="245" customFormat="1" x14ac:dyDescent="0.25">
      <c r="A203" s="247"/>
      <c r="B203" s="358"/>
      <c r="C203" s="358"/>
    </row>
    <row r="204" spans="1:3" s="245" customFormat="1" x14ac:dyDescent="0.25">
      <c r="A204" s="247"/>
      <c r="B204" s="358"/>
      <c r="C204" s="358"/>
    </row>
    <row r="205" spans="1:3" s="245" customFormat="1" x14ac:dyDescent="0.25">
      <c r="A205" s="247"/>
      <c r="B205" s="358"/>
      <c r="C205" s="358"/>
    </row>
    <row r="206" spans="1:3" s="245" customFormat="1" x14ac:dyDescent="0.25">
      <c r="A206" s="247"/>
      <c r="B206" s="358"/>
      <c r="C206" s="358"/>
    </row>
    <row r="207" spans="1:3" s="245" customFormat="1" x14ac:dyDescent="0.25">
      <c r="A207" s="247"/>
      <c r="B207" s="358"/>
      <c r="C207" s="358"/>
    </row>
    <row r="208" spans="1:3" s="245" customFormat="1" x14ac:dyDescent="0.25">
      <c r="A208" s="247"/>
      <c r="B208" s="358"/>
      <c r="C208" s="358"/>
    </row>
    <row r="209" spans="1:3" s="245" customFormat="1" x14ac:dyDescent="0.25">
      <c r="A209" s="247"/>
      <c r="B209" s="358"/>
      <c r="C209" s="358"/>
    </row>
    <row r="210" spans="1:3" s="245" customFormat="1" x14ac:dyDescent="0.25">
      <c r="A210" s="247"/>
      <c r="B210" s="358"/>
      <c r="C210" s="358"/>
    </row>
    <row r="211" spans="1:3" s="245" customFormat="1" x14ac:dyDescent="0.25">
      <c r="A211" s="247"/>
      <c r="B211" s="358"/>
      <c r="C211" s="358"/>
    </row>
    <row r="212" spans="1:3" s="245" customFormat="1" x14ac:dyDescent="0.25">
      <c r="A212" s="247"/>
      <c r="B212" s="358"/>
      <c r="C212" s="358"/>
    </row>
    <row r="213" spans="1:3" s="245" customFormat="1" x14ac:dyDescent="0.25">
      <c r="A213" s="247"/>
      <c r="B213" s="358"/>
      <c r="C213" s="358"/>
    </row>
    <row r="214" spans="1:3" s="245" customFormat="1" x14ac:dyDescent="0.25">
      <c r="A214" s="247"/>
      <c r="B214" s="358"/>
      <c r="C214" s="358"/>
    </row>
    <row r="215" spans="1:3" s="245" customFormat="1" x14ac:dyDescent="0.25">
      <c r="A215" s="247"/>
      <c r="B215" s="358"/>
      <c r="C215" s="358"/>
    </row>
    <row r="216" spans="1:3" s="245" customFormat="1" x14ac:dyDescent="0.25">
      <c r="A216" s="247"/>
      <c r="B216" s="358"/>
      <c r="C216" s="358"/>
    </row>
    <row r="217" spans="1:3" s="245" customFormat="1" x14ac:dyDescent="0.25">
      <c r="A217" s="247"/>
      <c r="B217" s="358"/>
      <c r="C217" s="358"/>
    </row>
    <row r="218" spans="1:3" s="245" customFormat="1" x14ac:dyDescent="0.25">
      <c r="A218" s="247"/>
      <c r="B218" s="358"/>
      <c r="C218" s="358"/>
    </row>
    <row r="219" spans="1:3" s="245" customFormat="1" x14ac:dyDescent="0.25">
      <c r="A219" s="247"/>
      <c r="B219" s="358"/>
      <c r="C219" s="358"/>
    </row>
    <row r="220" spans="1:3" s="245" customFormat="1" x14ac:dyDescent="0.25">
      <c r="A220" s="247"/>
      <c r="B220" s="358"/>
      <c r="C220" s="358"/>
    </row>
    <row r="221" spans="1:3" s="245" customFormat="1" x14ac:dyDescent="0.25">
      <c r="A221" s="247"/>
      <c r="B221" s="358"/>
      <c r="C221" s="358"/>
    </row>
    <row r="222" spans="1:3" s="245" customFormat="1" x14ac:dyDescent="0.25">
      <c r="A222" s="247"/>
      <c r="B222" s="358"/>
      <c r="C222" s="358"/>
    </row>
    <row r="223" spans="1:3" s="245" customFormat="1" x14ac:dyDescent="0.25">
      <c r="A223" s="247"/>
      <c r="B223" s="358"/>
      <c r="C223" s="358"/>
    </row>
    <row r="224" spans="1:3" s="245" customFormat="1" x14ac:dyDescent="0.25">
      <c r="A224" s="247"/>
      <c r="B224" s="358"/>
      <c r="C224" s="358"/>
    </row>
    <row r="225" spans="1:3" s="245" customFormat="1" x14ac:dyDescent="0.25">
      <c r="A225" s="247"/>
      <c r="B225" s="358"/>
      <c r="C225" s="358"/>
    </row>
    <row r="226" spans="1:3" s="245" customFormat="1" x14ac:dyDescent="0.25">
      <c r="A226" s="247"/>
      <c r="B226" s="358"/>
      <c r="C226" s="358"/>
    </row>
    <row r="227" spans="1:3" s="245" customFormat="1" x14ac:dyDescent="0.25">
      <c r="A227" s="247"/>
      <c r="B227" s="358"/>
      <c r="C227" s="358"/>
    </row>
    <row r="228" spans="1:3" s="245" customFormat="1" x14ac:dyDescent="0.25">
      <c r="A228" s="247"/>
      <c r="B228" s="358"/>
      <c r="C228" s="358"/>
    </row>
    <row r="229" spans="1:3" s="245" customFormat="1" x14ac:dyDescent="0.25">
      <c r="A229" s="247"/>
      <c r="B229" s="358"/>
      <c r="C229" s="358"/>
    </row>
    <row r="230" spans="1:3" s="245" customFormat="1" x14ac:dyDescent="0.25">
      <c r="A230" s="247"/>
      <c r="B230" s="358"/>
      <c r="C230" s="358"/>
    </row>
    <row r="231" spans="1:3" s="245" customFormat="1" x14ac:dyDescent="0.25">
      <c r="A231" s="247"/>
      <c r="B231" s="358"/>
      <c r="C231" s="358"/>
    </row>
    <row r="232" spans="1:3" s="245" customFormat="1" x14ac:dyDescent="0.25">
      <c r="A232" s="247"/>
      <c r="B232" s="358"/>
      <c r="C232" s="358"/>
    </row>
    <row r="233" spans="1:3" s="245" customFormat="1" x14ac:dyDescent="0.25">
      <c r="A233" s="247"/>
      <c r="B233" s="358"/>
      <c r="C233" s="358"/>
    </row>
    <row r="234" spans="1:3" s="245" customFormat="1" x14ac:dyDescent="0.25">
      <c r="A234" s="247"/>
      <c r="B234" s="358"/>
      <c r="C234" s="358"/>
    </row>
    <row r="235" spans="1:3" s="245" customFormat="1" x14ac:dyDescent="0.25">
      <c r="A235" s="247"/>
      <c r="B235" s="358"/>
      <c r="C235" s="358"/>
    </row>
    <row r="236" spans="1:3" s="245" customFormat="1" x14ac:dyDescent="0.25">
      <c r="A236" s="247"/>
      <c r="B236" s="358"/>
      <c r="C236" s="358"/>
    </row>
    <row r="237" spans="1:3" s="245" customFormat="1" x14ac:dyDescent="0.25">
      <c r="A237" s="247"/>
      <c r="B237" s="358"/>
      <c r="C237" s="358"/>
    </row>
    <row r="238" spans="1:3" s="245" customFormat="1" x14ac:dyDescent="0.25">
      <c r="A238" s="247"/>
      <c r="B238" s="358"/>
      <c r="C238" s="358"/>
    </row>
    <row r="239" spans="1:3" s="245" customFormat="1" x14ac:dyDescent="0.25">
      <c r="A239" s="247"/>
      <c r="B239" s="358"/>
      <c r="C239" s="358"/>
    </row>
    <row r="240" spans="1:3" s="245" customFormat="1" x14ac:dyDescent="0.25">
      <c r="A240" s="247"/>
      <c r="B240" s="358"/>
      <c r="C240" s="358"/>
    </row>
    <row r="241" spans="1:3" s="245" customFormat="1" x14ac:dyDescent="0.25">
      <c r="A241" s="247"/>
      <c r="B241" s="358"/>
      <c r="C241" s="358"/>
    </row>
    <row r="242" spans="1:3" s="245" customFormat="1" x14ac:dyDescent="0.25">
      <c r="A242" s="247"/>
      <c r="B242" s="358"/>
      <c r="C242" s="358"/>
    </row>
    <row r="243" spans="1:3" s="245" customFormat="1" x14ac:dyDescent="0.25">
      <c r="A243" s="247"/>
      <c r="B243" s="358"/>
      <c r="C243" s="358"/>
    </row>
    <row r="244" spans="1:3" s="245" customFormat="1" x14ac:dyDescent="0.25">
      <c r="A244" s="247"/>
      <c r="B244" s="358"/>
      <c r="C244" s="358"/>
    </row>
    <row r="245" spans="1:3" s="245" customFormat="1" x14ac:dyDescent="0.25">
      <c r="A245" s="247"/>
      <c r="B245" s="358"/>
      <c r="C245" s="358"/>
    </row>
    <row r="246" spans="1:3" s="245" customFormat="1" x14ac:dyDescent="0.25">
      <c r="A246" s="247"/>
      <c r="B246" s="358"/>
      <c r="C246" s="358"/>
    </row>
    <row r="247" spans="1:3" s="245" customFormat="1" x14ac:dyDescent="0.25">
      <c r="A247" s="247"/>
      <c r="B247" s="358"/>
      <c r="C247" s="358"/>
    </row>
    <row r="248" spans="1:3" s="245" customFormat="1" x14ac:dyDescent="0.25">
      <c r="A248" s="247"/>
      <c r="B248" s="358"/>
      <c r="C248" s="358"/>
    </row>
    <row r="249" spans="1:3" s="245" customFormat="1" x14ac:dyDescent="0.25">
      <c r="A249" s="247"/>
      <c r="B249" s="358"/>
      <c r="C249" s="358"/>
    </row>
    <row r="250" spans="1:3" s="245" customFormat="1" x14ac:dyDescent="0.25">
      <c r="A250" s="247"/>
      <c r="B250" s="358"/>
      <c r="C250" s="358"/>
    </row>
    <row r="251" spans="1:3" s="245" customFormat="1" x14ac:dyDescent="0.25">
      <c r="A251" s="247"/>
      <c r="B251" s="358"/>
      <c r="C251" s="358"/>
    </row>
    <row r="252" spans="1:3" s="245" customFormat="1" x14ac:dyDescent="0.25">
      <c r="A252" s="247"/>
      <c r="B252" s="358"/>
      <c r="C252" s="358"/>
    </row>
    <row r="253" spans="1:3" s="245" customFormat="1" x14ac:dyDescent="0.25">
      <c r="A253" s="247"/>
      <c r="B253" s="358"/>
      <c r="C253" s="358"/>
    </row>
    <row r="254" spans="1:3" s="245" customFormat="1" x14ac:dyDescent="0.25">
      <c r="A254" s="247"/>
      <c r="B254" s="358"/>
      <c r="C254" s="358"/>
    </row>
    <row r="255" spans="1:3" s="245" customFormat="1" x14ac:dyDescent="0.25">
      <c r="A255" s="247"/>
      <c r="B255" s="358"/>
      <c r="C255" s="358"/>
    </row>
    <row r="256" spans="1:3" s="245" customFormat="1" x14ac:dyDescent="0.25">
      <c r="A256" s="247"/>
      <c r="B256" s="358"/>
      <c r="C256" s="358"/>
    </row>
    <row r="257" spans="1:3" s="245" customFormat="1" x14ac:dyDescent="0.25">
      <c r="A257" s="247"/>
      <c r="B257" s="358"/>
      <c r="C257" s="358"/>
    </row>
    <row r="258" spans="1:3" s="245" customFormat="1" x14ac:dyDescent="0.25">
      <c r="A258" s="247"/>
      <c r="B258" s="358"/>
      <c r="C258" s="358"/>
    </row>
    <row r="259" spans="1:3" s="245" customFormat="1" x14ac:dyDescent="0.25">
      <c r="A259" s="247"/>
      <c r="B259" s="358"/>
      <c r="C259" s="358"/>
    </row>
    <row r="260" spans="1:3" s="245" customFormat="1" x14ac:dyDescent="0.25">
      <c r="A260" s="247"/>
      <c r="B260" s="358"/>
      <c r="C260" s="358"/>
    </row>
    <row r="261" spans="1:3" s="245" customFormat="1" x14ac:dyDescent="0.25">
      <c r="A261" s="247"/>
      <c r="B261" s="358"/>
      <c r="C261" s="358"/>
    </row>
    <row r="262" spans="1:3" s="245" customFormat="1" x14ac:dyDescent="0.25">
      <c r="A262" s="247"/>
      <c r="B262" s="358"/>
      <c r="C262" s="358"/>
    </row>
    <row r="263" spans="1:3" s="245" customFormat="1" x14ac:dyDescent="0.25">
      <c r="A263" s="247"/>
      <c r="B263" s="358"/>
      <c r="C263" s="358"/>
    </row>
    <row r="264" spans="1:3" s="245" customFormat="1" x14ac:dyDescent="0.25">
      <c r="A264" s="247"/>
      <c r="B264" s="358"/>
      <c r="C264" s="358"/>
    </row>
    <row r="265" spans="1:3" s="245" customFormat="1" x14ac:dyDescent="0.25">
      <c r="A265" s="247"/>
      <c r="B265" s="358"/>
      <c r="C265" s="358"/>
    </row>
    <row r="266" spans="1:3" s="245" customFormat="1" x14ac:dyDescent="0.25">
      <c r="A266" s="247"/>
      <c r="B266" s="358"/>
      <c r="C266" s="358"/>
    </row>
    <row r="267" spans="1:3" s="245" customFormat="1" x14ac:dyDescent="0.25">
      <c r="A267" s="247"/>
      <c r="B267" s="358"/>
      <c r="C267" s="358"/>
    </row>
    <row r="268" spans="1:3" s="245" customFormat="1" x14ac:dyDescent="0.25">
      <c r="A268" s="247"/>
      <c r="B268" s="358"/>
      <c r="C268" s="358"/>
    </row>
    <row r="269" spans="1:3" s="245" customFormat="1" x14ac:dyDescent="0.25">
      <c r="A269" s="247"/>
      <c r="B269" s="358"/>
      <c r="C269" s="358"/>
    </row>
    <row r="270" spans="1:3" s="245" customFormat="1" x14ac:dyDescent="0.25">
      <c r="A270" s="247"/>
      <c r="B270" s="358"/>
      <c r="C270" s="358"/>
    </row>
    <row r="271" spans="1:3" s="245" customFormat="1" x14ac:dyDescent="0.25">
      <c r="A271" s="247"/>
      <c r="B271" s="358"/>
      <c r="C271" s="358"/>
    </row>
    <row r="272" spans="1:3" s="245" customFormat="1" x14ac:dyDescent="0.25">
      <c r="A272" s="247"/>
      <c r="B272" s="358"/>
      <c r="C272" s="358"/>
    </row>
    <row r="273" spans="1:3" s="245" customFormat="1" x14ac:dyDescent="0.25">
      <c r="A273" s="247"/>
      <c r="B273" s="358"/>
      <c r="C273" s="358"/>
    </row>
    <row r="274" spans="1:3" s="245" customFormat="1" x14ac:dyDescent="0.25">
      <c r="A274" s="247"/>
      <c r="B274" s="358"/>
      <c r="C274" s="358"/>
    </row>
    <row r="275" spans="1:3" s="245" customFormat="1" x14ac:dyDescent="0.25">
      <c r="A275" s="247"/>
      <c r="B275" s="358"/>
      <c r="C275" s="358"/>
    </row>
    <row r="276" spans="1:3" s="245" customFormat="1" x14ac:dyDescent="0.25">
      <c r="A276" s="247"/>
      <c r="B276" s="358"/>
      <c r="C276" s="358"/>
    </row>
    <row r="277" spans="1:3" s="245" customFormat="1" x14ac:dyDescent="0.25">
      <c r="A277" s="247"/>
      <c r="B277" s="358"/>
      <c r="C277" s="358"/>
    </row>
    <row r="278" spans="1:3" s="245" customFormat="1" x14ac:dyDescent="0.25">
      <c r="A278" s="247"/>
      <c r="B278" s="358"/>
      <c r="C278" s="358"/>
    </row>
    <row r="279" spans="1:3" s="245" customFormat="1" x14ac:dyDescent="0.25">
      <c r="A279" s="247"/>
      <c r="B279" s="358"/>
      <c r="C279" s="358"/>
    </row>
    <row r="280" spans="1:3" s="245" customFormat="1" x14ac:dyDescent="0.25">
      <c r="A280" s="247"/>
      <c r="B280" s="358"/>
      <c r="C280" s="358"/>
    </row>
    <row r="281" spans="1:3" s="245" customFormat="1" x14ac:dyDescent="0.25">
      <c r="A281" s="247"/>
      <c r="B281" s="358"/>
      <c r="C281" s="358"/>
    </row>
    <row r="282" spans="1:3" s="245" customFormat="1" x14ac:dyDescent="0.25">
      <c r="A282" s="247"/>
      <c r="B282" s="358"/>
      <c r="C282" s="358"/>
    </row>
    <row r="283" spans="1:3" s="245" customFormat="1" x14ac:dyDescent="0.25">
      <c r="A283" s="247"/>
      <c r="B283" s="358"/>
      <c r="C283" s="358"/>
    </row>
    <row r="284" spans="1:3" s="245" customFormat="1" x14ac:dyDescent="0.25">
      <c r="A284" s="247"/>
      <c r="B284" s="358"/>
      <c r="C284" s="358"/>
    </row>
    <row r="285" spans="1:3" s="245" customFormat="1" x14ac:dyDescent="0.25">
      <c r="A285" s="247"/>
      <c r="B285" s="358"/>
      <c r="C285" s="358"/>
    </row>
    <row r="286" spans="1:3" s="245" customFormat="1" x14ac:dyDescent="0.25">
      <c r="A286" s="247"/>
      <c r="B286" s="358"/>
      <c r="C286" s="358"/>
    </row>
    <row r="287" spans="1:3" s="245" customFormat="1" x14ac:dyDescent="0.25">
      <c r="A287" s="247"/>
      <c r="B287" s="358"/>
      <c r="C287" s="358"/>
    </row>
    <row r="288" spans="1:3" s="245" customFormat="1" x14ac:dyDescent="0.25">
      <c r="A288" s="247"/>
      <c r="B288" s="358"/>
      <c r="C288" s="358"/>
    </row>
    <row r="289" spans="1:3" s="245" customFormat="1" x14ac:dyDescent="0.25">
      <c r="A289" s="247"/>
      <c r="B289" s="358"/>
      <c r="C289" s="358"/>
    </row>
    <row r="290" spans="1:3" s="245" customFormat="1" x14ac:dyDescent="0.25">
      <c r="A290" s="247"/>
      <c r="B290" s="358"/>
      <c r="C290" s="358"/>
    </row>
    <row r="291" spans="1:3" s="245" customFormat="1" x14ac:dyDescent="0.25">
      <c r="A291" s="247"/>
      <c r="B291" s="358"/>
      <c r="C291" s="358"/>
    </row>
    <row r="292" spans="1:3" s="245" customFormat="1" x14ac:dyDescent="0.25">
      <c r="A292" s="247"/>
      <c r="B292" s="358"/>
      <c r="C292" s="358"/>
    </row>
    <row r="293" spans="1:3" s="245" customFormat="1" x14ac:dyDescent="0.25">
      <c r="A293" s="247"/>
      <c r="B293" s="358"/>
      <c r="C293" s="358"/>
    </row>
    <row r="294" spans="1:3" s="245" customFormat="1" x14ac:dyDescent="0.25">
      <c r="A294" s="247"/>
      <c r="B294" s="358"/>
      <c r="C294" s="358"/>
    </row>
    <row r="295" spans="1:3" s="245" customFormat="1" x14ac:dyDescent="0.25">
      <c r="A295" s="247"/>
      <c r="B295" s="358"/>
      <c r="C295" s="358"/>
    </row>
    <row r="296" spans="1:3" s="245" customFormat="1" x14ac:dyDescent="0.25">
      <c r="A296" s="247"/>
      <c r="B296" s="358"/>
      <c r="C296" s="358"/>
    </row>
    <row r="297" spans="1:3" s="245" customFormat="1" x14ac:dyDescent="0.25">
      <c r="A297" s="247"/>
      <c r="B297" s="358"/>
      <c r="C297" s="358"/>
    </row>
    <row r="298" spans="1:3" s="245" customFormat="1" x14ac:dyDescent="0.25">
      <c r="A298" s="247"/>
      <c r="B298" s="358"/>
      <c r="C298" s="358"/>
    </row>
    <row r="299" spans="1:3" s="245" customFormat="1" x14ac:dyDescent="0.25">
      <c r="A299" s="247"/>
      <c r="B299" s="358"/>
      <c r="C299" s="358"/>
    </row>
    <row r="300" spans="1:3" s="245" customFormat="1" x14ac:dyDescent="0.25">
      <c r="A300" s="247"/>
      <c r="B300" s="358"/>
      <c r="C300" s="358"/>
    </row>
    <row r="301" spans="1:3" s="245" customFormat="1" x14ac:dyDescent="0.25">
      <c r="A301" s="247"/>
      <c r="B301" s="358"/>
      <c r="C301" s="358"/>
    </row>
    <row r="302" spans="1:3" s="245" customFormat="1" x14ac:dyDescent="0.25">
      <c r="A302" s="247"/>
      <c r="B302" s="358"/>
      <c r="C302" s="358"/>
    </row>
    <row r="303" spans="1:3" s="245" customFormat="1" x14ac:dyDescent="0.25">
      <c r="A303" s="247"/>
      <c r="B303" s="358"/>
      <c r="C303" s="358"/>
    </row>
    <row r="304" spans="1:3" s="245" customFormat="1" x14ac:dyDescent="0.25">
      <c r="A304" s="247"/>
      <c r="B304" s="358"/>
      <c r="C304" s="358"/>
    </row>
    <row r="305" spans="1:3" s="245" customFormat="1" x14ac:dyDescent="0.25">
      <c r="A305" s="247"/>
      <c r="B305" s="358"/>
      <c r="C305" s="358"/>
    </row>
    <row r="306" spans="1:3" s="245" customFormat="1" x14ac:dyDescent="0.25">
      <c r="A306" s="247"/>
      <c r="B306" s="358"/>
      <c r="C306" s="358"/>
    </row>
    <row r="307" spans="1:3" s="245" customFormat="1" x14ac:dyDescent="0.25">
      <c r="A307" s="247"/>
      <c r="B307" s="358"/>
      <c r="C307" s="358"/>
    </row>
    <row r="308" spans="1:3" s="245" customFormat="1" x14ac:dyDescent="0.25">
      <c r="A308" s="247"/>
      <c r="B308" s="358"/>
      <c r="C308" s="358"/>
    </row>
    <row r="309" spans="1:3" s="245" customFormat="1" x14ac:dyDescent="0.25">
      <c r="A309" s="247"/>
      <c r="B309" s="358"/>
      <c r="C309" s="358"/>
    </row>
    <row r="310" spans="1:3" s="245" customFormat="1" x14ac:dyDescent="0.25">
      <c r="A310" s="247"/>
      <c r="B310" s="358"/>
      <c r="C310" s="358"/>
    </row>
    <row r="311" spans="1:3" s="245" customFormat="1" x14ac:dyDescent="0.25">
      <c r="A311" s="247"/>
      <c r="B311" s="358"/>
      <c r="C311" s="358"/>
    </row>
    <row r="312" spans="1:3" s="245" customFormat="1" x14ac:dyDescent="0.25">
      <c r="A312" s="247"/>
      <c r="B312" s="358"/>
      <c r="C312" s="358"/>
    </row>
    <row r="313" spans="1:3" s="245" customFormat="1" x14ac:dyDescent="0.25">
      <c r="A313" s="247"/>
      <c r="B313" s="358"/>
      <c r="C313" s="358"/>
    </row>
    <row r="314" spans="1:3" s="245" customFormat="1" x14ac:dyDescent="0.25">
      <c r="A314" s="247"/>
      <c r="B314" s="358"/>
      <c r="C314" s="358"/>
    </row>
    <row r="315" spans="1:3" s="245" customFormat="1" x14ac:dyDescent="0.25">
      <c r="A315" s="247"/>
      <c r="B315" s="358"/>
      <c r="C315" s="358"/>
    </row>
    <row r="316" spans="1:3" s="245" customFormat="1" x14ac:dyDescent="0.25">
      <c r="A316" s="247"/>
      <c r="B316" s="358"/>
      <c r="C316" s="358"/>
    </row>
    <row r="317" spans="1:3" s="245" customFormat="1" x14ac:dyDescent="0.25">
      <c r="A317" s="247"/>
      <c r="B317" s="358"/>
      <c r="C317" s="358"/>
    </row>
    <row r="318" spans="1:3" s="245" customFormat="1" x14ac:dyDescent="0.25">
      <c r="A318" s="247"/>
      <c r="B318" s="358"/>
      <c r="C318" s="358"/>
    </row>
    <row r="319" spans="1:3" s="245" customFormat="1" x14ac:dyDescent="0.25">
      <c r="A319" s="247"/>
      <c r="B319" s="358"/>
      <c r="C319" s="358"/>
    </row>
    <row r="320" spans="1:3" s="245" customFormat="1" x14ac:dyDescent="0.25">
      <c r="A320" s="247"/>
      <c r="B320" s="358"/>
      <c r="C320" s="358"/>
    </row>
    <row r="321" spans="1:3" s="245" customFormat="1" x14ac:dyDescent="0.25">
      <c r="A321" s="247"/>
      <c r="B321" s="358"/>
      <c r="C321" s="358"/>
    </row>
    <row r="322" spans="1:3" s="245" customFormat="1" x14ac:dyDescent="0.25">
      <c r="A322" s="247"/>
      <c r="B322" s="358"/>
      <c r="C322" s="358"/>
    </row>
    <row r="323" spans="1:3" s="245" customFormat="1" x14ac:dyDescent="0.25">
      <c r="A323" s="247"/>
      <c r="B323" s="358"/>
      <c r="C323" s="358"/>
    </row>
    <row r="324" spans="1:3" s="245" customFormat="1" x14ac:dyDescent="0.25">
      <c r="A324" s="247"/>
      <c r="B324" s="358"/>
      <c r="C324" s="358"/>
    </row>
    <row r="325" spans="1:3" s="245" customFormat="1" x14ac:dyDescent="0.25">
      <c r="A325" s="247"/>
      <c r="B325" s="358"/>
      <c r="C325" s="358"/>
    </row>
    <row r="326" spans="1:3" s="245" customFormat="1" x14ac:dyDescent="0.25">
      <c r="A326" s="247"/>
      <c r="B326" s="358"/>
      <c r="C326" s="358"/>
    </row>
    <row r="327" spans="1:3" s="245" customFormat="1" x14ac:dyDescent="0.25">
      <c r="A327" s="247"/>
      <c r="B327" s="358"/>
      <c r="C327" s="358"/>
    </row>
    <row r="328" spans="1:3" s="245" customFormat="1" x14ac:dyDescent="0.25">
      <c r="A328" s="247"/>
      <c r="B328" s="358"/>
      <c r="C328" s="358"/>
    </row>
    <row r="329" spans="1:3" s="245" customFormat="1" x14ac:dyDescent="0.25">
      <c r="A329" s="247"/>
      <c r="B329" s="358"/>
      <c r="C329" s="358"/>
    </row>
    <row r="330" spans="1:3" s="245" customFormat="1" x14ac:dyDescent="0.25">
      <c r="A330" s="247"/>
      <c r="B330" s="358"/>
      <c r="C330" s="358"/>
    </row>
    <row r="331" spans="1:3" s="245" customFormat="1" x14ac:dyDescent="0.25">
      <c r="A331" s="247"/>
      <c r="B331" s="358"/>
      <c r="C331" s="358"/>
    </row>
    <row r="332" spans="1:3" s="245" customFormat="1" x14ac:dyDescent="0.25">
      <c r="A332" s="247"/>
      <c r="B332" s="358"/>
      <c r="C332" s="358"/>
    </row>
    <row r="333" spans="1:3" s="245" customFormat="1" x14ac:dyDescent="0.25">
      <c r="A333" s="247"/>
      <c r="B333" s="358"/>
      <c r="C333" s="358"/>
    </row>
    <row r="334" spans="1:3" s="245" customFormat="1" x14ac:dyDescent="0.25">
      <c r="A334" s="247"/>
      <c r="B334" s="358"/>
      <c r="C334" s="358"/>
    </row>
    <row r="335" spans="1:3" s="245" customFormat="1" x14ac:dyDescent="0.25">
      <c r="A335" s="247"/>
      <c r="B335" s="358"/>
      <c r="C335" s="358"/>
    </row>
    <row r="336" spans="1:3" s="245" customFormat="1" x14ac:dyDescent="0.25">
      <c r="A336" s="247"/>
      <c r="B336" s="358"/>
      <c r="C336" s="358"/>
    </row>
    <row r="337" spans="1:3" s="245" customFormat="1" x14ac:dyDescent="0.25">
      <c r="A337" s="247"/>
      <c r="B337" s="358"/>
      <c r="C337" s="358"/>
    </row>
    <row r="338" spans="1:3" s="245" customFormat="1" x14ac:dyDescent="0.25">
      <c r="A338" s="247"/>
      <c r="B338" s="358"/>
      <c r="C338" s="358"/>
    </row>
    <row r="339" spans="1:3" s="245" customFormat="1" x14ac:dyDescent="0.25">
      <c r="A339" s="247"/>
      <c r="B339" s="358"/>
      <c r="C339" s="358"/>
    </row>
    <row r="340" spans="1:3" s="245" customFormat="1" x14ac:dyDescent="0.25">
      <c r="A340" s="247"/>
      <c r="B340" s="358"/>
      <c r="C340" s="358"/>
    </row>
    <row r="341" spans="1:3" s="245" customFormat="1" x14ac:dyDescent="0.25">
      <c r="A341" s="247"/>
      <c r="B341" s="358"/>
      <c r="C341" s="358"/>
    </row>
    <row r="342" spans="1:3" s="245" customFormat="1" x14ac:dyDescent="0.25">
      <c r="A342" s="247"/>
      <c r="B342" s="358"/>
      <c r="C342" s="358"/>
    </row>
    <row r="343" spans="1:3" s="245" customFormat="1" x14ac:dyDescent="0.25">
      <c r="A343" s="247"/>
      <c r="B343" s="358"/>
      <c r="C343" s="358"/>
    </row>
    <row r="344" spans="1:3" s="245" customFormat="1" x14ac:dyDescent="0.25">
      <c r="A344" s="247"/>
      <c r="B344" s="358"/>
      <c r="C344" s="358"/>
    </row>
    <row r="345" spans="1:3" s="245" customFormat="1" x14ac:dyDescent="0.25">
      <c r="A345" s="247"/>
      <c r="B345" s="358"/>
      <c r="C345" s="358"/>
    </row>
    <row r="346" spans="1:3" s="245" customFormat="1" x14ac:dyDescent="0.25">
      <c r="A346" s="247"/>
      <c r="B346" s="358"/>
      <c r="C346" s="358"/>
    </row>
    <row r="347" spans="1:3" s="245" customFormat="1" x14ac:dyDescent="0.25">
      <c r="A347" s="247"/>
      <c r="B347" s="358"/>
      <c r="C347" s="358"/>
    </row>
    <row r="348" spans="1:3" s="245" customFormat="1" x14ac:dyDescent="0.25">
      <c r="A348" s="247"/>
      <c r="B348" s="358"/>
      <c r="C348" s="358"/>
    </row>
    <row r="349" spans="1:3" s="245" customFormat="1" x14ac:dyDescent="0.25">
      <c r="A349" s="247"/>
      <c r="B349" s="358"/>
      <c r="C349" s="358"/>
    </row>
    <row r="350" spans="1:3" s="245" customFormat="1" x14ac:dyDescent="0.25">
      <c r="A350" s="247"/>
      <c r="B350" s="358"/>
      <c r="C350" s="358"/>
    </row>
    <row r="351" spans="1:3" s="245" customFormat="1" x14ac:dyDescent="0.25">
      <c r="A351" s="247"/>
      <c r="B351" s="358"/>
      <c r="C351" s="358"/>
    </row>
    <row r="352" spans="1:3" s="245" customFormat="1" x14ac:dyDescent="0.25">
      <c r="A352" s="247"/>
      <c r="B352" s="358"/>
      <c r="C352" s="358"/>
    </row>
    <row r="353" spans="1:3" s="245" customFormat="1" x14ac:dyDescent="0.25">
      <c r="A353" s="247"/>
      <c r="B353" s="358"/>
      <c r="C353" s="358"/>
    </row>
    <row r="354" spans="1:3" s="245" customFormat="1" x14ac:dyDescent="0.25">
      <c r="A354" s="247"/>
      <c r="B354" s="358"/>
      <c r="C354" s="358"/>
    </row>
    <row r="355" spans="1:3" s="245" customFormat="1" x14ac:dyDescent="0.25">
      <c r="A355" s="247"/>
      <c r="B355" s="358"/>
      <c r="C355" s="358"/>
    </row>
    <row r="356" spans="1:3" s="245" customFormat="1" x14ac:dyDescent="0.25">
      <c r="A356" s="247"/>
      <c r="B356" s="358"/>
      <c r="C356" s="358"/>
    </row>
    <row r="357" spans="1:3" s="245" customFormat="1" x14ac:dyDescent="0.25">
      <c r="A357" s="247"/>
      <c r="B357" s="358"/>
      <c r="C357" s="358"/>
    </row>
    <row r="358" spans="1:3" s="245" customFormat="1" x14ac:dyDescent="0.25">
      <c r="A358" s="247"/>
      <c r="B358" s="358"/>
      <c r="C358" s="358"/>
    </row>
    <row r="359" spans="1:3" s="245" customFormat="1" x14ac:dyDescent="0.25">
      <c r="A359" s="247"/>
      <c r="B359" s="358"/>
      <c r="C359" s="358"/>
    </row>
    <row r="360" spans="1:3" s="245" customFormat="1" x14ac:dyDescent="0.25">
      <c r="A360" s="247"/>
      <c r="B360" s="358"/>
      <c r="C360" s="358"/>
    </row>
    <row r="361" spans="1:3" s="245" customFormat="1" x14ac:dyDescent="0.25">
      <c r="A361" s="247"/>
      <c r="B361" s="358"/>
      <c r="C361" s="358"/>
    </row>
    <row r="362" spans="1:3" s="245" customFormat="1" x14ac:dyDescent="0.25">
      <c r="A362" s="247"/>
      <c r="B362" s="358"/>
      <c r="C362" s="358"/>
    </row>
    <row r="363" spans="1:3" s="245" customFormat="1" x14ac:dyDescent="0.25">
      <c r="A363" s="247"/>
      <c r="B363" s="358"/>
      <c r="C363" s="358"/>
    </row>
    <row r="364" spans="1:3" s="245" customFormat="1" x14ac:dyDescent="0.25">
      <c r="A364" s="247"/>
      <c r="B364" s="358"/>
      <c r="C364" s="358"/>
    </row>
    <row r="365" spans="1:3" s="245" customFormat="1" x14ac:dyDescent="0.25">
      <c r="A365" s="247"/>
      <c r="B365" s="358"/>
      <c r="C365" s="358"/>
    </row>
    <row r="366" spans="1:3" s="245" customFormat="1" x14ac:dyDescent="0.25">
      <c r="A366" s="247"/>
      <c r="B366" s="358"/>
      <c r="C366" s="358"/>
    </row>
    <row r="367" spans="1:3" s="245" customFormat="1" x14ac:dyDescent="0.25">
      <c r="A367" s="247"/>
      <c r="B367" s="358"/>
      <c r="C367" s="358"/>
    </row>
    <row r="368" spans="1:3" s="245" customFormat="1" x14ac:dyDescent="0.25">
      <c r="A368" s="247"/>
      <c r="B368" s="358"/>
      <c r="C368" s="358"/>
    </row>
    <row r="369" spans="1:3" s="245" customFormat="1" x14ac:dyDescent="0.25">
      <c r="A369" s="247"/>
      <c r="B369" s="358"/>
      <c r="C369" s="358"/>
    </row>
    <row r="370" spans="1:3" s="245" customFormat="1" x14ac:dyDescent="0.25">
      <c r="A370" s="247"/>
      <c r="B370" s="358"/>
      <c r="C370" s="358"/>
    </row>
    <row r="371" spans="1:3" s="245" customFormat="1" x14ac:dyDescent="0.25">
      <c r="A371" s="247"/>
      <c r="B371" s="358"/>
      <c r="C371" s="358"/>
    </row>
    <row r="372" spans="1:3" s="245" customFormat="1" x14ac:dyDescent="0.25">
      <c r="A372" s="247"/>
      <c r="B372" s="358"/>
      <c r="C372" s="358"/>
    </row>
    <row r="373" spans="1:3" s="245" customFormat="1" x14ac:dyDescent="0.25">
      <c r="A373" s="247"/>
      <c r="B373" s="358"/>
      <c r="C373" s="358"/>
    </row>
    <row r="374" spans="1:3" s="245" customFormat="1" x14ac:dyDescent="0.25">
      <c r="A374" s="247"/>
      <c r="B374" s="358"/>
      <c r="C374" s="358"/>
    </row>
    <row r="375" spans="1:3" s="245" customFormat="1" x14ac:dyDescent="0.25">
      <c r="A375" s="247"/>
      <c r="B375" s="358"/>
      <c r="C375" s="358"/>
    </row>
    <row r="376" spans="1:3" s="245" customFormat="1" x14ac:dyDescent="0.25">
      <c r="A376" s="247"/>
      <c r="B376" s="358"/>
      <c r="C376" s="358"/>
    </row>
    <row r="377" spans="1:3" s="245" customFormat="1" x14ac:dyDescent="0.25">
      <c r="A377" s="247"/>
      <c r="B377" s="358"/>
      <c r="C377" s="358"/>
    </row>
    <row r="378" spans="1:3" s="245" customFormat="1" x14ac:dyDescent="0.25">
      <c r="A378" s="247"/>
      <c r="B378" s="358"/>
      <c r="C378" s="358"/>
    </row>
    <row r="379" spans="1:3" s="245" customFormat="1" x14ac:dyDescent="0.25">
      <c r="A379" s="247"/>
      <c r="B379" s="358"/>
      <c r="C379" s="358"/>
    </row>
    <row r="380" spans="1:3" s="245" customFormat="1" x14ac:dyDescent="0.25">
      <c r="A380" s="247"/>
      <c r="B380" s="358"/>
      <c r="C380" s="358"/>
    </row>
    <row r="381" spans="1:3" s="245" customFormat="1" x14ac:dyDescent="0.25">
      <c r="A381" s="247"/>
      <c r="B381" s="358"/>
      <c r="C381" s="358"/>
    </row>
    <row r="382" spans="1:3" s="245" customFormat="1" x14ac:dyDescent="0.25">
      <c r="A382" s="247"/>
      <c r="B382" s="358"/>
      <c r="C382" s="358"/>
    </row>
    <row r="383" spans="1:3" s="245" customFormat="1" x14ac:dyDescent="0.25">
      <c r="A383" s="247"/>
      <c r="B383" s="358"/>
      <c r="C383" s="358"/>
    </row>
    <row r="384" spans="1:3" s="245" customFormat="1" x14ac:dyDescent="0.25">
      <c r="A384" s="247"/>
      <c r="B384" s="358"/>
      <c r="C384" s="358"/>
    </row>
    <row r="385" spans="1:3" s="245" customFormat="1" x14ac:dyDescent="0.25">
      <c r="A385" s="247"/>
      <c r="B385" s="358"/>
      <c r="C385" s="358"/>
    </row>
    <row r="386" spans="1:3" s="245" customFormat="1" x14ac:dyDescent="0.25">
      <c r="A386" s="247"/>
      <c r="B386" s="358"/>
      <c r="C386" s="358"/>
    </row>
    <row r="387" spans="1:3" s="245" customFormat="1" x14ac:dyDescent="0.25">
      <c r="A387" s="247"/>
      <c r="B387" s="358"/>
      <c r="C387" s="358"/>
    </row>
    <row r="388" spans="1:3" s="245" customFormat="1" x14ac:dyDescent="0.25">
      <c r="A388" s="247"/>
      <c r="B388" s="358"/>
      <c r="C388" s="358"/>
    </row>
    <row r="389" spans="1:3" s="245" customFormat="1" x14ac:dyDescent="0.25">
      <c r="A389" s="247"/>
      <c r="B389" s="358"/>
      <c r="C389" s="358"/>
    </row>
    <row r="390" spans="1:3" s="245" customFormat="1" x14ac:dyDescent="0.25">
      <c r="A390" s="247"/>
      <c r="B390" s="358"/>
      <c r="C390" s="358"/>
    </row>
    <row r="391" spans="1:3" s="245" customFormat="1" x14ac:dyDescent="0.25">
      <c r="A391" s="247"/>
      <c r="B391" s="358"/>
      <c r="C391" s="358"/>
    </row>
    <row r="392" spans="1:3" s="245" customFormat="1" x14ac:dyDescent="0.25">
      <c r="A392" s="247"/>
      <c r="B392" s="358"/>
      <c r="C392" s="358"/>
    </row>
    <row r="393" spans="1:3" s="245" customFormat="1" x14ac:dyDescent="0.25">
      <c r="A393" s="247"/>
      <c r="B393" s="358"/>
      <c r="C393" s="358"/>
    </row>
    <row r="394" spans="1:3" s="245" customFormat="1" x14ac:dyDescent="0.25">
      <c r="A394" s="247"/>
      <c r="B394" s="358"/>
      <c r="C394" s="358"/>
    </row>
    <row r="395" spans="1:3" s="245" customFormat="1" x14ac:dyDescent="0.25">
      <c r="A395" s="247"/>
      <c r="B395" s="358"/>
      <c r="C395" s="358"/>
    </row>
    <row r="396" spans="1:3" s="245" customFormat="1" x14ac:dyDescent="0.25">
      <c r="A396" s="247"/>
      <c r="B396" s="358"/>
      <c r="C396" s="358"/>
    </row>
    <row r="397" spans="1:3" s="245" customFormat="1" x14ac:dyDescent="0.25">
      <c r="A397" s="247"/>
      <c r="B397" s="358"/>
      <c r="C397" s="358"/>
    </row>
    <row r="398" spans="1:3" s="245" customFormat="1" x14ac:dyDescent="0.25">
      <c r="A398" s="247"/>
      <c r="B398" s="358"/>
      <c r="C398" s="358"/>
    </row>
    <row r="399" spans="1:3" s="245" customFormat="1" x14ac:dyDescent="0.25">
      <c r="A399" s="247"/>
      <c r="B399" s="358"/>
      <c r="C399" s="358"/>
    </row>
    <row r="400" spans="1:3" s="245" customFormat="1" x14ac:dyDescent="0.25">
      <c r="A400" s="247"/>
      <c r="B400" s="358"/>
      <c r="C400" s="358"/>
    </row>
    <row r="401" spans="1:3" s="245" customFormat="1" x14ac:dyDescent="0.25">
      <c r="A401" s="247"/>
      <c r="B401" s="358"/>
      <c r="C401" s="358"/>
    </row>
    <row r="402" spans="1:3" s="245" customFormat="1" x14ac:dyDescent="0.25">
      <c r="A402" s="247"/>
      <c r="B402" s="358"/>
      <c r="C402" s="358"/>
    </row>
    <row r="403" spans="1:3" s="245" customFormat="1" x14ac:dyDescent="0.25">
      <c r="A403" s="247"/>
      <c r="B403" s="358"/>
      <c r="C403" s="358"/>
    </row>
    <row r="404" spans="1:3" s="245" customFormat="1" x14ac:dyDescent="0.25">
      <c r="A404" s="247"/>
      <c r="B404" s="358"/>
      <c r="C404" s="358"/>
    </row>
    <row r="405" spans="1:3" s="245" customFormat="1" x14ac:dyDescent="0.25">
      <c r="A405" s="247"/>
      <c r="B405" s="358"/>
      <c r="C405" s="358"/>
    </row>
    <row r="406" spans="1:3" s="245" customFormat="1" x14ac:dyDescent="0.25">
      <c r="A406" s="247"/>
      <c r="B406" s="358"/>
      <c r="C406" s="358"/>
    </row>
    <row r="407" spans="1:3" s="245" customFormat="1" x14ac:dyDescent="0.25">
      <c r="A407" s="247"/>
      <c r="B407" s="358"/>
      <c r="C407" s="358"/>
    </row>
    <row r="408" spans="1:3" s="245" customFormat="1" x14ac:dyDescent="0.25">
      <c r="A408" s="247"/>
      <c r="B408" s="358"/>
      <c r="C408" s="358"/>
    </row>
    <row r="409" spans="1:3" s="245" customFormat="1" x14ac:dyDescent="0.25">
      <c r="A409" s="247"/>
      <c r="B409" s="358"/>
      <c r="C409" s="358"/>
    </row>
    <row r="410" spans="1:3" s="245" customFormat="1" x14ac:dyDescent="0.25">
      <c r="A410" s="247"/>
      <c r="B410" s="358"/>
      <c r="C410" s="358"/>
    </row>
    <row r="411" spans="1:3" s="245" customFormat="1" x14ac:dyDescent="0.25">
      <c r="A411" s="247"/>
      <c r="B411" s="358"/>
      <c r="C411" s="358"/>
    </row>
    <row r="412" spans="1:3" s="245" customFormat="1" x14ac:dyDescent="0.25">
      <c r="A412" s="247"/>
      <c r="B412" s="358"/>
      <c r="C412" s="358"/>
    </row>
    <row r="413" spans="1:3" s="245" customFormat="1" x14ac:dyDescent="0.25">
      <c r="A413" s="247"/>
      <c r="B413" s="358"/>
      <c r="C413" s="358"/>
    </row>
    <row r="414" spans="1:3" s="245" customFormat="1" x14ac:dyDescent="0.25">
      <c r="A414" s="247"/>
      <c r="B414" s="358"/>
      <c r="C414" s="358"/>
    </row>
    <row r="415" spans="1:3" s="245" customFormat="1" x14ac:dyDescent="0.25">
      <c r="A415" s="247"/>
      <c r="B415" s="358"/>
      <c r="C415" s="358"/>
    </row>
    <row r="416" spans="1:3" s="245" customFormat="1" x14ac:dyDescent="0.25">
      <c r="A416" s="247"/>
      <c r="B416" s="358"/>
      <c r="C416" s="358"/>
    </row>
    <row r="417" spans="1:3" s="245" customFormat="1" x14ac:dyDescent="0.25">
      <c r="A417" s="247"/>
      <c r="B417" s="358"/>
      <c r="C417" s="358"/>
    </row>
    <row r="418" spans="1:3" s="245" customFormat="1" x14ac:dyDescent="0.25">
      <c r="A418" s="247"/>
      <c r="B418" s="358"/>
      <c r="C418" s="358"/>
    </row>
    <row r="419" spans="1:3" s="245" customFormat="1" x14ac:dyDescent="0.25">
      <c r="A419" s="247"/>
      <c r="B419" s="358"/>
      <c r="C419" s="358"/>
    </row>
    <row r="420" spans="1:3" s="245" customFormat="1" x14ac:dyDescent="0.25">
      <c r="A420" s="247"/>
      <c r="B420" s="358"/>
      <c r="C420" s="358"/>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D19" sqref="D19"/>
    </sheetView>
  </sheetViews>
  <sheetFormatPr defaultColWidth="9.109375" defaultRowHeight="13.8" x14ac:dyDescent="0.25"/>
  <cols>
    <col min="1" max="1" width="85.109375" style="16" customWidth="1"/>
    <col min="2" max="2" width="3.44140625" style="16" customWidth="1"/>
    <col min="3" max="3" width="26.5546875" style="16" customWidth="1"/>
    <col min="4" max="5" width="9.109375" style="16"/>
    <col min="6" max="6" width="34.44140625" style="16" customWidth="1"/>
    <col min="7" max="16384" width="9.109375" style="16"/>
  </cols>
  <sheetData>
    <row r="1" spans="1:5" s="1" customFormat="1" ht="35.1" customHeight="1" x14ac:dyDescent="0.25">
      <c r="A1" s="105" t="s">
        <v>16</v>
      </c>
      <c r="B1" s="368" t="s">
        <v>3</v>
      </c>
      <c r="C1" s="368" t="s">
        <v>3</v>
      </c>
      <c r="D1" s="368" t="s">
        <v>3</v>
      </c>
      <c r="E1" s="368" t="s">
        <v>3</v>
      </c>
    </row>
    <row r="2" spans="1:5" s="1" customFormat="1" ht="15" x14ac:dyDescent="0.25">
      <c r="A2" s="369" t="s">
        <v>3</v>
      </c>
      <c r="B2" s="370" t="s">
        <v>3</v>
      </c>
      <c r="C2" s="370" t="s">
        <v>3</v>
      </c>
      <c r="D2" s="370" t="s">
        <v>3</v>
      </c>
      <c r="E2" s="370" t="s">
        <v>3</v>
      </c>
    </row>
    <row r="3" spans="1:5" s="1" customFormat="1" ht="55.2" x14ac:dyDescent="0.25">
      <c r="A3" s="13" t="s">
        <v>427</v>
      </c>
      <c r="B3" s="368" t="s">
        <v>3</v>
      </c>
      <c r="C3" s="368" t="s">
        <v>3</v>
      </c>
      <c r="D3" s="368" t="s">
        <v>3</v>
      </c>
      <c r="E3" s="368" t="s">
        <v>3</v>
      </c>
    </row>
    <row r="4" spans="1:5" s="1" customFormat="1" ht="15" x14ac:dyDescent="0.25">
      <c r="A4" s="369" t="s">
        <v>3</v>
      </c>
      <c r="B4" s="370" t="s">
        <v>3</v>
      </c>
      <c r="C4" s="370" t="s">
        <v>3</v>
      </c>
      <c r="D4" s="370" t="s">
        <v>3</v>
      </c>
      <c r="E4" s="370" t="s">
        <v>3</v>
      </c>
    </row>
    <row r="5" spans="1:5" s="1" customFormat="1" ht="41.4" x14ac:dyDescent="0.25">
      <c r="A5" s="562" t="s">
        <v>546</v>
      </c>
      <c r="B5" s="368" t="s">
        <v>3</v>
      </c>
      <c r="C5" s="368" t="s">
        <v>3</v>
      </c>
      <c r="D5" s="368" t="s">
        <v>3</v>
      </c>
      <c r="E5" s="368" t="s">
        <v>3</v>
      </c>
    </row>
    <row r="6" spans="1:5" s="1" customFormat="1" ht="15" x14ac:dyDescent="0.25">
      <c r="A6" s="369" t="s">
        <v>3</v>
      </c>
      <c r="B6" s="370" t="s">
        <v>3</v>
      </c>
      <c r="C6" s="370" t="s">
        <v>3</v>
      </c>
      <c r="D6" s="370" t="s">
        <v>3</v>
      </c>
      <c r="E6" s="370" t="s">
        <v>3</v>
      </c>
    </row>
    <row r="7" spans="1:5" s="408" customFormat="1" ht="220.8" x14ac:dyDescent="0.3">
      <c r="A7" s="15" t="s">
        <v>549</v>
      </c>
      <c r="B7" s="367" t="s">
        <v>3</v>
      </c>
      <c r="C7" s="367" t="s">
        <v>3</v>
      </c>
      <c r="D7" s="367" t="s">
        <v>3</v>
      </c>
      <c r="E7" s="367" t="s">
        <v>3</v>
      </c>
    </row>
    <row r="8" spans="1:5" ht="30" customHeight="1" x14ac:dyDescent="0.25">
      <c r="A8" s="369" t="s">
        <v>3</v>
      </c>
      <c r="B8" s="370" t="s">
        <v>3</v>
      </c>
      <c r="C8" s="370" t="s">
        <v>3</v>
      </c>
      <c r="D8" s="370" t="s">
        <v>3</v>
      </c>
      <c r="E8" s="370" t="s">
        <v>3</v>
      </c>
    </row>
    <row r="9" spans="1:5" s="106" customFormat="1" ht="40.35" customHeight="1" x14ac:dyDescent="0.3">
      <c r="A9" s="15" t="s">
        <v>429</v>
      </c>
      <c r="B9" s="367" t="s">
        <v>3</v>
      </c>
      <c r="C9" s="367" t="s">
        <v>3</v>
      </c>
      <c r="D9" s="367" t="s">
        <v>3</v>
      </c>
      <c r="E9" s="367" t="s">
        <v>3</v>
      </c>
    </row>
    <row r="10" spans="1:5" ht="30" customHeight="1" x14ac:dyDescent="0.25">
      <c r="A10" s="369" t="s">
        <v>3</v>
      </c>
      <c r="B10" s="370" t="s">
        <v>3</v>
      </c>
      <c r="C10" s="370" t="s">
        <v>3</v>
      </c>
      <c r="D10" s="370" t="s">
        <v>3</v>
      </c>
      <c r="E10" s="370" t="s">
        <v>3</v>
      </c>
    </row>
    <row r="11" spans="1:5" ht="111" customHeight="1" x14ac:dyDescent="0.25">
      <c r="A11" s="15" t="s">
        <v>548</v>
      </c>
      <c r="B11" s="368" t="s">
        <v>3</v>
      </c>
      <c r="C11" s="368" t="s">
        <v>3</v>
      </c>
      <c r="D11" s="368" t="s">
        <v>3</v>
      </c>
      <c r="E11" s="368" t="s">
        <v>3</v>
      </c>
    </row>
    <row r="12" spans="1:5" ht="15" x14ac:dyDescent="0.25">
      <c r="A12" s="369" t="s">
        <v>3</v>
      </c>
      <c r="B12" s="370" t="s">
        <v>3</v>
      </c>
      <c r="C12" s="370" t="s">
        <v>3</v>
      </c>
      <c r="D12" s="370" t="s">
        <v>3</v>
      </c>
      <c r="E12" s="370" t="s">
        <v>3</v>
      </c>
    </row>
    <row r="13" spans="1:5" x14ac:dyDescent="0.25">
      <c r="A13" s="8" t="s">
        <v>355</v>
      </c>
      <c r="B13" s="368" t="s">
        <v>3</v>
      </c>
      <c r="C13" s="368" t="s">
        <v>3</v>
      </c>
      <c r="D13" s="368" t="s">
        <v>3</v>
      </c>
      <c r="E13" s="368" t="s">
        <v>3</v>
      </c>
    </row>
    <row r="14" spans="1:5" ht="27.6" x14ac:dyDescent="0.25">
      <c r="A14" s="9" t="s">
        <v>273</v>
      </c>
      <c r="B14" s="368" t="s">
        <v>3</v>
      </c>
      <c r="C14" s="368" t="s">
        <v>3</v>
      </c>
      <c r="D14" s="368" t="s">
        <v>3</v>
      </c>
      <c r="E14" s="368" t="s">
        <v>3</v>
      </c>
    </row>
    <row r="15" spans="1:5" x14ac:dyDescent="0.25">
      <c r="A15" s="7" t="s">
        <v>17</v>
      </c>
      <c r="B15" s="368" t="s">
        <v>3</v>
      </c>
      <c r="C15" s="368" t="s">
        <v>3</v>
      </c>
      <c r="D15" s="368" t="s">
        <v>3</v>
      </c>
      <c r="E15" s="368" t="s">
        <v>3</v>
      </c>
    </row>
    <row r="16" spans="1:5" x14ac:dyDescent="0.25">
      <c r="A16" s="10" t="s">
        <v>356</v>
      </c>
      <c r="B16" s="368" t="s">
        <v>3</v>
      </c>
      <c r="C16" s="368" t="s">
        <v>3</v>
      </c>
      <c r="D16" s="368" t="s">
        <v>3</v>
      </c>
      <c r="E16" s="368" t="s">
        <v>3</v>
      </c>
    </row>
    <row r="17" spans="1:5" x14ac:dyDescent="0.25">
      <c r="A17" s="7" t="s">
        <v>18</v>
      </c>
      <c r="B17" s="368" t="s">
        <v>3</v>
      </c>
      <c r="C17" s="368" t="s">
        <v>3</v>
      </c>
      <c r="D17" s="368" t="s">
        <v>3</v>
      </c>
      <c r="E17" s="368" t="s">
        <v>3</v>
      </c>
    </row>
    <row r="18" spans="1:5" x14ac:dyDescent="0.25">
      <c r="A18" s="14" t="s">
        <v>357</v>
      </c>
      <c r="B18" s="368" t="s">
        <v>3</v>
      </c>
      <c r="C18" s="368" t="s">
        <v>3</v>
      </c>
      <c r="D18" s="368" t="s">
        <v>3</v>
      </c>
      <c r="E18" s="368" t="s">
        <v>3</v>
      </c>
    </row>
    <row r="19" spans="1:5" ht="15" x14ac:dyDescent="0.25">
      <c r="A19" s="369" t="s">
        <v>3</v>
      </c>
      <c r="B19" s="370" t="s">
        <v>3</v>
      </c>
      <c r="C19" s="370" t="s">
        <v>3</v>
      </c>
      <c r="D19" s="370" t="s">
        <v>3</v>
      </c>
      <c r="E19" s="370" t="s">
        <v>3</v>
      </c>
    </row>
    <row r="20" spans="1:5" s="106" customFormat="1" ht="30" customHeight="1" x14ac:dyDescent="0.25">
      <c r="A20" s="234" t="s">
        <v>836</v>
      </c>
      <c r="B20" s="368" t="s">
        <v>3</v>
      </c>
      <c r="C20" s="368" t="s">
        <v>3</v>
      </c>
      <c r="D20" s="368" t="s">
        <v>3</v>
      </c>
      <c r="E20" s="368" t="s">
        <v>3</v>
      </c>
    </row>
    <row r="21" spans="1:5" ht="14.4" x14ac:dyDescent="0.3">
      <c r="C21" s="203"/>
    </row>
    <row r="23" spans="1:5" x14ac:dyDescent="0.25">
      <c r="C23" s="106"/>
    </row>
  </sheetData>
  <sheetProtection algorithmName="SHA-512" hashValue="vkOoHvC+Pw+EynLK+SGaNP0oLSvSZcQNSwIYUe5XdL6ljDST+/9kvwJwhASIFctGkOIKNpqX01mtCTcqFaL82g==" saltValue="DU/AZVUaPIHp/GvbXPv3g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D32" sqref="D32:E32"/>
    </sheetView>
  </sheetViews>
  <sheetFormatPr defaultColWidth="9.109375" defaultRowHeight="13.8" x14ac:dyDescent="0.25"/>
  <cols>
    <col min="1" max="1" width="24.33203125" style="22" customWidth="1"/>
    <col min="2" max="2" width="55.33203125" style="22" customWidth="1"/>
    <col min="3" max="3" width="63.5546875" style="26" customWidth="1"/>
    <col min="4" max="4" width="20.44140625" style="22" customWidth="1"/>
    <col min="5" max="12" width="21" style="22" customWidth="1"/>
    <col min="13" max="13" width="22.88671875" style="22" customWidth="1"/>
    <col min="14" max="14" width="22.5546875" style="22" customWidth="1"/>
    <col min="15" max="15" width="25.88671875" style="22" customWidth="1"/>
    <col min="16" max="16" width="10.88671875" style="22" customWidth="1"/>
    <col min="17" max="42" width="10.88671875" style="23" customWidth="1"/>
    <col min="43" max="50" width="10.88671875" style="24" customWidth="1"/>
    <col min="51" max="106" width="10.88671875" style="2" customWidth="1"/>
    <col min="107" max="193" width="10.88671875" style="22" customWidth="1"/>
    <col min="194" max="194" width="10.44140625" style="22" customWidth="1"/>
    <col min="195" max="16384" width="9.109375" style="22"/>
  </cols>
  <sheetData>
    <row r="1" spans="2:106" x14ac:dyDescent="0.25">
      <c r="B1" s="20" t="s">
        <v>363</v>
      </c>
      <c r="C1" s="137"/>
      <c r="D1" s="40"/>
      <c r="E1" s="21" t="s">
        <v>280</v>
      </c>
      <c r="F1" s="18"/>
      <c r="G1" s="18"/>
    </row>
    <row r="3" spans="2:106" x14ac:dyDescent="0.25">
      <c r="B3" s="125" t="s">
        <v>431</v>
      </c>
      <c r="C3" s="126"/>
      <c r="D3" s="127"/>
      <c r="E3" s="127"/>
      <c r="F3" s="127"/>
      <c r="G3" s="128"/>
    </row>
    <row r="4" spans="2:106" x14ac:dyDescent="0.25">
      <c r="B4" s="129"/>
      <c r="C4" s="130"/>
      <c r="D4" s="18"/>
      <c r="E4" s="18"/>
      <c r="F4" s="18"/>
      <c r="G4" s="131"/>
    </row>
    <row r="5" spans="2:106" x14ac:dyDescent="0.25">
      <c r="B5" s="132" t="s">
        <v>432</v>
      </c>
      <c r="C5" s="130"/>
      <c r="D5" s="18"/>
      <c r="E5" s="18"/>
      <c r="F5" s="18"/>
      <c r="G5" s="131"/>
    </row>
    <row r="6" spans="2:106" x14ac:dyDescent="0.25">
      <c r="B6" s="129"/>
      <c r="C6" s="130"/>
      <c r="D6" s="18"/>
      <c r="E6" s="18"/>
      <c r="F6" s="18"/>
      <c r="G6" s="131"/>
      <c r="J6" s="407"/>
    </row>
    <row r="7" spans="2:106" x14ac:dyDescent="0.25">
      <c r="B7" s="132" t="s">
        <v>433</v>
      </c>
      <c r="C7" s="130"/>
      <c r="D7" s="18"/>
      <c r="E7" s="18"/>
      <c r="F7" s="18"/>
      <c r="G7" s="131"/>
    </row>
    <row r="8" spans="2:106" ht="19.5" customHeight="1" x14ac:dyDescent="0.25">
      <c r="B8" s="133" t="s">
        <v>434</v>
      </c>
      <c r="C8" s="134"/>
      <c r="D8" s="135"/>
      <c r="E8" s="135"/>
      <c r="F8" s="135"/>
      <c r="G8" s="136"/>
    </row>
    <row r="9" spans="2:106" ht="14.4" x14ac:dyDescent="0.3">
      <c r="B9" s="25"/>
      <c r="K9" s="45"/>
      <c r="L9" s="45"/>
    </row>
    <row r="10" spans="2:106" x14ac:dyDescent="0.25">
      <c r="B10" s="20" t="s">
        <v>27</v>
      </c>
      <c r="C10" s="45"/>
      <c r="D10" s="45"/>
      <c r="E10" s="45"/>
      <c r="K10" s="45"/>
      <c r="L10" s="195"/>
      <c r="M10" s="20"/>
      <c r="N10" s="20"/>
      <c r="O10" s="20"/>
    </row>
    <row r="11" spans="2:106" ht="43.5" customHeight="1" thickBot="1" x14ac:dyDescent="0.3">
      <c r="B11" s="26"/>
      <c r="D11" s="47" t="s">
        <v>8</v>
      </c>
      <c r="E11" s="47" t="s">
        <v>8</v>
      </c>
      <c r="H11" s="47" t="s">
        <v>8</v>
      </c>
      <c r="I11" s="47" t="s">
        <v>8</v>
      </c>
      <c r="L11" s="20" t="s">
        <v>271</v>
      </c>
      <c r="M11" s="20" t="s">
        <v>271</v>
      </c>
      <c r="N11" s="20" t="s">
        <v>272</v>
      </c>
      <c r="O11" s="20" t="s">
        <v>272</v>
      </c>
      <c r="P11" s="20" t="s">
        <v>13</v>
      </c>
    </row>
    <row r="12" spans="2:106" s="32" customFormat="1" ht="45.9" customHeight="1" x14ac:dyDescent="0.25">
      <c r="B12" s="27" t="s">
        <v>4</v>
      </c>
      <c r="C12" s="28" t="s">
        <v>7</v>
      </c>
      <c r="D12" s="46" t="s">
        <v>19</v>
      </c>
      <c r="E12" s="47" t="s">
        <v>20</v>
      </c>
      <c r="F12" s="28" t="s">
        <v>6</v>
      </c>
      <c r="G12" s="28" t="s">
        <v>10</v>
      </c>
      <c r="H12" s="46" t="s">
        <v>19</v>
      </c>
      <c r="I12" s="47" t="s">
        <v>20</v>
      </c>
      <c r="J12" s="28" t="s">
        <v>361</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25">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25">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25">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25">
      <c r="B17" s="33"/>
      <c r="C17" s="34"/>
      <c r="D17" s="123"/>
      <c r="E17" s="123"/>
      <c r="F17" s="35"/>
      <c r="G17" s="34"/>
      <c r="H17" s="123"/>
      <c r="I17" s="123"/>
      <c r="J17" s="34"/>
      <c r="L17" s="36" t="s">
        <v>728</v>
      </c>
      <c r="M17" s="36" t="s">
        <v>729</v>
      </c>
      <c r="N17" s="36" t="str">
        <f>'Assumptions input'!$B$7</f>
        <v>National</v>
      </c>
      <c r="O17" s="36" t="str">
        <f>IFERROR(VLOOKUP('Assumptions input'!$B$7, $L$12:$M$22, 2, FALSE), "-")</f>
        <v>NATIONAL</v>
      </c>
      <c r="P17" s="29" t="b">
        <f>ISTEXT('Assumptions input'!$B$8)</f>
        <v>1</v>
      </c>
    </row>
    <row r="18" spans="1:194" x14ac:dyDescent="0.25">
      <c r="B18" s="33"/>
      <c r="C18" s="34"/>
      <c r="D18" s="123"/>
      <c r="E18" s="123"/>
      <c r="F18" s="35"/>
      <c r="G18" s="34"/>
      <c r="H18" s="123"/>
      <c r="I18" s="123"/>
      <c r="J18" s="34"/>
      <c r="L18" s="36" t="s">
        <v>444</v>
      </c>
      <c r="M18" s="36" t="s">
        <v>443</v>
      </c>
      <c r="N18" s="36" t="str">
        <f>'Assumptions input'!$B$7</f>
        <v>National</v>
      </c>
      <c r="O18" s="36" t="str">
        <f>IFERROR(VLOOKUP('Assumptions input'!$B$7, $L$12:$M$22, 2, FALSE), "-")</f>
        <v>NATIONAL</v>
      </c>
      <c r="P18" s="29" t="b">
        <f>ISTEXT('Assumptions input'!$B$8)</f>
        <v>1</v>
      </c>
    </row>
    <row r="19" spans="1:194" x14ac:dyDescent="0.25">
      <c r="B19" s="33"/>
      <c r="C19" s="34"/>
      <c r="D19" s="123"/>
      <c r="E19" s="123"/>
      <c r="F19" s="35"/>
      <c r="G19" s="34"/>
      <c r="H19" s="123"/>
      <c r="I19" s="123"/>
      <c r="J19" s="34"/>
      <c r="L19" s="152" t="s">
        <v>448</v>
      </c>
      <c r="M19" s="36" t="s">
        <v>446</v>
      </c>
      <c r="N19" s="36" t="str">
        <f>'Assumptions input'!$B$7</f>
        <v>National</v>
      </c>
      <c r="O19" s="36" t="str">
        <f>IFERROR(VLOOKUP('Assumptions input'!$B$7, $L$12:$M$22, 2, FALSE), "-")</f>
        <v>NATIONAL</v>
      </c>
      <c r="P19" s="29" t="b">
        <f>ISTEXT('Assumptions input'!$B$8)</f>
        <v>1</v>
      </c>
    </row>
    <row r="20" spans="1:194" x14ac:dyDescent="0.25">
      <c r="B20" s="33"/>
      <c r="C20" s="34"/>
      <c r="D20" s="123"/>
      <c r="E20" s="123"/>
      <c r="F20" s="35"/>
      <c r="G20" s="34"/>
      <c r="H20" s="123"/>
      <c r="I20" s="123"/>
      <c r="J20" s="34"/>
      <c r="L20" s="36" t="s">
        <v>449</v>
      </c>
      <c r="M20" s="36" t="s">
        <v>451</v>
      </c>
      <c r="N20" s="36" t="str">
        <f>'Assumptions input'!$B$7</f>
        <v>National</v>
      </c>
      <c r="O20" s="36" t="str">
        <f>IFERROR(VLOOKUP('Assumptions input'!$B$7, $L$12:$M$22, 2, FALSE), "-")</f>
        <v>NATIONAL</v>
      </c>
      <c r="P20" s="29" t="b">
        <f>ISTEXT('Assumptions input'!$B$8)</f>
        <v>1</v>
      </c>
    </row>
    <row r="21" spans="1:194" x14ac:dyDescent="0.25">
      <c r="B21" s="33"/>
      <c r="C21" s="34"/>
      <c r="D21" s="123"/>
      <c r="E21" s="123"/>
      <c r="F21" s="35"/>
      <c r="G21" s="34"/>
      <c r="H21" s="123"/>
      <c r="I21" s="123"/>
      <c r="J21" s="34"/>
      <c r="L21" s="36" t="s">
        <v>450</v>
      </c>
      <c r="M21" s="36" t="s">
        <v>445</v>
      </c>
      <c r="N21" s="36" t="str">
        <f>'Assumptions input'!$B$7</f>
        <v>National</v>
      </c>
      <c r="O21" s="36" t="str">
        <f>IFERROR(VLOOKUP('Assumptions input'!$B$7, $L$12:$M$22, 2, FALSE), "-")</f>
        <v>NATIONAL</v>
      </c>
      <c r="P21" s="29" t="b">
        <f>ISTEXT('Assumptions input'!$B$8)</f>
        <v>1</v>
      </c>
    </row>
    <row r="22" spans="1:194" ht="14.4" thickBot="1" x14ac:dyDescent="0.3">
      <c r="B22" s="37"/>
      <c r="C22" s="38"/>
      <c r="D22" s="138"/>
      <c r="E22" s="138"/>
      <c r="F22" s="39"/>
      <c r="G22" s="38"/>
      <c r="H22" s="38"/>
      <c r="I22" s="38"/>
      <c r="J22" s="38"/>
      <c r="K22" s="22">
        <f>IFERROR(I22+J22, "")</f>
        <v>0</v>
      </c>
      <c r="L22" s="36"/>
      <c r="M22" s="36"/>
      <c r="N22" s="36"/>
      <c r="O22" s="36"/>
      <c r="P22" s="29"/>
    </row>
    <row r="23" spans="1:194" s="40" customFormat="1" ht="15" thickTop="1" thickBot="1" x14ac:dyDescent="0.3">
      <c r="B23" s="41" t="s">
        <v>435</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5">
      <c r="B24" s="121"/>
      <c r="C24" s="121"/>
      <c r="D24" s="121"/>
      <c r="E24" s="121"/>
      <c r="F24" s="121"/>
      <c r="G24" s="121"/>
      <c r="H24" s="121"/>
      <c r="I24" s="121"/>
      <c r="J24" s="121"/>
    </row>
    <row r="25" spans="1:194" ht="27.6" x14ac:dyDescent="0.25">
      <c r="B25" s="122"/>
      <c r="C25" s="614"/>
      <c r="D25" s="47" t="s">
        <v>8</v>
      </c>
      <c r="E25" s="47" t="s">
        <v>8</v>
      </c>
      <c r="F25" s="122"/>
      <c r="I25" s="122"/>
      <c r="J25" s="122"/>
      <c r="K25" s="45"/>
      <c r="N25" s="45"/>
    </row>
    <row r="26" spans="1:194" x14ac:dyDescent="0.25">
      <c r="D26" s="124">
        <v>2</v>
      </c>
      <c r="E26" s="124">
        <v>3</v>
      </c>
      <c r="F26" s="124">
        <v>4</v>
      </c>
      <c r="G26" s="124">
        <v>5</v>
      </c>
      <c r="H26" s="124">
        <v>6</v>
      </c>
      <c r="K26" s="45"/>
    </row>
    <row r="27" spans="1:194" s="2" customFormat="1" ht="48" customHeight="1" x14ac:dyDescent="0.25">
      <c r="A27" s="199" t="s">
        <v>26</v>
      </c>
      <c r="B27" s="198" t="s">
        <v>5</v>
      </c>
      <c r="C27" s="198" t="s">
        <v>270</v>
      </c>
      <c r="D27" s="113" t="s">
        <v>360</v>
      </c>
      <c r="E27" s="113" t="s">
        <v>360</v>
      </c>
      <c r="F27" s="113" t="s">
        <v>0</v>
      </c>
      <c r="G27" s="113" t="s">
        <v>0</v>
      </c>
      <c r="H27" s="113" t="s">
        <v>0</v>
      </c>
      <c r="I27" s="198" t="s">
        <v>360</v>
      </c>
      <c r="J27" s="198" t="s">
        <v>360</v>
      </c>
      <c r="K27" s="198" t="s">
        <v>362</v>
      </c>
      <c r="L27" s="198" t="s">
        <v>362</v>
      </c>
      <c r="M27" s="200" t="s">
        <v>1</v>
      </c>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2"/>
      <c r="CZ27" s="196" t="s">
        <v>2</v>
      </c>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7"/>
    </row>
    <row r="28" spans="1:194" s="19" customFormat="1" ht="27.6" x14ac:dyDescent="0.25">
      <c r="A28" s="199"/>
      <c r="B28" s="198"/>
      <c r="C28" s="198"/>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382</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382</v>
      </c>
    </row>
    <row r="29" spans="1:194" s="2" customFormat="1" x14ac:dyDescent="0.25">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25">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25">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25">
      <c r="A32" s="97" t="s">
        <v>265</v>
      </c>
      <c r="B32" s="107" t="s">
        <v>14</v>
      </c>
      <c r="C32" s="98" t="s">
        <v>281</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25">
      <c r="A33" s="53" t="s">
        <v>265</v>
      </c>
      <c r="B33" s="103" t="s">
        <v>15</v>
      </c>
      <c r="C33" s="54" t="s">
        <v>282</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25">
      <c r="A34" s="59" t="s">
        <v>265</v>
      </c>
      <c r="B34" s="104" t="s">
        <v>9</v>
      </c>
      <c r="C34" s="60" t="s">
        <v>283</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25">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25">
      <c r="A36" s="114" t="s">
        <v>276</v>
      </c>
      <c r="B36" s="411" t="s">
        <v>600</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25">
      <c r="A37" s="118" t="s">
        <v>276</v>
      </c>
      <c r="B37" s="411" t="s">
        <v>601</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25">
      <c r="A38" s="118" t="s">
        <v>276</v>
      </c>
      <c r="B38" s="411" t="s">
        <v>602</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25">
      <c r="A39" s="118" t="s">
        <v>276</v>
      </c>
      <c r="B39" s="411" t="s">
        <v>603</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25">
      <c r="A40" s="118" t="s">
        <v>276</v>
      </c>
      <c r="B40" s="411" t="s">
        <v>604</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25">
      <c r="A41" s="118" t="s">
        <v>276</v>
      </c>
      <c r="B41" s="411" t="s">
        <v>605</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25">
      <c r="A42" s="118" t="s">
        <v>276</v>
      </c>
      <c r="B42" s="411" t="s">
        <v>606</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25">
      <c r="A43" s="118" t="s">
        <v>276</v>
      </c>
      <c r="B43" s="411" t="s">
        <v>607</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25">
      <c r="A44" s="118" t="s">
        <v>276</v>
      </c>
      <c r="B44" s="411" t="s">
        <v>608</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25">
      <c r="A45" s="118" t="s">
        <v>276</v>
      </c>
      <c r="B45" s="411" t="s">
        <v>609</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25">
      <c r="A46" s="118" t="s">
        <v>276</v>
      </c>
      <c r="B46" s="411" t="s">
        <v>610</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25">
      <c r="A47" s="118" t="s">
        <v>276</v>
      </c>
      <c r="B47" s="411" t="s">
        <v>611</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25">
      <c r="A48" s="118" t="s">
        <v>276</v>
      </c>
      <c r="B48" s="411" t="s">
        <v>612</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25">
      <c r="A49" s="118" t="s">
        <v>276</v>
      </c>
      <c r="B49" s="411" t="s">
        <v>613</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25">
      <c r="A50" s="118" t="s">
        <v>276</v>
      </c>
      <c r="B50" s="411" t="s">
        <v>614</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25">
      <c r="A51" s="118" t="s">
        <v>276</v>
      </c>
      <c r="B51" s="411" t="s">
        <v>615</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25">
      <c r="A52" s="118" t="s">
        <v>276</v>
      </c>
      <c r="B52" s="411" t="s">
        <v>616</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25">
      <c r="A53" s="118" t="s">
        <v>276</v>
      </c>
      <c r="B53" s="411" t="s">
        <v>617</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25">
      <c r="A54" s="118" t="s">
        <v>276</v>
      </c>
      <c r="B54" s="411" t="s">
        <v>618</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25">
      <c r="A55" s="118" t="s">
        <v>276</v>
      </c>
      <c r="B55" s="411" t="s">
        <v>619</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25">
      <c r="A56" s="118" t="s">
        <v>276</v>
      </c>
      <c r="B56" s="411" t="s">
        <v>620</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25">
      <c r="A57" s="118" t="s">
        <v>276</v>
      </c>
      <c r="B57" s="411" t="s">
        <v>621</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25">
      <c r="A58" s="118" t="s">
        <v>276</v>
      </c>
      <c r="B58" s="411" t="s">
        <v>622</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25">
      <c r="A59" s="118" t="s">
        <v>276</v>
      </c>
      <c r="B59" s="411" t="s">
        <v>623</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25">
      <c r="A60" s="118" t="s">
        <v>276</v>
      </c>
      <c r="B60" s="411" t="s">
        <v>624</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25">
      <c r="A61" s="118" t="s">
        <v>276</v>
      </c>
      <c r="B61" s="411" t="s">
        <v>625</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25">
      <c r="A62" s="118" t="s">
        <v>276</v>
      </c>
      <c r="B62" s="411" t="s">
        <v>626</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25">
      <c r="A63" s="118" t="s">
        <v>276</v>
      </c>
      <c r="B63" s="411" t="s">
        <v>627</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25">
      <c r="A64" s="118" t="s">
        <v>276</v>
      </c>
      <c r="B64" s="411" t="s">
        <v>628</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25">
      <c r="A65" s="118" t="s">
        <v>276</v>
      </c>
      <c r="B65" s="411" t="s">
        <v>629</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25">
      <c r="A66" s="118" t="s">
        <v>276</v>
      </c>
      <c r="B66" s="411" t="s">
        <v>630</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25">
      <c r="A67" s="118" t="s">
        <v>276</v>
      </c>
      <c r="B67" s="411" t="s">
        <v>631</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25">
      <c r="A68" s="118" t="s">
        <v>276</v>
      </c>
      <c r="B68" s="411" t="s">
        <v>632</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25">
      <c r="A69" s="118" t="s">
        <v>276</v>
      </c>
      <c r="B69" s="411" t="s">
        <v>633</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25">
      <c r="A70" s="118" t="s">
        <v>276</v>
      </c>
      <c r="B70" s="411" t="s">
        <v>634</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25">
      <c r="A71" s="118" t="s">
        <v>276</v>
      </c>
      <c r="B71" s="411" t="s">
        <v>635</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25">
      <c r="A72" s="118" t="s">
        <v>276</v>
      </c>
      <c r="B72" s="411" t="s">
        <v>636</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25">
      <c r="A73" s="118" t="s">
        <v>276</v>
      </c>
      <c r="B73" s="411" t="s">
        <v>637</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25">
      <c r="A74" s="118" t="s">
        <v>276</v>
      </c>
      <c r="B74" s="411" t="s">
        <v>638</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25">
      <c r="A75" s="118" t="s">
        <v>276</v>
      </c>
      <c r="B75" s="411" t="s">
        <v>639</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25">
      <c r="A76" s="118" t="s">
        <v>276</v>
      </c>
      <c r="B76" s="411" t="s">
        <v>640</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25">
      <c r="A77" s="118" t="s">
        <v>276</v>
      </c>
      <c r="B77" s="411" t="s">
        <v>641</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25">
      <c r="A78" s="118" t="s">
        <v>276</v>
      </c>
      <c r="B78" s="411" t="s">
        <v>642</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25">
      <c r="A79" s="118" t="s">
        <v>276</v>
      </c>
      <c r="B79" s="411" t="s">
        <v>643</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25">
      <c r="A80" s="118" t="s">
        <v>276</v>
      </c>
      <c r="B80" s="411" t="s">
        <v>644</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25">
      <c r="A81" s="118" t="s">
        <v>276</v>
      </c>
      <c r="B81" s="411" t="s">
        <v>645</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25">
      <c r="A82" s="118" t="s">
        <v>276</v>
      </c>
      <c r="B82" s="411" t="s">
        <v>646</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25">
      <c r="A83" s="118" t="s">
        <v>276</v>
      </c>
      <c r="B83" s="411" t="s">
        <v>647</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25">
      <c r="A84" s="118" t="s">
        <v>276</v>
      </c>
      <c r="B84" s="411" t="s">
        <v>648</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25">
      <c r="A85" s="118" t="s">
        <v>276</v>
      </c>
      <c r="B85" s="411" t="s">
        <v>649</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25">
      <c r="A86" s="118" t="s">
        <v>276</v>
      </c>
      <c r="B86" s="411" t="s">
        <v>650</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25">
      <c r="A87" s="118" t="s">
        <v>276</v>
      </c>
      <c r="B87" s="411" t="s">
        <v>651</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25">
      <c r="A88" s="118" t="s">
        <v>276</v>
      </c>
      <c r="B88" s="411" t="s">
        <v>652</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25">
      <c r="A89" s="118" t="s">
        <v>276</v>
      </c>
      <c r="B89" s="411" t="s">
        <v>653</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25">
      <c r="A90" s="118" t="s">
        <v>276</v>
      </c>
      <c r="B90" s="411" t="s">
        <v>654</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25">
      <c r="A91" s="118" t="s">
        <v>276</v>
      </c>
      <c r="B91" s="411" t="s">
        <v>655</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25">
      <c r="A92" s="118" t="s">
        <v>276</v>
      </c>
      <c r="B92" s="411" t="s">
        <v>656</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25">
      <c r="A93" s="118" t="s">
        <v>276</v>
      </c>
      <c r="B93" s="411" t="s">
        <v>657</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25">
      <c r="A94" s="118" t="s">
        <v>276</v>
      </c>
      <c r="B94" s="411" t="s">
        <v>597</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25">
      <c r="A95" s="118" t="s">
        <v>276</v>
      </c>
      <c r="B95" s="411" t="s">
        <v>658</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25">
      <c r="A96" s="118" t="s">
        <v>276</v>
      </c>
      <c r="B96" s="411" t="s">
        <v>659</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25">
      <c r="A97" s="118" t="s">
        <v>276</v>
      </c>
      <c r="B97" s="411" t="s">
        <v>660</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25">
      <c r="A98" s="118" t="s">
        <v>276</v>
      </c>
      <c r="B98" s="411" t="s">
        <v>598</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25">
      <c r="A99" s="118" t="s">
        <v>276</v>
      </c>
      <c r="B99" s="411" t="s">
        <v>661</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25">
      <c r="A100" s="118" t="s">
        <v>276</v>
      </c>
      <c r="B100" s="411" t="s">
        <v>662</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25">
      <c r="A101" s="118" t="s">
        <v>276</v>
      </c>
      <c r="B101" s="411" t="s">
        <v>663</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25">
      <c r="A102" s="118" t="s">
        <v>276</v>
      </c>
      <c r="B102" s="411" t="s">
        <v>664</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25">
      <c r="A103" s="118" t="s">
        <v>276</v>
      </c>
      <c r="B103" s="411" t="s">
        <v>665</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25">
      <c r="A104" s="118" t="s">
        <v>276</v>
      </c>
      <c r="B104" s="411" t="s">
        <v>666</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25">
      <c r="A105" s="118" t="s">
        <v>276</v>
      </c>
      <c r="B105" s="411" t="s">
        <v>667</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25">
      <c r="A106" s="118" t="s">
        <v>276</v>
      </c>
      <c r="B106" s="411" t="s">
        <v>668</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25">
      <c r="A107" s="118" t="s">
        <v>276</v>
      </c>
      <c r="B107" s="411" t="s">
        <v>669</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25">
      <c r="A108" s="118" t="s">
        <v>276</v>
      </c>
      <c r="B108" s="411" t="s">
        <v>670</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25">
      <c r="A109" s="118" t="s">
        <v>276</v>
      </c>
      <c r="B109" s="411" t="s">
        <v>671</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25">
      <c r="A110" s="118" t="s">
        <v>276</v>
      </c>
      <c r="B110" s="411" t="s">
        <v>672</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25">
      <c r="A111" s="118" t="s">
        <v>276</v>
      </c>
      <c r="B111" s="411" t="s">
        <v>673</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25">
      <c r="A112" s="118" t="s">
        <v>276</v>
      </c>
      <c r="B112" s="411" t="s">
        <v>674</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25">
      <c r="A113" s="118" t="s">
        <v>276</v>
      </c>
      <c r="B113" s="411" t="s">
        <v>675</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25">
      <c r="A114" s="118" t="s">
        <v>276</v>
      </c>
      <c r="B114" s="411" t="s">
        <v>676</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25">
      <c r="A115" s="118" t="s">
        <v>276</v>
      </c>
      <c r="B115" s="411" t="s">
        <v>677</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25">
      <c r="A116" s="118" t="s">
        <v>276</v>
      </c>
      <c r="B116" s="411" t="s">
        <v>678</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25">
      <c r="A117" s="118" t="s">
        <v>276</v>
      </c>
      <c r="B117" s="411" t="s">
        <v>679</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25">
      <c r="A118" s="118" t="s">
        <v>276</v>
      </c>
      <c r="B118" s="411" t="s">
        <v>680</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25">
      <c r="A119" s="118" t="s">
        <v>276</v>
      </c>
      <c r="B119" s="411" t="s">
        <v>681</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25">
      <c r="A120" s="118" t="s">
        <v>276</v>
      </c>
      <c r="B120" s="411" t="s">
        <v>682</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25">
      <c r="A121" s="118" t="s">
        <v>276</v>
      </c>
      <c r="B121" s="411" t="s">
        <v>683</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25">
      <c r="A122" s="118" t="s">
        <v>276</v>
      </c>
      <c r="B122" s="411" t="s">
        <v>684</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25">
      <c r="A123" s="118" t="s">
        <v>276</v>
      </c>
      <c r="B123" s="411" t="s">
        <v>685</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25">
      <c r="A124" s="118" t="s">
        <v>276</v>
      </c>
      <c r="B124" s="411" t="s">
        <v>686</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25">
      <c r="A125" s="118" t="s">
        <v>276</v>
      </c>
      <c r="B125" s="411" t="s">
        <v>687</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25">
      <c r="A126" s="118" t="s">
        <v>276</v>
      </c>
      <c r="B126" s="411" t="s">
        <v>688</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25">
      <c r="A127" s="118" t="s">
        <v>276</v>
      </c>
      <c r="B127" s="411" t="s">
        <v>689</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25">
      <c r="A128" s="118" t="s">
        <v>276</v>
      </c>
      <c r="B128" s="411" t="s">
        <v>690</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25">
      <c r="A129" s="118" t="s">
        <v>276</v>
      </c>
      <c r="B129" s="411" t="s">
        <v>691</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25">
      <c r="A130" s="118" t="s">
        <v>276</v>
      </c>
      <c r="B130" s="411" t="s">
        <v>692</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25">
      <c r="A131" s="118" t="s">
        <v>276</v>
      </c>
      <c r="B131" s="411" t="s">
        <v>693</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25">
      <c r="A132" s="118" t="s">
        <v>276</v>
      </c>
      <c r="B132" s="411" t="s">
        <v>694</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25">
      <c r="A133" s="118" t="s">
        <v>276</v>
      </c>
      <c r="B133" s="411" t="s">
        <v>695</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25">
      <c r="A134" s="118" t="s">
        <v>276</v>
      </c>
      <c r="B134" s="411" t="s">
        <v>696</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25">
      <c r="A135" s="118" t="s">
        <v>276</v>
      </c>
      <c r="B135" s="411" t="s">
        <v>697</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25">
      <c r="A136" s="118" t="s">
        <v>276</v>
      </c>
      <c r="B136" s="411" t="s">
        <v>698</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25">
      <c r="A137" s="118" t="s">
        <v>276</v>
      </c>
      <c r="B137" s="411" t="s">
        <v>699</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25">
      <c r="A138" s="118" t="s">
        <v>276</v>
      </c>
      <c r="B138" s="411" t="s">
        <v>700</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25">
      <c r="A139" s="118" t="s">
        <v>276</v>
      </c>
      <c r="B139" s="411" t="s">
        <v>701</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25">
      <c r="A140" s="118" t="s">
        <v>276</v>
      </c>
      <c r="B140" s="411" t="s">
        <v>702</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25">
      <c r="A141" s="118" t="s">
        <v>276</v>
      </c>
      <c r="B141" s="411" t="s">
        <v>703</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2" customFormat="1" x14ac:dyDescent="0.25">
      <c r="A142" s="178"/>
      <c r="B142" s="179"/>
      <c r="C142" s="178"/>
      <c r="D142" s="181">
        <f t="shared" ref="D142:L142" si="43">SUM(D36:D141)</f>
        <v>21779298</v>
      </c>
      <c r="E142" s="181">
        <f t="shared" si="43"/>
        <v>22677552</v>
      </c>
      <c r="F142" s="181">
        <f t="shared" si="43"/>
        <v>56550138</v>
      </c>
      <c r="G142" s="181">
        <f t="shared" si="43"/>
        <v>27982818</v>
      </c>
      <c r="H142" s="181">
        <f t="shared" si="43"/>
        <v>28567320</v>
      </c>
      <c r="I142" s="181">
        <f t="shared" si="43"/>
        <v>21779298</v>
      </c>
      <c r="J142" s="181">
        <f t="shared" si="43"/>
        <v>22677552</v>
      </c>
      <c r="K142" s="181">
        <f t="shared" si="43"/>
        <v>6203520</v>
      </c>
      <c r="L142" s="181">
        <f t="shared" si="43"/>
        <v>5889768</v>
      </c>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0"/>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c r="FU142" s="181"/>
      <c r="FV142" s="181"/>
      <c r="FW142" s="181"/>
      <c r="FX142" s="181"/>
      <c r="FY142" s="181"/>
      <c r="FZ142" s="181"/>
      <c r="GA142" s="181"/>
      <c r="GB142" s="181"/>
      <c r="GC142" s="181"/>
      <c r="GD142" s="181"/>
      <c r="GE142" s="181"/>
      <c r="GF142" s="181"/>
      <c r="GG142" s="181"/>
      <c r="GH142" s="181"/>
      <c r="GI142" s="181"/>
      <c r="GJ142" s="181"/>
      <c r="GK142" s="181"/>
      <c r="GL142" s="180"/>
    </row>
    <row r="143" spans="1:194" s="2" customFormat="1" x14ac:dyDescent="0.25">
      <c r="A143" s="75" t="s">
        <v>277</v>
      </c>
      <c r="B143" s="141" t="s">
        <v>367</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25">
      <c r="A144" s="75" t="s">
        <v>277</v>
      </c>
      <c r="B144" s="142" t="s">
        <v>364</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25">
      <c r="A145" s="75" t="s">
        <v>277</v>
      </c>
      <c r="B145" s="142" t="s">
        <v>368</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25">
      <c r="A146" s="75" t="s">
        <v>277</v>
      </c>
      <c r="B146" s="142" t="s">
        <v>440</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25">
      <c r="A147" s="75" t="s">
        <v>277</v>
      </c>
      <c r="B147" s="142" t="s">
        <v>366</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25">
      <c r="A148" s="75" t="s">
        <v>277</v>
      </c>
      <c r="B148" s="142" t="s">
        <v>365</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25">
      <c r="A149" s="76" t="s">
        <v>277</v>
      </c>
      <c r="B149" s="140" t="s">
        <v>441</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2" customFormat="1" x14ac:dyDescent="0.25">
      <c r="A150" s="183"/>
      <c r="B150" s="184"/>
      <c r="C150" s="183"/>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25">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25">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25">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25">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25">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2" customFormat="1" x14ac:dyDescent="0.25">
      <c r="A156" s="183"/>
      <c r="B156" s="184"/>
      <c r="C156" s="183"/>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25">
      <c r="A157" s="96" t="s">
        <v>728</v>
      </c>
      <c r="B157" s="143" t="s">
        <v>554</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25">
      <c r="A158" s="87" t="s">
        <v>728</v>
      </c>
      <c r="B158" s="143" t="s">
        <v>555</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25">
      <c r="A159" s="87" t="s">
        <v>728</v>
      </c>
      <c r="B159" s="143" t="s">
        <v>556</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25">
      <c r="A160" s="87" t="s">
        <v>728</v>
      </c>
      <c r="B160" s="143" t="s">
        <v>557</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25">
      <c r="A161" s="87" t="s">
        <v>728</v>
      </c>
      <c r="B161" s="143" t="s">
        <v>558</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25">
      <c r="A162" s="87" t="s">
        <v>728</v>
      </c>
      <c r="B162" s="143" t="s">
        <v>559</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25">
      <c r="A163" s="465" t="s">
        <v>728</v>
      </c>
      <c r="B163" s="143" t="s">
        <v>560</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2" customFormat="1" x14ac:dyDescent="0.25">
      <c r="A164" s="185"/>
      <c r="B164" s="186"/>
      <c r="C164" s="178"/>
      <c r="D164" s="187">
        <f t="shared" ref="D164:E164" si="73">SUM(D157:D163)</f>
        <v>21779298</v>
      </c>
      <c r="E164" s="187">
        <f t="shared" si="73"/>
        <v>22677552</v>
      </c>
      <c r="F164" s="187">
        <f>SUM(F157:F163)</f>
        <v>56550138</v>
      </c>
      <c r="G164" s="187">
        <f t="shared" ref="G164:L164" si="74">SUM(G157:G163)</f>
        <v>27982818</v>
      </c>
      <c r="H164" s="187">
        <f t="shared" si="74"/>
        <v>28567320</v>
      </c>
      <c r="I164" s="187">
        <f t="shared" si="74"/>
        <v>21779298</v>
      </c>
      <c r="J164" s="187">
        <f t="shared" si="74"/>
        <v>22677552</v>
      </c>
      <c r="K164" s="187">
        <f t="shared" si="74"/>
        <v>6203520</v>
      </c>
      <c r="L164" s="187">
        <f t="shared" si="74"/>
        <v>5889768</v>
      </c>
      <c r="M164" s="187"/>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7"/>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25">
      <c r="A165" s="149" t="s">
        <v>444</v>
      </c>
      <c r="B165" s="618" t="s">
        <v>425</v>
      </c>
      <c r="C165" s="414" t="str">
        <f t="shared" si="72"/>
        <v>England ICS - Bath and North East Somerset, Swindon and Wiltshire</v>
      </c>
      <c r="D165" s="110">
        <f t="shared" ref="D165" si="75">I165</f>
        <v>361510</v>
      </c>
      <c r="E165" s="110">
        <f t="shared" ref="E165" si="76">J165</f>
        <v>373112</v>
      </c>
      <c r="F165" s="150">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25">
      <c r="A166" s="151" t="s">
        <v>444</v>
      </c>
      <c r="B166" s="619" t="s">
        <v>426</v>
      </c>
      <c r="C166" s="415" t="str">
        <f t="shared" si="72"/>
        <v>England ICS - Bedfordshire, Luton and Milton Keynes</v>
      </c>
      <c r="D166" s="111">
        <f t="shared" ref="D166:D200" si="84">I166</f>
        <v>355949</v>
      </c>
      <c r="E166" s="111">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25">
      <c r="A167" s="151" t="s">
        <v>444</v>
      </c>
      <c r="B167" s="619" t="s">
        <v>589</v>
      </c>
      <c r="C167" s="415" t="str">
        <f t="shared" si="72"/>
        <v>England ICS - Birmingham and Solihull </v>
      </c>
      <c r="D167" s="111">
        <f t="shared" si="84"/>
        <v>431773</v>
      </c>
      <c r="E167" s="111">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25">
      <c r="A168" s="151" t="s">
        <v>444</v>
      </c>
      <c r="B168" s="619" t="s">
        <v>782</v>
      </c>
      <c r="C168" s="415" t="str">
        <f t="shared" si="72"/>
        <v>England ICS - Bristol, North Somerset and South Gloucestershire</v>
      </c>
      <c r="D168" s="111">
        <f t="shared" si="84"/>
        <v>379832</v>
      </c>
      <c r="E168" s="111">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25">
      <c r="A169" s="151" t="s">
        <v>444</v>
      </c>
      <c r="B169" s="619" t="s">
        <v>590</v>
      </c>
      <c r="C169" s="415" t="str">
        <f t="shared" si="72"/>
        <v>England ICS - Buckinghamshire, Oxfordshire and Berkshire West:</v>
      </c>
      <c r="D169" s="111">
        <f t="shared" si="84"/>
        <v>657001</v>
      </c>
      <c r="E169" s="111">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25">
      <c r="A170" s="151" t="s">
        <v>444</v>
      </c>
      <c r="B170" s="619" t="s">
        <v>293</v>
      </c>
      <c r="C170" s="415" t="str">
        <f t="shared" si="72"/>
        <v>England ICS - Cambridgeshire and Peterborough</v>
      </c>
      <c r="D170" s="111">
        <f t="shared" si="84"/>
        <v>346936</v>
      </c>
      <c r="E170" s="111">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25">
      <c r="A171" s="151" t="s">
        <v>444</v>
      </c>
      <c r="B171" s="619" t="s">
        <v>383</v>
      </c>
      <c r="C171" s="415" t="str">
        <f t="shared" si="72"/>
        <v>England ICS - Cheshire and Merseyside</v>
      </c>
      <c r="D171" s="111">
        <f t="shared" ref="D171:D195" si="93">I171</f>
        <v>964135</v>
      </c>
      <c r="E171" s="111">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25">
      <c r="A172" s="151" t="s">
        <v>444</v>
      </c>
      <c r="B172" s="619" t="s">
        <v>591</v>
      </c>
      <c r="C172" s="415" t="str">
        <f t="shared" si="72"/>
        <v xml:space="preserve">England ICS - Cornwall and the Isles of Scilly </v>
      </c>
      <c r="D172" s="111">
        <f t="shared" si="93"/>
        <v>223269</v>
      </c>
      <c r="E172" s="111">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25">
      <c r="A173" s="151" t="s">
        <v>444</v>
      </c>
      <c r="B173" s="619" t="s">
        <v>385</v>
      </c>
      <c r="C173" s="415" t="str">
        <f t="shared" si="72"/>
        <v>England ICS - Coventry and Warwickshire</v>
      </c>
      <c r="D173" s="111">
        <f t="shared" si="93"/>
        <v>379115</v>
      </c>
      <c r="E173" s="111">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25">
      <c r="A174" s="151" t="s">
        <v>444</v>
      </c>
      <c r="B174" s="619" t="s">
        <v>592</v>
      </c>
      <c r="C174" s="415" t="str">
        <f t="shared" si="72"/>
        <v>England ICS - Derbyshire</v>
      </c>
      <c r="D174" s="111">
        <f t="shared" si="93"/>
        <v>401434</v>
      </c>
      <c r="E174" s="111">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25">
      <c r="A175" s="151" t="s">
        <v>444</v>
      </c>
      <c r="B175" s="619" t="s">
        <v>372</v>
      </c>
      <c r="C175" s="415" t="str">
        <f t="shared" si="72"/>
        <v>England ICS - Devon</v>
      </c>
      <c r="D175" s="111">
        <f t="shared" si="93"/>
        <v>476232</v>
      </c>
      <c r="E175" s="111">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25">
      <c r="A176" s="151" t="s">
        <v>444</v>
      </c>
      <c r="B176" s="619" t="s">
        <v>28</v>
      </c>
      <c r="C176" s="415" t="str">
        <f t="shared" si="72"/>
        <v>England ICS - Dorset</v>
      </c>
      <c r="D176" s="111">
        <f t="shared" si="93"/>
        <v>309517</v>
      </c>
      <c r="E176" s="111">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25">
      <c r="A177" s="151" t="s">
        <v>444</v>
      </c>
      <c r="B177" s="619" t="s">
        <v>593</v>
      </c>
      <c r="C177" s="415" t="str">
        <f t="shared" si="72"/>
        <v>England ICS - Frimley</v>
      </c>
      <c r="D177" s="111">
        <f t="shared" si="93"/>
        <v>280610</v>
      </c>
      <c r="E177" s="111">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25">
      <c r="A178" s="151" t="s">
        <v>444</v>
      </c>
      <c r="B178" s="619" t="s">
        <v>29</v>
      </c>
      <c r="C178" s="415" t="str">
        <f t="shared" si="72"/>
        <v>England ICS - Gloucestershire</v>
      </c>
      <c r="D178" s="111">
        <f t="shared" si="93"/>
        <v>248138</v>
      </c>
      <c r="E178" s="111">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25">
      <c r="A179" s="151" t="s">
        <v>444</v>
      </c>
      <c r="B179" s="619" t="s">
        <v>594</v>
      </c>
      <c r="C179" s="415" t="str">
        <f t="shared" si="72"/>
        <v xml:space="preserve">England ICS - Greater Manchester </v>
      </c>
      <c r="D179" s="111">
        <f t="shared" si="93"/>
        <v>1098593</v>
      </c>
      <c r="E179" s="111">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25">
      <c r="A180" s="151" t="s">
        <v>444</v>
      </c>
      <c r="B180" s="619" t="s">
        <v>391</v>
      </c>
      <c r="C180" s="415" t="str">
        <f t="shared" si="72"/>
        <v>England ICS - Hampshire and the Isle of Wight</v>
      </c>
      <c r="D180" s="111">
        <f t="shared" si="93"/>
        <v>715426</v>
      </c>
      <c r="E180" s="111">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25">
      <c r="A181" s="151" t="s">
        <v>444</v>
      </c>
      <c r="B181" s="619" t="s">
        <v>388</v>
      </c>
      <c r="C181" s="415" t="str">
        <f t="shared" si="72"/>
        <v>England ICS - Hertfordshire and West Essex</v>
      </c>
      <c r="D181" s="111">
        <f t="shared" si="93"/>
        <v>552598</v>
      </c>
      <c r="E181" s="111">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25">
      <c r="A182" s="151" t="s">
        <v>444</v>
      </c>
      <c r="B182" s="619" t="s">
        <v>783</v>
      </c>
      <c r="C182" s="415" t="str">
        <f t="shared" si="72"/>
        <v>England ICS - Herefordshire and Worcestershire</v>
      </c>
      <c r="D182" s="111">
        <f t="shared" si="93"/>
        <v>309932</v>
      </c>
      <c r="E182" s="111">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25">
      <c r="A183" s="151" t="s">
        <v>444</v>
      </c>
      <c r="B183" s="619" t="s">
        <v>784</v>
      </c>
      <c r="C183" s="415" t="str">
        <f t="shared" si="72"/>
        <v>England ICS - Humber and North Yorkshire</v>
      </c>
      <c r="D183" s="111">
        <f t="shared" si="93"/>
        <v>671757</v>
      </c>
      <c r="E183" s="111">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25">
      <c r="A184" s="151" t="s">
        <v>444</v>
      </c>
      <c r="B184" s="619" t="s">
        <v>279</v>
      </c>
      <c r="C184" s="415" t="str">
        <f t="shared" si="72"/>
        <v>England ICS - Kent and Medway</v>
      </c>
      <c r="D184" s="111">
        <f t="shared" si="93"/>
        <v>706308</v>
      </c>
      <c r="E184" s="111">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25">
      <c r="A185" s="151" t="s">
        <v>444</v>
      </c>
      <c r="B185" s="619" t="s">
        <v>595</v>
      </c>
      <c r="C185" s="415" t="str">
        <f t="shared" si="72"/>
        <v>England ICS - Lancashire and South Cumbria</v>
      </c>
      <c r="D185" s="111">
        <f t="shared" si="93"/>
        <v>659847</v>
      </c>
      <c r="E185" s="111">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25">
      <c r="A186" s="151" t="s">
        <v>444</v>
      </c>
      <c r="B186" s="619" t="s">
        <v>384</v>
      </c>
      <c r="C186" s="415" t="str">
        <f t="shared" si="72"/>
        <v>England ICS - Leicester, Leicestershire and Rutland</v>
      </c>
      <c r="D186" s="111">
        <f t="shared" si="93"/>
        <v>430266</v>
      </c>
      <c r="E186" s="111">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25">
      <c r="A187" s="151" t="s">
        <v>444</v>
      </c>
      <c r="B187" s="619" t="s">
        <v>374</v>
      </c>
      <c r="C187" s="415" t="str">
        <f t="shared" si="72"/>
        <v>England ICS - Lincolnshire</v>
      </c>
      <c r="D187" s="111">
        <f t="shared" si="93"/>
        <v>300527</v>
      </c>
      <c r="E187" s="111">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25">
      <c r="A188" s="151" t="s">
        <v>444</v>
      </c>
      <c r="B188" s="619" t="s">
        <v>596</v>
      </c>
      <c r="C188" s="415" t="str">
        <f t="shared" si="72"/>
        <v xml:space="preserve">England ICS - Mid and South Essex </v>
      </c>
      <c r="D188" s="111">
        <f t="shared" si="93"/>
        <v>452188</v>
      </c>
      <c r="E188" s="111">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25">
      <c r="A189" s="151" t="s">
        <v>444</v>
      </c>
      <c r="B189" s="619" t="s">
        <v>386</v>
      </c>
      <c r="C189" s="415" t="str">
        <f t="shared" si="72"/>
        <v>England ICS - Norfolk and Waveney</v>
      </c>
      <c r="D189" s="111">
        <f t="shared" si="93"/>
        <v>406639</v>
      </c>
      <c r="E189" s="111">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25">
      <c r="A190" s="151" t="s">
        <v>444</v>
      </c>
      <c r="B190" s="619" t="s">
        <v>597</v>
      </c>
      <c r="C190" s="415" t="str">
        <f t="shared" si="72"/>
        <v xml:space="preserve">England ICS - North Central London </v>
      </c>
      <c r="D190" s="111">
        <f t="shared" si="93"/>
        <v>593891</v>
      </c>
      <c r="E190" s="111">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25">
      <c r="A191" s="151" t="s">
        <v>444</v>
      </c>
      <c r="B191" s="619" t="s">
        <v>561</v>
      </c>
      <c r="C191" s="415" t="str">
        <f t="shared" si="72"/>
        <v>England ICS - North East and North Cumbria</v>
      </c>
      <c r="D191" s="111">
        <f t="shared" si="93"/>
        <v>1170091</v>
      </c>
      <c r="E191" s="111">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25">
      <c r="A192" s="151" t="s">
        <v>444</v>
      </c>
      <c r="B192" s="619" t="s">
        <v>598</v>
      </c>
      <c r="C192" s="415" t="str">
        <f t="shared" si="72"/>
        <v xml:space="preserve">England ICS - North East London </v>
      </c>
      <c r="D192" s="111">
        <f t="shared" si="93"/>
        <v>784566</v>
      </c>
      <c r="E192" s="111">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25">
      <c r="A193" s="151" t="s">
        <v>444</v>
      </c>
      <c r="B193" s="619" t="s">
        <v>599</v>
      </c>
      <c r="C193" s="415" t="str">
        <f t="shared" si="72"/>
        <v>England ICS - North West London</v>
      </c>
      <c r="D193" s="111">
        <f t="shared" si="93"/>
        <v>828249</v>
      </c>
      <c r="E193" s="111">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25">
      <c r="A194" s="151" t="s">
        <v>444</v>
      </c>
      <c r="B194" s="619" t="s">
        <v>379</v>
      </c>
      <c r="C194" s="415" t="str">
        <f t="shared" si="72"/>
        <v>England ICS - Northamptonshire</v>
      </c>
      <c r="D194" s="111">
        <f t="shared" ref="D194" si="102">I194</f>
        <v>280031</v>
      </c>
      <c r="E194" s="111">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25">
      <c r="A195" s="151" t="s">
        <v>444</v>
      </c>
      <c r="B195" s="619" t="s">
        <v>785</v>
      </c>
      <c r="C195" s="415" t="str">
        <f t="shared" si="72"/>
        <v>England ICS - Nottingham and Nottinghamshire</v>
      </c>
      <c r="D195" s="111">
        <f t="shared" si="93"/>
        <v>413641</v>
      </c>
      <c r="E195" s="111">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25">
      <c r="A196" s="151" t="s">
        <v>444</v>
      </c>
      <c r="B196" s="619" t="s">
        <v>790</v>
      </c>
      <c r="C196" s="415" t="str">
        <f t="shared" si="72"/>
        <v>England ICS - Shropshire, Telford and Wrekin</v>
      </c>
      <c r="D196" s="111">
        <f t="shared" si="84"/>
        <v>199279</v>
      </c>
      <c r="E196" s="111">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25">
      <c r="A197" s="151" t="s">
        <v>444</v>
      </c>
      <c r="B197" s="619" t="s">
        <v>30</v>
      </c>
      <c r="C197" s="415" t="str">
        <f t="shared" si="72"/>
        <v>England ICS - Somerset</v>
      </c>
      <c r="D197" s="111">
        <f t="shared" si="84"/>
        <v>218431</v>
      </c>
      <c r="E197" s="111">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25">
      <c r="A198" s="151" t="s">
        <v>444</v>
      </c>
      <c r="B198" s="619" t="s">
        <v>389</v>
      </c>
      <c r="C198" s="415" t="str">
        <f t="shared" si="72"/>
        <v>England ICS - South East London</v>
      </c>
      <c r="D198" s="111">
        <f t="shared" si="84"/>
        <v>697479</v>
      </c>
      <c r="E198" s="111">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25">
      <c r="A199" s="151" t="s">
        <v>444</v>
      </c>
      <c r="B199" s="619" t="s">
        <v>390</v>
      </c>
      <c r="C199" s="415" t="str">
        <f t="shared" si="72"/>
        <v>England ICS - South West London</v>
      </c>
      <c r="D199" s="111">
        <f t="shared" si="84"/>
        <v>560076</v>
      </c>
      <c r="E199" s="111">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25">
      <c r="A200" s="151" t="s">
        <v>444</v>
      </c>
      <c r="B200" s="619" t="s">
        <v>786</v>
      </c>
      <c r="C200" s="415" t="str">
        <f t="shared" si="72"/>
        <v>England ICS - South Yorkshire</v>
      </c>
      <c r="D200" s="111">
        <f t="shared" si="84"/>
        <v>597392</v>
      </c>
      <c r="E200" s="111">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25">
      <c r="A201" s="151" t="s">
        <v>444</v>
      </c>
      <c r="B201" s="619" t="s">
        <v>791</v>
      </c>
      <c r="C201" s="415" t="str">
        <f t="shared" si="72"/>
        <v>England ICS - Staffodshire and Stoke on Trent</v>
      </c>
      <c r="D201" s="111">
        <f t="shared" ref="D201:D206" si="111">I201</f>
        <v>450150</v>
      </c>
      <c r="E201" s="111">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25">
      <c r="A202" s="151" t="s">
        <v>444</v>
      </c>
      <c r="B202" s="619" t="s">
        <v>387</v>
      </c>
      <c r="C202" s="415" t="str">
        <f t="shared" si="72"/>
        <v>England ICS - Suffolk and North East Essex</v>
      </c>
      <c r="D202" s="111">
        <f t="shared" si="111"/>
        <v>385963</v>
      </c>
      <c r="E202" s="111">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25">
      <c r="A203" s="151" t="s">
        <v>444</v>
      </c>
      <c r="B203" s="619" t="s">
        <v>553</v>
      </c>
      <c r="C203" s="415" t="str">
        <f t="shared" si="72"/>
        <v>England ICS - Surrey Heartlands</v>
      </c>
      <c r="D203" s="111">
        <f t="shared" si="111"/>
        <v>396737</v>
      </c>
      <c r="E203" s="111">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25">
      <c r="A204" s="151" t="s">
        <v>444</v>
      </c>
      <c r="B204" s="619" t="s">
        <v>787</v>
      </c>
      <c r="C204" s="415" t="str">
        <f t="shared" si="72"/>
        <v>England ICS - Sussex</v>
      </c>
      <c r="D204" s="111">
        <f t="shared" si="111"/>
        <v>664808</v>
      </c>
      <c r="E204" s="111">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25">
      <c r="A205" s="151" t="s">
        <v>444</v>
      </c>
      <c r="B205" s="619" t="s">
        <v>788</v>
      </c>
      <c r="C205" s="415" t="str">
        <f t="shared" si="72"/>
        <v>England ICS - Black Country</v>
      </c>
      <c r="D205" s="111">
        <f t="shared" si="111"/>
        <v>516421</v>
      </c>
      <c r="E205" s="111">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25">
      <c r="A206" s="151" t="s">
        <v>444</v>
      </c>
      <c r="B206" s="619" t="s">
        <v>789</v>
      </c>
      <c r="C206" s="415" t="str">
        <f t="shared" si="72"/>
        <v>England ICS - West Yorkshire</v>
      </c>
      <c r="D206" s="111">
        <f t="shared" si="111"/>
        <v>902561</v>
      </c>
      <c r="E206" s="111">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2" customFormat="1" x14ac:dyDescent="0.25">
      <c r="A207" s="178"/>
      <c r="B207" s="427"/>
      <c r="C207" s="188"/>
      <c r="D207" s="412">
        <f t="shared" ref="D207:L207" si="120">SUM(D165:D206)</f>
        <v>21779298</v>
      </c>
      <c r="E207" s="412">
        <f t="shared" si="120"/>
        <v>22677552</v>
      </c>
      <c r="F207" s="412">
        <f t="shared" si="120"/>
        <v>56550138</v>
      </c>
      <c r="G207" s="412">
        <f t="shared" si="120"/>
        <v>27982818</v>
      </c>
      <c r="H207" s="412">
        <f t="shared" si="120"/>
        <v>28567320</v>
      </c>
      <c r="I207" s="412">
        <f t="shared" si="120"/>
        <v>21779298</v>
      </c>
      <c r="J207" s="412">
        <f t="shared" si="120"/>
        <v>22677552</v>
      </c>
      <c r="K207" s="412">
        <f t="shared" si="120"/>
        <v>6203520</v>
      </c>
      <c r="L207" s="412">
        <f t="shared" si="120"/>
        <v>5889768</v>
      </c>
      <c r="M207" s="412"/>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0"/>
      <c r="CZ207" s="413"/>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c r="FU207" s="181"/>
      <c r="FV207" s="181"/>
      <c r="FW207" s="181"/>
      <c r="FX207" s="181"/>
      <c r="FY207" s="181"/>
      <c r="FZ207" s="181"/>
      <c r="GA207" s="181"/>
      <c r="GB207" s="181"/>
      <c r="GC207" s="181"/>
      <c r="GD207" s="181"/>
      <c r="GE207" s="181"/>
      <c r="GF207" s="181"/>
      <c r="GG207" s="181"/>
      <c r="GH207" s="181"/>
      <c r="GI207" s="181"/>
      <c r="GJ207" s="181"/>
      <c r="GK207" s="181"/>
      <c r="GL207" s="180"/>
    </row>
    <row r="208" spans="1:194" s="2" customFormat="1" x14ac:dyDescent="0.25">
      <c r="A208" s="52" t="s">
        <v>450</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25">
      <c r="A209" s="52" t="s">
        <v>450</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25">
      <c r="A210" s="52" t="s">
        <v>450</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25">
      <c r="A211" s="52" t="s">
        <v>450</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25">
      <c r="A212" s="52" t="s">
        <v>450</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25">
      <c r="A213" s="52" t="s">
        <v>450</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25">
      <c r="A214" s="52" t="s">
        <v>450</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25">
      <c r="A215" s="52" t="s">
        <v>450</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25">
      <c r="A216" s="52" t="s">
        <v>450</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25">
      <c r="A217" s="52" t="s">
        <v>450</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25">
      <c r="A218" s="52" t="s">
        <v>450</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25">
      <c r="A219" s="52" t="s">
        <v>450</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25">
      <c r="A220" s="52" t="s">
        <v>450</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25">
      <c r="A221" s="52" t="s">
        <v>450</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25">
      <c r="A222" s="52" t="s">
        <v>450</v>
      </c>
      <c r="B222" s="2" t="s">
        <v>298</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25">
      <c r="A223" s="52" t="s">
        <v>450</v>
      </c>
      <c r="B223" s="2" t="s">
        <v>324</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25">
      <c r="A224" s="52" t="s">
        <v>450</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25">
      <c r="A225" s="52" t="s">
        <v>450</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25">
      <c r="A226" s="52" t="s">
        <v>450</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25">
      <c r="A227" s="52" t="s">
        <v>450</v>
      </c>
      <c r="B227" s="2" t="s">
        <v>286</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25">
      <c r="A228" s="52" t="s">
        <v>450</v>
      </c>
      <c r="B228" s="2" t="s">
        <v>287</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25">
      <c r="A229" s="52" t="s">
        <v>450</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25">
      <c r="A230" s="52" t="s">
        <v>450</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25">
      <c r="A231" s="52" t="s">
        <v>450</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25">
      <c r="A232" s="52" t="s">
        <v>450</v>
      </c>
      <c r="B232" s="2" t="s">
        <v>436</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25">
      <c r="A233" s="52" t="s">
        <v>450</v>
      </c>
      <c r="B233" s="2" t="s">
        <v>328</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25">
      <c r="A234" s="52" t="s">
        <v>450</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25">
      <c r="A235" s="52" t="s">
        <v>450</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25">
      <c r="A236" s="52" t="s">
        <v>450</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25">
      <c r="A237" s="52" t="s">
        <v>450</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25">
      <c r="A238" s="52" t="s">
        <v>450</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25">
      <c r="A239" s="52" t="s">
        <v>450</v>
      </c>
      <c r="B239" s="2" t="s">
        <v>329</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25">
      <c r="A240" s="52" t="s">
        <v>450</v>
      </c>
      <c r="B240" s="2" t="s">
        <v>331</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25">
      <c r="A241" s="52" t="s">
        <v>450</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25">
      <c r="A242" s="52" t="s">
        <v>450</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25">
      <c r="A243" s="52" t="s">
        <v>450</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25">
      <c r="A244" s="52" t="s">
        <v>450</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25">
      <c r="A245" s="52" t="s">
        <v>450</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25">
      <c r="A246" s="52" t="s">
        <v>450</v>
      </c>
      <c r="B246" s="2" t="s">
        <v>552</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25">
      <c r="A247" s="52" t="s">
        <v>450</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25">
      <c r="A248" s="52" t="s">
        <v>450</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25">
      <c r="A249" s="52" t="s">
        <v>450</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25">
      <c r="A250" s="52" t="s">
        <v>450</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25">
      <c r="A251" s="52" t="s">
        <v>450</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25">
      <c r="A252" s="52" t="s">
        <v>450</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25">
      <c r="A253" s="52" t="s">
        <v>450</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25">
      <c r="A254" s="52" t="s">
        <v>450</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25">
      <c r="A255" s="52" t="s">
        <v>450</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25">
      <c r="A256" s="52" t="s">
        <v>450</v>
      </c>
      <c r="B256" s="2" t="s">
        <v>325</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25">
      <c r="A257" s="52" t="s">
        <v>450</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25">
      <c r="A258" s="52" t="s">
        <v>450</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25">
      <c r="A259" s="52" t="s">
        <v>450</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25">
      <c r="A260" s="52" t="s">
        <v>450</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25">
      <c r="A261" s="52" t="s">
        <v>450</v>
      </c>
      <c r="B261" s="2" t="s">
        <v>314</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25">
      <c r="A262" s="52" t="s">
        <v>450</v>
      </c>
      <c r="B262" s="2" t="s">
        <v>315</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25">
      <c r="A263" s="52" t="s">
        <v>450</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25">
      <c r="A264" s="52" t="s">
        <v>450</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25">
      <c r="A265" s="52" t="s">
        <v>450</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25">
      <c r="A266" s="52" t="s">
        <v>450</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25">
      <c r="A267" s="52" t="s">
        <v>450</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25">
      <c r="A268" s="52" t="s">
        <v>450</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25">
      <c r="A269" s="52" t="s">
        <v>450</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25">
      <c r="A270" s="52" t="s">
        <v>450</v>
      </c>
      <c r="B270" s="2" t="s">
        <v>332</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25">
      <c r="A271" s="52" t="s">
        <v>450</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25">
      <c r="A272" s="52" t="s">
        <v>450</v>
      </c>
      <c r="B272" s="2" t="s">
        <v>309</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25">
      <c r="A273" s="52" t="s">
        <v>450</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25">
      <c r="A274" s="52" t="s">
        <v>450</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25">
      <c r="A275" s="52" t="s">
        <v>450</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25">
      <c r="A276" s="52" t="s">
        <v>450</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25">
      <c r="A277" s="52" t="s">
        <v>450</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25">
      <c r="A278" s="52" t="s">
        <v>450</v>
      </c>
      <c r="B278" s="2" t="s">
        <v>285</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25">
      <c r="A279" s="52" t="s">
        <v>450</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25">
      <c r="A280" s="52" t="s">
        <v>450</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25">
      <c r="A281" s="52" t="s">
        <v>450</v>
      </c>
      <c r="B281" s="2" t="s">
        <v>317</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25">
      <c r="A282" s="52" t="s">
        <v>450</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25">
      <c r="A283" s="52" t="s">
        <v>450</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25">
      <c r="A284" s="52" t="s">
        <v>450</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25">
      <c r="A285" s="52" t="s">
        <v>450</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25">
      <c r="A286" s="52" t="s">
        <v>450</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25">
      <c r="A287" s="52" t="s">
        <v>450</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25">
      <c r="A288" s="52" t="s">
        <v>450</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25">
      <c r="A289" s="52" t="s">
        <v>450</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25">
      <c r="A290" s="52" t="s">
        <v>450</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25">
      <c r="A291" s="52" t="s">
        <v>450</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25">
      <c r="A292" s="52" t="s">
        <v>450</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25">
      <c r="A293" s="52" t="s">
        <v>450</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25">
      <c r="A294" s="52" t="s">
        <v>450</v>
      </c>
      <c r="B294" s="2" t="s">
        <v>290</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25">
      <c r="A295" s="52" t="s">
        <v>450</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25">
      <c r="A296" s="52" t="s">
        <v>450</v>
      </c>
      <c r="B296" s="2" t="s">
        <v>437</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25">
      <c r="A297" s="52" t="s">
        <v>450</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25">
      <c r="A298" s="52" t="s">
        <v>450</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25">
      <c r="A299" s="52" t="s">
        <v>450</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25">
      <c r="A300" s="52" t="s">
        <v>450</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25">
      <c r="A301" s="52" t="s">
        <v>450</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25">
      <c r="A302" s="52" t="s">
        <v>450</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25">
      <c r="A303" s="52" t="s">
        <v>450</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25">
      <c r="A304" s="52" t="s">
        <v>450</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25">
      <c r="A305" s="52" t="s">
        <v>450</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25">
      <c r="A306" s="52" t="s">
        <v>450</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25">
      <c r="A307" s="52" t="s">
        <v>450</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25">
      <c r="A308" s="52" t="s">
        <v>450</v>
      </c>
      <c r="B308" s="2" t="s">
        <v>438</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25">
      <c r="A309" s="52" t="s">
        <v>450</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25">
      <c r="A310" s="52" t="s">
        <v>450</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25">
      <c r="A311" s="52" t="s">
        <v>450</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25">
      <c r="A312" s="52" t="s">
        <v>450</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25">
      <c r="A313" s="52" t="s">
        <v>450</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25">
      <c r="A314" s="52" t="s">
        <v>450</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25">
      <c r="A315" s="52" t="s">
        <v>450</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25">
      <c r="A316" s="52" t="s">
        <v>450</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25">
      <c r="A317" s="52" t="s">
        <v>450</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25">
      <c r="A318" s="52" t="s">
        <v>450</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25">
      <c r="A319" s="52" t="s">
        <v>450</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25">
      <c r="A320" s="52" t="s">
        <v>450</v>
      </c>
      <c r="B320" s="2" t="s">
        <v>288</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25">
      <c r="A321" s="52" t="s">
        <v>450</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25">
      <c r="A322" s="52" t="s">
        <v>450</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25">
      <c r="A323" s="52" t="s">
        <v>450</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25">
      <c r="A324" s="52" t="s">
        <v>450</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25">
      <c r="A325" s="52" t="s">
        <v>450</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25">
      <c r="A326" s="52" t="s">
        <v>450</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25">
      <c r="A327" s="52" t="s">
        <v>450</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25">
      <c r="A328" s="52" t="s">
        <v>450</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25">
      <c r="A329" s="52" t="s">
        <v>450</v>
      </c>
      <c r="B329" s="2" t="s">
        <v>310</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25">
      <c r="A330" s="52" t="s">
        <v>450</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25">
      <c r="A331" s="52" t="s">
        <v>450</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25">
      <c r="A332" s="52" t="s">
        <v>450</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25">
      <c r="A333" s="52" t="s">
        <v>450</v>
      </c>
      <c r="B333" s="2" t="s">
        <v>321</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25">
      <c r="A334" s="52" t="s">
        <v>450</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25">
      <c r="A335" s="52" t="s">
        <v>450</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25">
      <c r="A336" s="52" t="s">
        <v>450</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25">
      <c r="A337" s="52" t="s">
        <v>450</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25">
      <c r="A338" s="52" t="s">
        <v>450</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25">
      <c r="A339" s="52" t="s">
        <v>450</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25">
      <c r="A340" s="52" t="s">
        <v>450</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25">
      <c r="A341" s="52" t="s">
        <v>450</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25">
      <c r="A342" s="52" t="s">
        <v>450</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25">
      <c r="A343" s="52" t="s">
        <v>450</v>
      </c>
      <c r="B343" s="2" t="s">
        <v>306</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25">
      <c r="A344" s="52" t="s">
        <v>450</v>
      </c>
      <c r="B344" s="2" t="s">
        <v>333</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25">
      <c r="A345" s="52" t="s">
        <v>450</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25">
      <c r="A346" s="52" t="s">
        <v>450</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25">
      <c r="A347" s="52" t="s">
        <v>450</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25">
      <c r="A348" s="52" t="s">
        <v>450</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25">
      <c r="A349" s="52" t="s">
        <v>450</v>
      </c>
      <c r="B349" s="2" t="s">
        <v>316</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25">
      <c r="A350" s="52" t="s">
        <v>450</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25">
      <c r="A351" s="52" t="s">
        <v>450</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25">
      <c r="A352" s="52" t="s">
        <v>450</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25">
      <c r="A353" s="52" t="s">
        <v>450</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25">
      <c r="A354" s="52" t="s">
        <v>450</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25">
      <c r="A355" s="52" t="s">
        <v>450</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25">
      <c r="A356" s="52" t="s">
        <v>450</v>
      </c>
      <c r="B356" s="2" t="s">
        <v>318</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25">
      <c r="A357" s="52" t="s">
        <v>450</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25">
      <c r="A358" s="52" t="s">
        <v>450</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25">
      <c r="A359" s="52" t="s">
        <v>450</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25">
      <c r="A360" s="52" t="s">
        <v>450</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25">
      <c r="A361" s="52" t="s">
        <v>450</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25">
      <c r="A362" s="52" t="s">
        <v>450</v>
      </c>
      <c r="B362" s="2" t="s">
        <v>295</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25">
      <c r="A363" s="52" t="s">
        <v>450</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25">
      <c r="A364" s="52" t="s">
        <v>450</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25">
      <c r="A365" s="52" t="s">
        <v>450</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25">
      <c r="A366" s="52" t="s">
        <v>450</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25">
      <c r="A367" s="52" t="s">
        <v>450</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25">
      <c r="A368" s="52" t="s">
        <v>450</v>
      </c>
      <c r="B368" s="2" t="s">
        <v>303</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25">
      <c r="A369" s="52" t="s">
        <v>450</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25">
      <c r="A370" s="52" t="s">
        <v>450</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25">
      <c r="A371" s="52" t="s">
        <v>450</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25">
      <c r="A372" s="52" t="s">
        <v>450</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25">
      <c r="A373" s="52" t="s">
        <v>450</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25">
      <c r="A374" s="52" t="s">
        <v>450</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25">
      <c r="A375" s="52" t="s">
        <v>450</v>
      </c>
      <c r="B375" s="2" t="s">
        <v>311</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25">
      <c r="A376" s="52" t="s">
        <v>450</v>
      </c>
      <c r="B376" s="2" t="s">
        <v>296</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25">
      <c r="A377" s="52" t="s">
        <v>450</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25">
      <c r="A378" s="52" t="s">
        <v>450</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25">
      <c r="A379" s="52" t="s">
        <v>450</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25">
      <c r="A380" s="52" t="s">
        <v>450</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25">
      <c r="A381" s="52" t="s">
        <v>450</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25">
      <c r="A382" s="52" t="s">
        <v>450</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25">
      <c r="A383" s="52" t="s">
        <v>450</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25">
      <c r="A384" s="52" t="s">
        <v>450</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25">
      <c r="A385" s="52" t="s">
        <v>450</v>
      </c>
      <c r="B385" s="2" t="s">
        <v>291</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25">
      <c r="A386" s="52" t="s">
        <v>450</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25">
      <c r="A387" s="52" t="s">
        <v>450</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25">
      <c r="A388" s="52" t="s">
        <v>450</v>
      </c>
      <c r="B388" s="2" t="s">
        <v>292</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25">
      <c r="A389" s="52" t="s">
        <v>450</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25">
      <c r="A390" s="52" t="s">
        <v>450</v>
      </c>
      <c r="B390" s="2" t="s">
        <v>301</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25">
      <c r="A391" s="52" t="s">
        <v>450</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25">
      <c r="A392" s="52" t="s">
        <v>450</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25">
      <c r="A393" s="52" t="s">
        <v>450</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25">
      <c r="A394" s="52" t="s">
        <v>450</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25">
      <c r="A395" s="52" t="s">
        <v>450</v>
      </c>
      <c r="B395" s="2" t="s">
        <v>289</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25">
      <c r="A396" s="52" t="s">
        <v>450</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25">
      <c r="A397" s="52" t="s">
        <v>450</v>
      </c>
      <c r="B397" s="2" t="s">
        <v>319</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25">
      <c r="A398" s="52" t="s">
        <v>450</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25">
      <c r="A399" s="52" t="s">
        <v>450</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25">
      <c r="A400" s="52" t="s">
        <v>450</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25">
      <c r="A401" s="52" t="s">
        <v>450</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25">
      <c r="A402" s="52" t="s">
        <v>450</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25">
      <c r="A403" s="52" t="s">
        <v>450</v>
      </c>
      <c r="B403" s="2" t="s">
        <v>326</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25">
      <c r="A404" s="52" t="s">
        <v>450</v>
      </c>
      <c r="B404" s="2" t="s">
        <v>334</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25">
      <c r="A405" s="52" t="s">
        <v>450</v>
      </c>
      <c r="B405" s="2" t="s">
        <v>307</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25">
      <c r="A406" s="52" t="s">
        <v>450</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25">
      <c r="A407" s="52" t="s">
        <v>450</v>
      </c>
      <c r="B407" s="2" t="s">
        <v>330</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25">
      <c r="A408" s="52" t="s">
        <v>450</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25">
      <c r="A409" s="52" t="s">
        <v>450</v>
      </c>
      <c r="B409" s="2" t="s">
        <v>312</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25">
      <c r="A410" s="52" t="s">
        <v>450</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25">
      <c r="A411" s="52" t="s">
        <v>450</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25">
      <c r="A412" s="52" t="s">
        <v>450</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25">
      <c r="A413" s="52" t="s">
        <v>450</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25">
      <c r="A414" s="52" t="s">
        <v>450</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25">
      <c r="A415" s="52" t="s">
        <v>450</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25">
      <c r="A416" s="52" t="s">
        <v>450</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25">
      <c r="A417" s="52" t="s">
        <v>450</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25">
      <c r="A418" s="52" t="s">
        <v>450</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25">
      <c r="A419" s="52" t="s">
        <v>450</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25">
      <c r="A420" s="52" t="s">
        <v>450</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25">
      <c r="A421" s="52" t="s">
        <v>450</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25">
      <c r="A422" s="52" t="s">
        <v>450</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25">
      <c r="A423" s="52" t="s">
        <v>450</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25">
      <c r="A424" s="52" t="s">
        <v>450</v>
      </c>
      <c r="B424" s="2" t="s">
        <v>320</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25">
      <c r="A425" s="52" t="s">
        <v>450</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25">
      <c r="A426" s="52" t="s">
        <v>450</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25">
      <c r="A427" s="52" t="s">
        <v>450</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25">
      <c r="A428" s="52" t="s">
        <v>450</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25">
      <c r="A429" s="52" t="s">
        <v>450</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25">
      <c r="A430" s="52" t="s">
        <v>450</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25">
      <c r="A431" s="52" t="s">
        <v>450</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25">
      <c r="A432" s="52" t="s">
        <v>450</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25">
      <c r="A433" s="52" t="s">
        <v>450</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25">
      <c r="A434" s="52" t="s">
        <v>450</v>
      </c>
      <c r="B434" s="2" t="s">
        <v>297</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25">
      <c r="A435" s="52" t="s">
        <v>450</v>
      </c>
      <c r="B435" s="2" t="s">
        <v>304</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25">
      <c r="A436" s="52" t="s">
        <v>450</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25">
      <c r="A437" s="52" t="s">
        <v>450</v>
      </c>
      <c r="B437" s="2" t="s">
        <v>439</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25">
      <c r="A438" s="52" t="s">
        <v>450</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25">
      <c r="A439" s="52" t="s">
        <v>450</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25">
      <c r="A440" s="52" t="s">
        <v>450</v>
      </c>
      <c r="B440" s="2" t="s">
        <v>302</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25">
      <c r="A441" s="52" t="s">
        <v>450</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25">
      <c r="A442" s="52" t="s">
        <v>450</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25">
      <c r="A443" s="52" t="s">
        <v>450</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25">
      <c r="A444" s="52" t="s">
        <v>450</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25">
      <c r="A445" s="52" t="s">
        <v>450</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25">
      <c r="A446" s="52" t="s">
        <v>450</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25">
      <c r="A447" s="52" t="s">
        <v>450</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25">
      <c r="A448" s="52" t="s">
        <v>450</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25">
      <c r="A449" s="52" t="s">
        <v>450</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25">
      <c r="A450" s="52" t="s">
        <v>450</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25">
      <c r="A451" s="52" t="s">
        <v>450</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25">
      <c r="A452" s="52" t="s">
        <v>450</v>
      </c>
      <c r="B452" s="2" t="s">
        <v>308</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25">
      <c r="A453" s="52" t="s">
        <v>450</v>
      </c>
      <c r="B453" s="2" t="s">
        <v>327</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25">
      <c r="A454" s="52" t="s">
        <v>450</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25">
      <c r="A455" s="52" t="s">
        <v>450</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25">
      <c r="A456" s="52" t="s">
        <v>450</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25">
      <c r="A457" s="52" t="s">
        <v>450</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25">
      <c r="A458" s="52" t="s">
        <v>450</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25">
      <c r="A459" s="52" t="s">
        <v>450</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25">
      <c r="A460" s="52" t="s">
        <v>450</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25">
      <c r="A461" s="52" t="s">
        <v>450</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25">
      <c r="A462" s="52" t="s">
        <v>450</v>
      </c>
      <c r="B462" s="2" t="s">
        <v>313</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25">
      <c r="A463" s="52" t="s">
        <v>450</v>
      </c>
      <c r="B463" s="2" t="s">
        <v>322</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25">
      <c r="A464" s="52" t="s">
        <v>450</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25">
      <c r="A465" s="52" t="s">
        <v>450</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25">
      <c r="A466" s="52" t="s">
        <v>450</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25">
      <c r="A467" s="52" t="s">
        <v>450</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25">
      <c r="A468" s="52" t="s">
        <v>450</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25">
      <c r="A469" s="52" t="s">
        <v>450</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25">
      <c r="A470" s="52" t="s">
        <v>450</v>
      </c>
      <c r="B470" s="2" t="s">
        <v>299</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25">
      <c r="A471" s="52" t="s">
        <v>450</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25">
      <c r="A472" s="52" t="s">
        <v>450</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25">
      <c r="A473" s="52" t="s">
        <v>450</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25">
      <c r="A474" s="52" t="s">
        <v>450</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25">
      <c r="A475" s="52" t="s">
        <v>450</v>
      </c>
      <c r="B475" s="2" t="s">
        <v>323</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25">
      <c r="A476" s="52" t="s">
        <v>450</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25">
      <c r="A477" s="52" t="s">
        <v>450</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25">
      <c r="A478" s="52" t="s">
        <v>450</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25">
      <c r="A479" s="52" t="s">
        <v>450</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25">
      <c r="A480" s="52" t="s">
        <v>450</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25">
      <c r="A481" s="52" t="s">
        <v>450</v>
      </c>
      <c r="B481" s="2" t="s">
        <v>294</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25">
      <c r="A482" s="52" t="s">
        <v>450</v>
      </c>
      <c r="B482" s="2" t="s">
        <v>395</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25">
      <c r="A483" s="52" t="s">
        <v>450</v>
      </c>
      <c r="B483" s="2" t="s">
        <v>396</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25">
      <c r="A484" s="52" t="s">
        <v>450</v>
      </c>
      <c r="B484" s="2" t="s">
        <v>398</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25">
      <c r="A485" s="52" t="s">
        <v>450</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25">
      <c r="A486" s="52" t="s">
        <v>450</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25">
      <c r="A487" s="52" t="s">
        <v>450</v>
      </c>
      <c r="B487" s="2" t="s">
        <v>399</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25">
      <c r="A488" s="52" t="s">
        <v>450</v>
      </c>
      <c r="B488" s="2" t="s">
        <v>400</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25">
      <c r="A489" s="52" t="s">
        <v>450</v>
      </c>
      <c r="B489" s="2" t="s">
        <v>402</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25">
      <c r="A490" s="52" t="s">
        <v>450</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25">
      <c r="A491" s="52" t="s">
        <v>450</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25">
      <c r="A492" s="52" t="s">
        <v>450</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25">
      <c r="A493" s="52" t="s">
        <v>450</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25">
      <c r="A494" s="52" t="s">
        <v>450</v>
      </c>
      <c r="B494" s="2" t="s">
        <v>284</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25">
      <c r="A495" s="52" t="s">
        <v>450</v>
      </c>
      <c r="B495" s="2" t="s">
        <v>403</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25">
      <c r="A496" s="52" t="s">
        <v>450</v>
      </c>
      <c r="B496" s="2" t="s">
        <v>404</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25">
      <c r="A497" s="52" t="s">
        <v>450</v>
      </c>
      <c r="B497" s="2" t="s">
        <v>405</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25">
      <c r="A498" s="52" t="s">
        <v>450</v>
      </c>
      <c r="B498" s="2" t="s">
        <v>406</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25">
      <c r="A499" s="52" t="s">
        <v>450</v>
      </c>
      <c r="B499" s="2" t="s">
        <v>407</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25">
      <c r="A500" s="52" t="s">
        <v>450</v>
      </c>
      <c r="B500" s="2" t="s">
        <v>408</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25">
      <c r="A501" s="52" t="s">
        <v>450</v>
      </c>
      <c r="B501" s="2" t="s">
        <v>409</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25">
      <c r="A502" s="52" t="s">
        <v>450</v>
      </c>
      <c r="B502" s="2" t="s">
        <v>410</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25">
      <c r="A503" s="52" t="s">
        <v>450</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25">
      <c r="A504" s="52" t="s">
        <v>450</v>
      </c>
      <c r="B504" s="2" t="s">
        <v>411</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25">
      <c r="A505" s="52" t="s">
        <v>450</v>
      </c>
      <c r="B505" s="2" t="s">
        <v>412</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25">
      <c r="A506" s="52" t="s">
        <v>450</v>
      </c>
      <c r="B506" s="2" t="s">
        <v>428</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25">
      <c r="A507" s="52" t="s">
        <v>450</v>
      </c>
      <c r="B507" s="2" t="s">
        <v>413</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25">
      <c r="A508" s="52" t="s">
        <v>450</v>
      </c>
      <c r="B508" s="2" t="s">
        <v>414</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25">
      <c r="A509" s="52" t="s">
        <v>450</v>
      </c>
      <c r="B509" s="2" t="s">
        <v>300</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25">
      <c r="A510" s="52" t="s">
        <v>450</v>
      </c>
      <c r="B510" s="2" t="s">
        <v>415</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25">
      <c r="A511" s="52" t="s">
        <v>450</v>
      </c>
      <c r="B511" s="2" t="s">
        <v>416</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25">
      <c r="A512" s="52" t="s">
        <v>450</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25">
      <c r="A513" s="52" t="s">
        <v>450</v>
      </c>
      <c r="B513" s="2" t="s">
        <v>417</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25">
      <c r="A514" s="52" t="s">
        <v>450</v>
      </c>
      <c r="B514" s="2" t="s">
        <v>305</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25">
      <c r="A515" s="52" t="s">
        <v>450</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25">
      <c r="A516" s="52" t="s">
        <v>450</v>
      </c>
      <c r="B516" s="2" t="s">
        <v>418</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25">
      <c r="A517" s="52" t="s">
        <v>450</v>
      </c>
      <c r="B517" s="2" t="s">
        <v>419</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25">
      <c r="A518" s="52" t="s">
        <v>450</v>
      </c>
      <c r="B518" s="2" t="s">
        <v>421</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25">
      <c r="A519" s="52" t="s">
        <v>450</v>
      </c>
      <c r="B519" s="2" t="s">
        <v>422</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25">
      <c r="A520" s="52" t="s">
        <v>450</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25">
      <c r="A521" s="52" t="s">
        <v>450</v>
      </c>
      <c r="B521" s="2" t="s">
        <v>423</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2" customFormat="1" x14ac:dyDescent="0.25">
      <c r="A522" s="178"/>
      <c r="B522" s="188"/>
      <c r="C522" s="178"/>
      <c r="D522" s="181">
        <f t="shared" ref="D522:L522" si="181">SUM(D208:D521)</f>
        <v>21779298</v>
      </c>
      <c r="E522" s="181">
        <f t="shared" si="181"/>
        <v>22677552</v>
      </c>
      <c r="F522" s="181">
        <f t="shared" si="181"/>
        <v>56550138</v>
      </c>
      <c r="G522" s="181">
        <f t="shared" si="181"/>
        <v>27982818</v>
      </c>
      <c r="H522" s="181">
        <f t="shared" si="181"/>
        <v>28567320</v>
      </c>
      <c r="I522" s="181">
        <f t="shared" si="181"/>
        <v>21779298</v>
      </c>
      <c r="J522" s="181">
        <f t="shared" si="181"/>
        <v>22677552</v>
      </c>
      <c r="K522" s="181">
        <f t="shared" si="181"/>
        <v>6203520</v>
      </c>
      <c r="L522" s="181">
        <f t="shared" si="181"/>
        <v>5889768</v>
      </c>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c r="FU522" s="181"/>
      <c r="FV522" s="181"/>
      <c r="FW522" s="181"/>
      <c r="FX522" s="181"/>
      <c r="FY522" s="181"/>
      <c r="FZ522" s="181"/>
      <c r="GA522" s="181"/>
      <c r="GB522" s="181"/>
      <c r="GC522" s="181"/>
      <c r="GD522" s="181"/>
      <c r="GE522" s="181"/>
      <c r="GF522" s="181"/>
      <c r="GG522" s="181"/>
      <c r="GH522" s="181"/>
      <c r="GI522" s="181"/>
      <c r="GJ522" s="181"/>
      <c r="GK522" s="181"/>
      <c r="GL522" s="180"/>
    </row>
    <row r="523" spans="1:194" s="2" customFormat="1" ht="15" x14ac:dyDescent="0.25">
      <c r="A523" s="52" t="s">
        <v>447</v>
      </c>
      <c r="B523" s="2" t="s">
        <v>351</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26">
        <v>375</v>
      </c>
      <c r="N523" s="426">
        <v>392</v>
      </c>
      <c r="O523" s="426">
        <v>399</v>
      </c>
      <c r="P523" s="426">
        <v>337</v>
      </c>
      <c r="Q523" s="426">
        <v>373</v>
      </c>
      <c r="R523" s="426">
        <v>388</v>
      </c>
      <c r="S523" s="426">
        <v>395</v>
      </c>
      <c r="T523" s="426">
        <v>406</v>
      </c>
      <c r="U523" s="426">
        <v>390</v>
      </c>
      <c r="V523" s="426">
        <v>440</v>
      </c>
      <c r="W523" s="426">
        <v>432</v>
      </c>
      <c r="X523" s="426">
        <v>444</v>
      </c>
      <c r="Y523" s="426">
        <v>403</v>
      </c>
      <c r="Z523" s="426">
        <v>352</v>
      </c>
      <c r="AA523" s="426">
        <v>380</v>
      </c>
      <c r="AB523" s="426">
        <v>376</v>
      </c>
      <c r="AC523" s="426">
        <v>356</v>
      </c>
      <c r="AD523" s="426">
        <v>355</v>
      </c>
      <c r="AE523" s="426">
        <v>303</v>
      </c>
      <c r="AF523" s="426">
        <v>350</v>
      </c>
      <c r="AG523" s="426">
        <v>418</v>
      </c>
      <c r="AH523" s="426">
        <v>410</v>
      </c>
      <c r="AI523" s="426">
        <v>390</v>
      </c>
      <c r="AJ523" s="426">
        <v>405</v>
      </c>
      <c r="AK523" s="426">
        <v>398</v>
      </c>
      <c r="AL523" s="426">
        <v>426</v>
      </c>
      <c r="AM523" s="426">
        <v>444</v>
      </c>
      <c r="AN523" s="426">
        <v>508</v>
      </c>
      <c r="AO523" s="426">
        <v>451</v>
      </c>
      <c r="AP523" s="426">
        <v>511</v>
      </c>
      <c r="AQ523" s="426">
        <v>475</v>
      </c>
      <c r="AR523" s="426">
        <v>547</v>
      </c>
      <c r="AS523" s="426">
        <v>426</v>
      </c>
      <c r="AT523" s="426">
        <v>441</v>
      </c>
      <c r="AU523" s="426">
        <v>456</v>
      </c>
      <c r="AV523" s="426">
        <v>464</v>
      </c>
      <c r="AW523" s="426">
        <v>405</v>
      </c>
      <c r="AX523" s="426">
        <v>408</v>
      </c>
      <c r="AY523" s="426">
        <v>407</v>
      </c>
      <c r="AZ523" s="426">
        <v>393</v>
      </c>
      <c r="BA523" s="426">
        <v>448</v>
      </c>
      <c r="BB523" s="426">
        <v>392</v>
      </c>
      <c r="BC523" s="426">
        <v>377</v>
      </c>
      <c r="BD523" s="426">
        <v>348</v>
      </c>
      <c r="BE523" s="426">
        <v>341</v>
      </c>
      <c r="BF523" s="426">
        <v>403</v>
      </c>
      <c r="BG523" s="426">
        <v>408</v>
      </c>
      <c r="BH523" s="426">
        <v>437</v>
      </c>
      <c r="BI523" s="426">
        <v>477</v>
      </c>
      <c r="BJ523" s="426">
        <v>482</v>
      </c>
      <c r="BK523" s="426">
        <v>514</v>
      </c>
      <c r="BL523" s="426">
        <v>530</v>
      </c>
      <c r="BM523" s="426">
        <v>517</v>
      </c>
      <c r="BN523" s="426">
        <v>529</v>
      </c>
      <c r="BO523" s="426">
        <v>520</v>
      </c>
      <c r="BP523" s="426">
        <v>527</v>
      </c>
      <c r="BQ523" s="426">
        <v>533</v>
      </c>
      <c r="BR523" s="426">
        <v>523</v>
      </c>
      <c r="BS523" s="426">
        <v>515</v>
      </c>
      <c r="BT523" s="426">
        <v>437</v>
      </c>
      <c r="BU523" s="426">
        <v>441</v>
      </c>
      <c r="BV523" s="426">
        <v>456</v>
      </c>
      <c r="BW523" s="426">
        <v>398</v>
      </c>
      <c r="BX523" s="426">
        <v>466</v>
      </c>
      <c r="BY523" s="426">
        <v>405</v>
      </c>
      <c r="BZ523" s="426">
        <v>371</v>
      </c>
      <c r="CA523" s="426">
        <v>399</v>
      </c>
      <c r="CB523" s="426">
        <v>387</v>
      </c>
      <c r="CC523" s="426">
        <v>377</v>
      </c>
      <c r="CD523" s="426">
        <v>380</v>
      </c>
      <c r="CE523" s="426">
        <v>390</v>
      </c>
      <c r="CF523" s="426">
        <v>411</v>
      </c>
      <c r="CG523" s="426">
        <v>386</v>
      </c>
      <c r="CH523" s="426">
        <v>451</v>
      </c>
      <c r="CI523" s="426">
        <v>324</v>
      </c>
      <c r="CJ523" s="426">
        <v>321</v>
      </c>
      <c r="CK523" s="426">
        <v>293</v>
      </c>
      <c r="CL523" s="426">
        <v>284</v>
      </c>
      <c r="CM523" s="426">
        <v>244</v>
      </c>
      <c r="CN523" s="426">
        <v>202</v>
      </c>
      <c r="CO523" s="426">
        <v>198</v>
      </c>
      <c r="CP523" s="426">
        <v>207</v>
      </c>
      <c r="CQ523" s="426">
        <v>180</v>
      </c>
      <c r="CR523" s="426">
        <v>146</v>
      </c>
      <c r="CS523" s="426">
        <v>150</v>
      </c>
      <c r="CT523" s="426">
        <v>125</v>
      </c>
      <c r="CU523" s="426">
        <v>75</v>
      </c>
      <c r="CV523" s="426">
        <v>101</v>
      </c>
      <c r="CW523" s="426">
        <v>77</v>
      </c>
      <c r="CX523" s="426">
        <v>50</v>
      </c>
      <c r="CY523" s="426">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 x14ac:dyDescent="0.25">
      <c r="A524" s="52" t="s">
        <v>448</v>
      </c>
      <c r="B524" s="2" t="s">
        <v>346</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26">
        <v>706</v>
      </c>
      <c r="N524" s="426">
        <v>755</v>
      </c>
      <c r="O524" s="426">
        <v>813</v>
      </c>
      <c r="P524" s="426">
        <v>831</v>
      </c>
      <c r="Q524" s="426">
        <v>818</v>
      </c>
      <c r="R524" s="426">
        <v>848</v>
      </c>
      <c r="S524" s="426">
        <v>897</v>
      </c>
      <c r="T524" s="426">
        <v>878</v>
      </c>
      <c r="U524" s="426">
        <v>904</v>
      </c>
      <c r="V524" s="426">
        <v>977</v>
      </c>
      <c r="W524" s="426">
        <v>844</v>
      </c>
      <c r="X524" s="426">
        <v>896</v>
      </c>
      <c r="Y524" s="426">
        <v>860</v>
      </c>
      <c r="Z524" s="426">
        <v>855</v>
      </c>
      <c r="AA524" s="426">
        <v>861</v>
      </c>
      <c r="AB524" s="426">
        <v>863</v>
      </c>
      <c r="AC524" s="426">
        <v>782</v>
      </c>
      <c r="AD524" s="426">
        <v>801</v>
      </c>
      <c r="AE524" s="426">
        <v>805</v>
      </c>
      <c r="AF524" s="426">
        <v>781</v>
      </c>
      <c r="AG524" s="426">
        <v>805</v>
      </c>
      <c r="AH524" s="426">
        <v>809</v>
      </c>
      <c r="AI524" s="426">
        <v>867</v>
      </c>
      <c r="AJ524" s="426">
        <v>966</v>
      </c>
      <c r="AK524" s="426">
        <v>977</v>
      </c>
      <c r="AL524" s="426">
        <v>878</v>
      </c>
      <c r="AM524" s="426">
        <v>986</v>
      </c>
      <c r="AN524" s="426">
        <v>873</v>
      </c>
      <c r="AO524" s="426">
        <v>962</v>
      </c>
      <c r="AP524" s="426">
        <v>998</v>
      </c>
      <c r="AQ524" s="426">
        <v>866</v>
      </c>
      <c r="AR524" s="426">
        <v>978</v>
      </c>
      <c r="AS524" s="426">
        <v>1002</v>
      </c>
      <c r="AT524" s="426">
        <v>936</v>
      </c>
      <c r="AU524" s="426">
        <v>930</v>
      </c>
      <c r="AV524" s="426">
        <v>989</v>
      </c>
      <c r="AW524" s="426">
        <v>938</v>
      </c>
      <c r="AX524" s="426">
        <v>922</v>
      </c>
      <c r="AY524" s="426">
        <v>925</v>
      </c>
      <c r="AZ524" s="426">
        <v>964</v>
      </c>
      <c r="BA524" s="426">
        <v>1069</v>
      </c>
      <c r="BB524" s="426">
        <v>970</v>
      </c>
      <c r="BC524" s="426">
        <v>789</v>
      </c>
      <c r="BD524" s="426">
        <v>801</v>
      </c>
      <c r="BE524" s="426">
        <v>838</v>
      </c>
      <c r="BF524" s="426">
        <v>848</v>
      </c>
      <c r="BG524" s="426">
        <v>925</v>
      </c>
      <c r="BH524" s="426">
        <v>944</v>
      </c>
      <c r="BI524" s="426">
        <v>1055</v>
      </c>
      <c r="BJ524" s="426">
        <v>1063</v>
      </c>
      <c r="BK524" s="426">
        <v>994</v>
      </c>
      <c r="BL524" s="426">
        <v>971</v>
      </c>
      <c r="BM524" s="426">
        <v>1079</v>
      </c>
      <c r="BN524" s="426">
        <v>1039</v>
      </c>
      <c r="BO524" s="426">
        <v>1083</v>
      </c>
      <c r="BP524" s="426">
        <v>1054</v>
      </c>
      <c r="BQ524" s="426">
        <v>1072</v>
      </c>
      <c r="BR524" s="426">
        <v>966</v>
      </c>
      <c r="BS524" s="426">
        <v>1009</v>
      </c>
      <c r="BT524" s="426">
        <v>1016</v>
      </c>
      <c r="BU524" s="426">
        <v>943</v>
      </c>
      <c r="BV524" s="426">
        <v>908</v>
      </c>
      <c r="BW524" s="426">
        <v>903</v>
      </c>
      <c r="BX524" s="426">
        <v>843</v>
      </c>
      <c r="BY524" s="426">
        <v>825</v>
      </c>
      <c r="BZ524" s="426">
        <v>782</v>
      </c>
      <c r="CA524" s="426">
        <v>799</v>
      </c>
      <c r="CB524" s="426">
        <v>804</v>
      </c>
      <c r="CC524" s="426">
        <v>749</v>
      </c>
      <c r="CD524" s="426">
        <v>804</v>
      </c>
      <c r="CE524" s="426">
        <v>735</v>
      </c>
      <c r="CF524" s="426">
        <v>803</v>
      </c>
      <c r="CG524" s="426">
        <v>816</v>
      </c>
      <c r="CH524" s="426">
        <v>836</v>
      </c>
      <c r="CI524" s="426">
        <v>680</v>
      </c>
      <c r="CJ524" s="426">
        <v>631</v>
      </c>
      <c r="CK524" s="426">
        <v>620</v>
      </c>
      <c r="CL524" s="426">
        <v>565</v>
      </c>
      <c r="CM524" s="426">
        <v>510</v>
      </c>
      <c r="CN524" s="426">
        <v>499</v>
      </c>
      <c r="CO524" s="426">
        <v>429</v>
      </c>
      <c r="CP524" s="426">
        <v>409</v>
      </c>
      <c r="CQ524" s="426">
        <v>359</v>
      </c>
      <c r="CR524" s="426">
        <v>302</v>
      </c>
      <c r="CS524" s="426">
        <v>272</v>
      </c>
      <c r="CT524" s="426">
        <v>267</v>
      </c>
      <c r="CU524" s="426">
        <v>206</v>
      </c>
      <c r="CV524" s="426">
        <v>180</v>
      </c>
      <c r="CW524" s="426">
        <v>185</v>
      </c>
      <c r="CX524" s="426">
        <v>139</v>
      </c>
      <c r="CY524" s="426">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 x14ac:dyDescent="0.25">
      <c r="A525" s="52" t="s">
        <v>448</v>
      </c>
      <c r="B525" s="2" t="s">
        <v>350</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26">
        <v>880</v>
      </c>
      <c r="N525" s="426">
        <v>929</v>
      </c>
      <c r="O525" s="426">
        <v>993</v>
      </c>
      <c r="P525" s="426">
        <v>1002</v>
      </c>
      <c r="Q525" s="426">
        <v>1045</v>
      </c>
      <c r="R525" s="426">
        <v>1086</v>
      </c>
      <c r="S525" s="426">
        <v>1066</v>
      </c>
      <c r="T525" s="426">
        <v>1029</v>
      </c>
      <c r="U525" s="426">
        <v>1080</v>
      </c>
      <c r="V525" s="426">
        <v>1100</v>
      </c>
      <c r="W525" s="426">
        <v>1237</v>
      </c>
      <c r="X525" s="426">
        <v>1118</v>
      </c>
      <c r="Y525" s="426">
        <v>1227</v>
      </c>
      <c r="Z525" s="426">
        <v>1090</v>
      </c>
      <c r="AA525" s="426">
        <v>1088</v>
      </c>
      <c r="AB525" s="426">
        <v>1050</v>
      </c>
      <c r="AC525" s="426">
        <v>1108</v>
      </c>
      <c r="AD525" s="426">
        <v>1098</v>
      </c>
      <c r="AE525" s="426">
        <v>1043</v>
      </c>
      <c r="AF525" s="426">
        <v>1003</v>
      </c>
      <c r="AG525" s="426">
        <v>991</v>
      </c>
      <c r="AH525" s="426">
        <v>1005</v>
      </c>
      <c r="AI525" s="426">
        <v>1034</v>
      </c>
      <c r="AJ525" s="426">
        <v>1220</v>
      </c>
      <c r="AK525" s="426">
        <v>1073</v>
      </c>
      <c r="AL525" s="426">
        <v>1131</v>
      </c>
      <c r="AM525" s="426">
        <v>1115</v>
      </c>
      <c r="AN525" s="426">
        <v>1170</v>
      </c>
      <c r="AO525" s="426">
        <v>1121</v>
      </c>
      <c r="AP525" s="426">
        <v>1245</v>
      </c>
      <c r="AQ525" s="426">
        <v>1150</v>
      </c>
      <c r="AR525" s="426">
        <v>1137</v>
      </c>
      <c r="AS525" s="426">
        <v>1164</v>
      </c>
      <c r="AT525" s="426">
        <v>1091</v>
      </c>
      <c r="AU525" s="426">
        <v>1179</v>
      </c>
      <c r="AV525" s="426">
        <v>1125</v>
      </c>
      <c r="AW525" s="426">
        <v>1088</v>
      </c>
      <c r="AX525" s="426">
        <v>1118</v>
      </c>
      <c r="AY525" s="426">
        <v>1086</v>
      </c>
      <c r="AZ525" s="426">
        <v>1169</v>
      </c>
      <c r="BA525" s="426">
        <v>1082</v>
      </c>
      <c r="BB525" s="426">
        <v>1087</v>
      </c>
      <c r="BC525" s="426">
        <v>1040</v>
      </c>
      <c r="BD525" s="426">
        <v>1019</v>
      </c>
      <c r="BE525" s="426">
        <v>1025</v>
      </c>
      <c r="BF525" s="426">
        <v>1021</v>
      </c>
      <c r="BG525" s="426">
        <v>1030</v>
      </c>
      <c r="BH525" s="426">
        <v>1160</v>
      </c>
      <c r="BI525" s="426">
        <v>1149</v>
      </c>
      <c r="BJ525" s="426">
        <v>1223</v>
      </c>
      <c r="BK525" s="426">
        <v>1204</v>
      </c>
      <c r="BL525" s="426">
        <v>1340</v>
      </c>
      <c r="BM525" s="426">
        <v>1332</v>
      </c>
      <c r="BN525" s="426">
        <v>1281</v>
      </c>
      <c r="BO525" s="426">
        <v>1313</v>
      </c>
      <c r="BP525" s="426">
        <v>1288</v>
      </c>
      <c r="BQ525" s="426">
        <v>1307</v>
      </c>
      <c r="BR525" s="426">
        <v>1278</v>
      </c>
      <c r="BS525" s="426">
        <v>1191</v>
      </c>
      <c r="BT525" s="426">
        <v>1183</v>
      </c>
      <c r="BU525" s="426">
        <v>1154</v>
      </c>
      <c r="BV525" s="426">
        <v>1082</v>
      </c>
      <c r="BW525" s="426">
        <v>1118</v>
      </c>
      <c r="BX525" s="426">
        <v>1061</v>
      </c>
      <c r="BY525" s="426">
        <v>994</v>
      </c>
      <c r="BZ525" s="426">
        <v>894</v>
      </c>
      <c r="CA525" s="426">
        <v>1011</v>
      </c>
      <c r="CB525" s="426">
        <v>975</v>
      </c>
      <c r="CC525" s="426">
        <v>947</v>
      </c>
      <c r="CD525" s="426">
        <v>947</v>
      </c>
      <c r="CE525" s="426">
        <v>1022</v>
      </c>
      <c r="CF525" s="426">
        <v>933</v>
      </c>
      <c r="CG525" s="426">
        <v>1066</v>
      </c>
      <c r="CH525" s="426">
        <v>1025</v>
      </c>
      <c r="CI525" s="426">
        <v>806</v>
      </c>
      <c r="CJ525" s="426">
        <v>743</v>
      </c>
      <c r="CK525" s="426">
        <v>712</v>
      </c>
      <c r="CL525" s="426">
        <v>644</v>
      </c>
      <c r="CM525" s="426">
        <v>653</v>
      </c>
      <c r="CN525" s="426">
        <v>496</v>
      </c>
      <c r="CO525" s="426">
        <v>504</v>
      </c>
      <c r="CP525" s="426">
        <v>505</v>
      </c>
      <c r="CQ525" s="426">
        <v>428</v>
      </c>
      <c r="CR525" s="426">
        <v>363</v>
      </c>
      <c r="CS525" s="426">
        <v>332</v>
      </c>
      <c r="CT525" s="426">
        <v>269</v>
      </c>
      <c r="CU525" s="426">
        <v>253</v>
      </c>
      <c r="CV525" s="426">
        <v>186</v>
      </c>
      <c r="CW525" s="426">
        <v>158</v>
      </c>
      <c r="CX525" s="426">
        <v>161</v>
      </c>
      <c r="CY525" s="426">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 x14ac:dyDescent="0.25">
      <c r="A526" s="52" t="s">
        <v>448</v>
      </c>
      <c r="B526" s="2" t="s">
        <v>347</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26">
        <v>1892</v>
      </c>
      <c r="N526" s="426">
        <v>2008</v>
      </c>
      <c r="O526" s="426">
        <v>2091</v>
      </c>
      <c r="P526" s="426">
        <v>2099</v>
      </c>
      <c r="Q526" s="426">
        <v>2302</v>
      </c>
      <c r="R526" s="426">
        <v>2206</v>
      </c>
      <c r="S526" s="426">
        <v>2313</v>
      </c>
      <c r="T526" s="426">
        <v>2298</v>
      </c>
      <c r="U526" s="426">
        <v>2412</v>
      </c>
      <c r="V526" s="426">
        <v>2462</v>
      </c>
      <c r="W526" s="426">
        <v>2211</v>
      </c>
      <c r="X526" s="426">
        <v>2158</v>
      </c>
      <c r="Y526" s="426">
        <v>2204</v>
      </c>
      <c r="Z526" s="426">
        <v>2151</v>
      </c>
      <c r="AA526" s="426">
        <v>2075</v>
      </c>
      <c r="AB526" s="426">
        <v>1858</v>
      </c>
      <c r="AC526" s="426">
        <v>1865</v>
      </c>
      <c r="AD526" s="426">
        <v>1958</v>
      </c>
      <c r="AE526" s="426">
        <v>2257</v>
      </c>
      <c r="AF526" s="426">
        <v>3711</v>
      </c>
      <c r="AG526" s="426">
        <v>4341</v>
      </c>
      <c r="AH526" s="426">
        <v>4235</v>
      </c>
      <c r="AI526" s="426">
        <v>4171</v>
      </c>
      <c r="AJ526" s="426">
        <v>4112</v>
      </c>
      <c r="AK526" s="426">
        <v>3894</v>
      </c>
      <c r="AL526" s="426">
        <v>3806</v>
      </c>
      <c r="AM526" s="426">
        <v>4048</v>
      </c>
      <c r="AN526" s="426">
        <v>3736</v>
      </c>
      <c r="AO526" s="426">
        <v>3538</v>
      </c>
      <c r="AP526" s="426">
        <v>3485</v>
      </c>
      <c r="AQ526" s="426">
        <v>3145</v>
      </c>
      <c r="AR526" s="426">
        <v>3216</v>
      </c>
      <c r="AS526" s="426">
        <v>2929</v>
      </c>
      <c r="AT526" s="426">
        <v>2553</v>
      </c>
      <c r="AU526" s="426">
        <v>2717</v>
      </c>
      <c r="AV526" s="426">
        <v>2587</v>
      </c>
      <c r="AW526" s="426">
        <v>2511</v>
      </c>
      <c r="AX526" s="426">
        <v>2644</v>
      </c>
      <c r="AY526" s="426">
        <v>2335</v>
      </c>
      <c r="AZ526" s="426">
        <v>2321</v>
      </c>
      <c r="BA526" s="426">
        <v>2345</v>
      </c>
      <c r="BB526" s="426">
        <v>2251</v>
      </c>
      <c r="BC526" s="426">
        <v>1881</v>
      </c>
      <c r="BD526" s="426">
        <v>2008</v>
      </c>
      <c r="BE526" s="426">
        <v>1971</v>
      </c>
      <c r="BF526" s="426">
        <v>2038</v>
      </c>
      <c r="BG526" s="426">
        <v>2090</v>
      </c>
      <c r="BH526" s="426">
        <v>1986</v>
      </c>
      <c r="BI526" s="426">
        <v>2031</v>
      </c>
      <c r="BJ526" s="426">
        <v>2099</v>
      </c>
      <c r="BK526" s="426">
        <v>2072</v>
      </c>
      <c r="BL526" s="426">
        <v>2107</v>
      </c>
      <c r="BM526" s="426">
        <v>1896</v>
      </c>
      <c r="BN526" s="426">
        <v>2077</v>
      </c>
      <c r="BO526" s="426">
        <v>1989</v>
      </c>
      <c r="BP526" s="426">
        <v>2031</v>
      </c>
      <c r="BQ526" s="426">
        <v>2013</v>
      </c>
      <c r="BR526" s="426">
        <v>1942</v>
      </c>
      <c r="BS526" s="426">
        <v>2000</v>
      </c>
      <c r="BT526" s="426">
        <v>1906</v>
      </c>
      <c r="BU526" s="426">
        <v>1757</v>
      </c>
      <c r="BV526" s="426">
        <v>1830</v>
      </c>
      <c r="BW526" s="426">
        <v>1717</v>
      </c>
      <c r="BX526" s="426">
        <v>1725</v>
      </c>
      <c r="BY526" s="426">
        <v>1541</v>
      </c>
      <c r="BZ526" s="426">
        <v>1572</v>
      </c>
      <c r="CA526" s="426">
        <v>1515</v>
      </c>
      <c r="CB526" s="426">
        <v>1429</v>
      </c>
      <c r="CC526" s="426">
        <v>1391</v>
      </c>
      <c r="CD526" s="426">
        <v>1345</v>
      </c>
      <c r="CE526" s="426">
        <v>1439</v>
      </c>
      <c r="CF526" s="426">
        <v>1346</v>
      </c>
      <c r="CG526" s="426">
        <v>1313</v>
      </c>
      <c r="CH526" s="426">
        <v>1438</v>
      </c>
      <c r="CI526" s="426">
        <v>1037</v>
      </c>
      <c r="CJ526" s="426">
        <v>1012</v>
      </c>
      <c r="CK526" s="426">
        <v>950</v>
      </c>
      <c r="CL526" s="426">
        <v>839</v>
      </c>
      <c r="CM526" s="426">
        <v>755</v>
      </c>
      <c r="CN526" s="426">
        <v>679</v>
      </c>
      <c r="CO526" s="426">
        <v>672</v>
      </c>
      <c r="CP526" s="426">
        <v>631</v>
      </c>
      <c r="CQ526" s="426">
        <v>630</v>
      </c>
      <c r="CR526" s="426">
        <v>503</v>
      </c>
      <c r="CS526" s="426">
        <v>511</v>
      </c>
      <c r="CT526" s="426">
        <v>461</v>
      </c>
      <c r="CU526" s="426">
        <v>357</v>
      </c>
      <c r="CV526" s="426">
        <v>331</v>
      </c>
      <c r="CW526" s="426">
        <v>255</v>
      </c>
      <c r="CX526" s="426">
        <v>248</v>
      </c>
      <c r="CY526" s="426">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 x14ac:dyDescent="0.25">
      <c r="A527" s="52" t="s">
        <v>448</v>
      </c>
      <c r="B527" s="2" t="s">
        <v>343</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26">
        <v>810</v>
      </c>
      <c r="N527" s="426">
        <v>900</v>
      </c>
      <c r="O527" s="426">
        <v>937</v>
      </c>
      <c r="P527" s="426">
        <v>981</v>
      </c>
      <c r="Q527" s="426">
        <v>1044</v>
      </c>
      <c r="R527" s="426">
        <v>1064</v>
      </c>
      <c r="S527" s="426">
        <v>1058</v>
      </c>
      <c r="T527" s="426">
        <v>1034</v>
      </c>
      <c r="U527" s="426">
        <v>1137</v>
      </c>
      <c r="V527" s="426">
        <v>1188</v>
      </c>
      <c r="W527" s="426">
        <v>1139</v>
      </c>
      <c r="X527" s="426">
        <v>1070</v>
      </c>
      <c r="Y527" s="426">
        <v>1176</v>
      </c>
      <c r="Z527" s="426">
        <v>1176</v>
      </c>
      <c r="AA527" s="426">
        <v>1145</v>
      </c>
      <c r="AB527" s="426">
        <v>1061</v>
      </c>
      <c r="AC527" s="426">
        <v>1059</v>
      </c>
      <c r="AD527" s="426">
        <v>1063</v>
      </c>
      <c r="AE527" s="426">
        <v>1064</v>
      </c>
      <c r="AF527" s="426">
        <v>975</v>
      </c>
      <c r="AG527" s="426">
        <v>960</v>
      </c>
      <c r="AH527" s="426">
        <v>978</v>
      </c>
      <c r="AI527" s="426">
        <v>994</v>
      </c>
      <c r="AJ527" s="426">
        <v>1045</v>
      </c>
      <c r="AK527" s="426">
        <v>1098</v>
      </c>
      <c r="AL527" s="426">
        <v>990</v>
      </c>
      <c r="AM527" s="426">
        <v>1053</v>
      </c>
      <c r="AN527" s="426">
        <v>974</v>
      </c>
      <c r="AO527" s="426">
        <v>1043</v>
      </c>
      <c r="AP527" s="426">
        <v>1013</v>
      </c>
      <c r="AQ527" s="426">
        <v>998</v>
      </c>
      <c r="AR527" s="426">
        <v>1087</v>
      </c>
      <c r="AS527" s="426">
        <v>1043</v>
      </c>
      <c r="AT527" s="426">
        <v>1063</v>
      </c>
      <c r="AU527" s="426">
        <v>1019</v>
      </c>
      <c r="AV527" s="426">
        <v>1015</v>
      </c>
      <c r="AW527" s="426">
        <v>937</v>
      </c>
      <c r="AX527" s="426">
        <v>943</v>
      </c>
      <c r="AY527" s="426">
        <v>1002</v>
      </c>
      <c r="AZ527" s="426">
        <v>962</v>
      </c>
      <c r="BA527" s="426">
        <v>946</v>
      </c>
      <c r="BB527" s="426">
        <v>944</v>
      </c>
      <c r="BC527" s="426">
        <v>887</v>
      </c>
      <c r="BD527" s="426">
        <v>885</v>
      </c>
      <c r="BE527" s="426">
        <v>1027</v>
      </c>
      <c r="BF527" s="426">
        <v>990</v>
      </c>
      <c r="BG527" s="426">
        <v>1005</v>
      </c>
      <c r="BH527" s="426">
        <v>1111</v>
      </c>
      <c r="BI527" s="426">
        <v>1169</v>
      </c>
      <c r="BJ527" s="426">
        <v>1303</v>
      </c>
      <c r="BK527" s="426">
        <v>1194</v>
      </c>
      <c r="BL527" s="426">
        <v>1221</v>
      </c>
      <c r="BM527" s="426">
        <v>1233</v>
      </c>
      <c r="BN527" s="426">
        <v>1377</v>
      </c>
      <c r="BO527" s="426">
        <v>1366</v>
      </c>
      <c r="BP527" s="426">
        <v>1427</v>
      </c>
      <c r="BQ527" s="426">
        <v>1498</v>
      </c>
      <c r="BR527" s="426">
        <v>1383</v>
      </c>
      <c r="BS527" s="426">
        <v>1435</v>
      </c>
      <c r="BT527" s="426">
        <v>1330</v>
      </c>
      <c r="BU527" s="426">
        <v>1297</v>
      </c>
      <c r="BV527" s="426">
        <v>1239</v>
      </c>
      <c r="BW527" s="426">
        <v>1307</v>
      </c>
      <c r="BX527" s="426">
        <v>1246</v>
      </c>
      <c r="BY527" s="426">
        <v>1166</v>
      </c>
      <c r="BZ527" s="426">
        <v>1299</v>
      </c>
      <c r="CA527" s="426">
        <v>1250</v>
      </c>
      <c r="CB527" s="426">
        <v>1230</v>
      </c>
      <c r="CC527" s="426">
        <v>1222</v>
      </c>
      <c r="CD527" s="426">
        <v>1130</v>
      </c>
      <c r="CE527" s="426">
        <v>1210</v>
      </c>
      <c r="CF527" s="426">
        <v>1224</v>
      </c>
      <c r="CG527" s="426">
        <v>1274</v>
      </c>
      <c r="CH527" s="426">
        <v>1298</v>
      </c>
      <c r="CI527" s="426">
        <v>1070</v>
      </c>
      <c r="CJ527" s="426">
        <v>994</v>
      </c>
      <c r="CK527" s="426">
        <v>938</v>
      </c>
      <c r="CL527" s="426">
        <v>885</v>
      </c>
      <c r="CM527" s="426">
        <v>858</v>
      </c>
      <c r="CN527" s="426">
        <v>694</v>
      </c>
      <c r="CO527" s="426">
        <v>652</v>
      </c>
      <c r="CP527" s="426">
        <v>630</v>
      </c>
      <c r="CQ527" s="426">
        <v>528</v>
      </c>
      <c r="CR527" s="426">
        <v>539</v>
      </c>
      <c r="CS527" s="426">
        <v>456</v>
      </c>
      <c r="CT527" s="426">
        <v>425</v>
      </c>
      <c r="CU527" s="426">
        <v>353</v>
      </c>
      <c r="CV527" s="426">
        <v>308</v>
      </c>
      <c r="CW527" s="426">
        <v>255</v>
      </c>
      <c r="CX527" s="426">
        <v>192</v>
      </c>
      <c r="CY527" s="426">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 x14ac:dyDescent="0.25">
      <c r="A528" s="52" t="s">
        <v>448</v>
      </c>
      <c r="B528" s="2" t="s">
        <v>341</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26">
        <v>260</v>
      </c>
      <c r="N528" s="426">
        <v>280</v>
      </c>
      <c r="O528" s="426">
        <v>295</v>
      </c>
      <c r="P528" s="426">
        <v>340</v>
      </c>
      <c r="Q528" s="426">
        <v>329</v>
      </c>
      <c r="R528" s="426">
        <v>361</v>
      </c>
      <c r="S528" s="426">
        <v>307</v>
      </c>
      <c r="T528" s="426">
        <v>350</v>
      </c>
      <c r="U528" s="426">
        <v>369</v>
      </c>
      <c r="V528" s="426">
        <v>417</v>
      </c>
      <c r="W528" s="426">
        <v>365</v>
      </c>
      <c r="X528" s="426">
        <v>358</v>
      </c>
      <c r="Y528" s="426">
        <v>337</v>
      </c>
      <c r="Z528" s="426">
        <v>373</v>
      </c>
      <c r="AA528" s="426">
        <v>383</v>
      </c>
      <c r="AB528" s="426">
        <v>375</v>
      </c>
      <c r="AC528" s="426">
        <v>389</v>
      </c>
      <c r="AD528" s="426">
        <v>384</v>
      </c>
      <c r="AE528" s="426">
        <v>387</v>
      </c>
      <c r="AF528" s="426">
        <v>771</v>
      </c>
      <c r="AG528" s="426">
        <v>874</v>
      </c>
      <c r="AH528" s="426">
        <v>907</v>
      </c>
      <c r="AI528" s="426">
        <v>761</v>
      </c>
      <c r="AJ528" s="426">
        <v>624</v>
      </c>
      <c r="AK528" s="426">
        <v>594</v>
      </c>
      <c r="AL528" s="426">
        <v>543</v>
      </c>
      <c r="AM528" s="426">
        <v>636</v>
      </c>
      <c r="AN528" s="426">
        <v>682</v>
      </c>
      <c r="AO528" s="426">
        <v>587</v>
      </c>
      <c r="AP528" s="426">
        <v>469</v>
      </c>
      <c r="AQ528" s="426">
        <v>395</v>
      </c>
      <c r="AR528" s="426">
        <v>247</v>
      </c>
      <c r="AS528" s="426">
        <v>190</v>
      </c>
      <c r="AT528" s="426">
        <v>244</v>
      </c>
      <c r="AU528" s="426">
        <v>174</v>
      </c>
      <c r="AV528" s="426">
        <v>277</v>
      </c>
      <c r="AW528" s="426">
        <v>205</v>
      </c>
      <c r="AX528" s="426">
        <v>309</v>
      </c>
      <c r="AY528" s="426">
        <v>296</v>
      </c>
      <c r="AZ528" s="426">
        <v>292</v>
      </c>
      <c r="BA528" s="426">
        <v>292</v>
      </c>
      <c r="BB528" s="426">
        <v>315</v>
      </c>
      <c r="BC528" s="426">
        <v>272</v>
      </c>
      <c r="BD528" s="426">
        <v>343</v>
      </c>
      <c r="BE528" s="426">
        <v>326</v>
      </c>
      <c r="BF528" s="426">
        <v>323</v>
      </c>
      <c r="BG528" s="426">
        <v>319</v>
      </c>
      <c r="BH528" s="426">
        <v>321</v>
      </c>
      <c r="BI528" s="426">
        <v>396</v>
      </c>
      <c r="BJ528" s="426">
        <v>399</v>
      </c>
      <c r="BK528" s="426">
        <v>436</v>
      </c>
      <c r="BL528" s="426">
        <v>462</v>
      </c>
      <c r="BM528" s="426">
        <v>475</v>
      </c>
      <c r="BN528" s="426">
        <v>502</v>
      </c>
      <c r="BO528" s="426">
        <v>476</v>
      </c>
      <c r="BP528" s="426">
        <v>485</v>
      </c>
      <c r="BQ528" s="426">
        <v>531</v>
      </c>
      <c r="BR528" s="426">
        <v>518</v>
      </c>
      <c r="BS528" s="426">
        <v>488</v>
      </c>
      <c r="BT528" s="426">
        <v>470</v>
      </c>
      <c r="BU528" s="426">
        <v>513</v>
      </c>
      <c r="BV528" s="426">
        <v>511</v>
      </c>
      <c r="BW528" s="426">
        <v>509</v>
      </c>
      <c r="BX528" s="426">
        <v>503</v>
      </c>
      <c r="BY528" s="426">
        <v>506</v>
      </c>
      <c r="BZ528" s="426">
        <v>507</v>
      </c>
      <c r="CA528" s="426">
        <v>471</v>
      </c>
      <c r="CB528" s="426">
        <v>469</v>
      </c>
      <c r="CC528" s="426">
        <v>470</v>
      </c>
      <c r="CD528" s="426">
        <v>492</v>
      </c>
      <c r="CE528" s="426">
        <v>494</v>
      </c>
      <c r="CF528" s="426">
        <v>562</v>
      </c>
      <c r="CG528" s="426">
        <v>570</v>
      </c>
      <c r="CH528" s="426">
        <v>524</v>
      </c>
      <c r="CI528" s="426">
        <v>398</v>
      </c>
      <c r="CJ528" s="426">
        <v>418</v>
      </c>
      <c r="CK528" s="426">
        <v>406</v>
      </c>
      <c r="CL528" s="426">
        <v>376</v>
      </c>
      <c r="CM528" s="426">
        <v>321</v>
      </c>
      <c r="CN528" s="426">
        <v>233</v>
      </c>
      <c r="CO528" s="426">
        <v>296</v>
      </c>
      <c r="CP528" s="426">
        <v>231</v>
      </c>
      <c r="CQ528" s="426">
        <v>216</v>
      </c>
      <c r="CR528" s="426">
        <v>203</v>
      </c>
      <c r="CS528" s="426">
        <v>166</v>
      </c>
      <c r="CT528" s="426">
        <v>158</v>
      </c>
      <c r="CU528" s="426">
        <v>161</v>
      </c>
      <c r="CV528" s="426">
        <v>137</v>
      </c>
      <c r="CW528" s="426">
        <v>123</v>
      </c>
      <c r="CX528" s="426">
        <v>69</v>
      </c>
      <c r="CY528" s="426">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 x14ac:dyDescent="0.25">
      <c r="A529" s="52" t="s">
        <v>448</v>
      </c>
      <c r="B529" s="2" t="s">
        <v>337</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26">
        <v>514</v>
      </c>
      <c r="N529" s="426">
        <v>530</v>
      </c>
      <c r="O529" s="426">
        <v>561</v>
      </c>
      <c r="P529" s="426">
        <v>549</v>
      </c>
      <c r="Q529" s="426">
        <v>577</v>
      </c>
      <c r="R529" s="426">
        <v>626</v>
      </c>
      <c r="S529" s="426">
        <v>584</v>
      </c>
      <c r="T529" s="426">
        <v>646</v>
      </c>
      <c r="U529" s="426">
        <v>655</v>
      </c>
      <c r="V529" s="426">
        <v>644</v>
      </c>
      <c r="W529" s="426">
        <v>663</v>
      </c>
      <c r="X529" s="426">
        <v>608</v>
      </c>
      <c r="Y529" s="426">
        <v>632</v>
      </c>
      <c r="Z529" s="426">
        <v>633</v>
      </c>
      <c r="AA529" s="426">
        <v>670</v>
      </c>
      <c r="AB529" s="426">
        <v>640</v>
      </c>
      <c r="AC529" s="426">
        <v>646</v>
      </c>
      <c r="AD529" s="426">
        <v>558</v>
      </c>
      <c r="AE529" s="426">
        <v>588</v>
      </c>
      <c r="AF529" s="426">
        <v>548</v>
      </c>
      <c r="AG529" s="426">
        <v>588</v>
      </c>
      <c r="AH529" s="426">
        <v>559</v>
      </c>
      <c r="AI529" s="426">
        <v>575</v>
      </c>
      <c r="AJ529" s="426">
        <v>656</v>
      </c>
      <c r="AK529" s="426">
        <v>605</v>
      </c>
      <c r="AL529" s="426">
        <v>604</v>
      </c>
      <c r="AM529" s="426">
        <v>593</v>
      </c>
      <c r="AN529" s="426">
        <v>583</v>
      </c>
      <c r="AO529" s="426">
        <v>587</v>
      </c>
      <c r="AP529" s="426">
        <v>609</v>
      </c>
      <c r="AQ529" s="426">
        <v>613</v>
      </c>
      <c r="AR529" s="426">
        <v>618</v>
      </c>
      <c r="AS529" s="426">
        <v>638</v>
      </c>
      <c r="AT529" s="426">
        <v>599</v>
      </c>
      <c r="AU529" s="426">
        <v>536</v>
      </c>
      <c r="AV529" s="426">
        <v>551</v>
      </c>
      <c r="AW529" s="426">
        <v>566</v>
      </c>
      <c r="AX529" s="426">
        <v>583</v>
      </c>
      <c r="AY529" s="426">
        <v>564</v>
      </c>
      <c r="AZ529" s="426">
        <v>578</v>
      </c>
      <c r="BA529" s="426">
        <v>630</v>
      </c>
      <c r="BB529" s="426">
        <v>584</v>
      </c>
      <c r="BC529" s="426">
        <v>504</v>
      </c>
      <c r="BD529" s="426">
        <v>542</v>
      </c>
      <c r="BE529" s="426">
        <v>576</v>
      </c>
      <c r="BF529" s="426">
        <v>566</v>
      </c>
      <c r="BG529" s="426">
        <v>545</v>
      </c>
      <c r="BH529" s="426">
        <v>646</v>
      </c>
      <c r="BI529" s="426">
        <v>792</v>
      </c>
      <c r="BJ529" s="426">
        <v>770</v>
      </c>
      <c r="BK529" s="426">
        <v>749</v>
      </c>
      <c r="BL529" s="426">
        <v>824</v>
      </c>
      <c r="BM529" s="426">
        <v>760</v>
      </c>
      <c r="BN529" s="426">
        <v>806</v>
      </c>
      <c r="BO529" s="426">
        <v>882</v>
      </c>
      <c r="BP529" s="426">
        <v>883</v>
      </c>
      <c r="BQ529" s="426">
        <v>893</v>
      </c>
      <c r="BR529" s="426">
        <v>847</v>
      </c>
      <c r="BS529" s="426">
        <v>874</v>
      </c>
      <c r="BT529" s="426">
        <v>855</v>
      </c>
      <c r="BU529" s="426">
        <v>874</v>
      </c>
      <c r="BV529" s="426">
        <v>835</v>
      </c>
      <c r="BW529" s="426">
        <v>780</v>
      </c>
      <c r="BX529" s="426">
        <v>824</v>
      </c>
      <c r="BY529" s="426">
        <v>789</v>
      </c>
      <c r="BZ529" s="426">
        <v>739</v>
      </c>
      <c r="CA529" s="426">
        <v>813</v>
      </c>
      <c r="CB529" s="426">
        <v>775</v>
      </c>
      <c r="CC529" s="426">
        <v>744</v>
      </c>
      <c r="CD529" s="426">
        <v>780</v>
      </c>
      <c r="CE529" s="426">
        <v>768</v>
      </c>
      <c r="CF529" s="426">
        <v>888</v>
      </c>
      <c r="CG529" s="426">
        <v>950</v>
      </c>
      <c r="CH529" s="426">
        <v>922</v>
      </c>
      <c r="CI529" s="426">
        <v>726</v>
      </c>
      <c r="CJ529" s="426">
        <v>692</v>
      </c>
      <c r="CK529" s="426">
        <v>669</v>
      </c>
      <c r="CL529" s="426">
        <v>636</v>
      </c>
      <c r="CM529" s="426">
        <v>582</v>
      </c>
      <c r="CN529" s="426">
        <v>493</v>
      </c>
      <c r="CO529" s="426">
        <v>454</v>
      </c>
      <c r="CP529" s="426">
        <v>444</v>
      </c>
      <c r="CQ529" s="426">
        <v>390</v>
      </c>
      <c r="CR529" s="426">
        <v>364</v>
      </c>
      <c r="CS529" s="426">
        <v>354</v>
      </c>
      <c r="CT529" s="426">
        <v>301</v>
      </c>
      <c r="CU529" s="426">
        <v>299</v>
      </c>
      <c r="CV529" s="426">
        <v>272</v>
      </c>
      <c r="CW529" s="426">
        <v>190</v>
      </c>
      <c r="CX529" s="426">
        <v>172</v>
      </c>
      <c r="CY529" s="426">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 x14ac:dyDescent="0.25">
      <c r="A530" s="52" t="s">
        <v>448</v>
      </c>
      <c r="B530" s="2" t="s">
        <v>338</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26">
        <v>515</v>
      </c>
      <c r="N530" s="426">
        <v>482</v>
      </c>
      <c r="O530" s="426">
        <v>468</v>
      </c>
      <c r="P530" s="426">
        <v>544</v>
      </c>
      <c r="Q530" s="426">
        <v>517</v>
      </c>
      <c r="R530" s="426">
        <v>524</v>
      </c>
      <c r="S530" s="426">
        <v>552</v>
      </c>
      <c r="T530" s="426">
        <v>567</v>
      </c>
      <c r="U530" s="426">
        <v>557</v>
      </c>
      <c r="V530" s="426">
        <v>602</v>
      </c>
      <c r="W530" s="426">
        <v>629</v>
      </c>
      <c r="X530" s="426">
        <v>558</v>
      </c>
      <c r="Y530" s="426">
        <v>617</v>
      </c>
      <c r="Z530" s="426">
        <v>581</v>
      </c>
      <c r="AA530" s="426">
        <v>542</v>
      </c>
      <c r="AB530" s="426">
        <v>581</v>
      </c>
      <c r="AC530" s="426">
        <v>571</v>
      </c>
      <c r="AD530" s="426">
        <v>586</v>
      </c>
      <c r="AE530" s="426">
        <v>584</v>
      </c>
      <c r="AF530" s="426">
        <v>509</v>
      </c>
      <c r="AG530" s="426">
        <v>485</v>
      </c>
      <c r="AH530" s="426">
        <v>512</v>
      </c>
      <c r="AI530" s="426">
        <v>570</v>
      </c>
      <c r="AJ530" s="426">
        <v>548</v>
      </c>
      <c r="AK530" s="426">
        <v>585</v>
      </c>
      <c r="AL530" s="426">
        <v>506</v>
      </c>
      <c r="AM530" s="426">
        <v>600</v>
      </c>
      <c r="AN530" s="426">
        <v>555</v>
      </c>
      <c r="AO530" s="426">
        <v>584</v>
      </c>
      <c r="AP530" s="426">
        <v>553</v>
      </c>
      <c r="AQ530" s="426">
        <v>555</v>
      </c>
      <c r="AR530" s="426">
        <v>529</v>
      </c>
      <c r="AS530" s="426">
        <v>512</v>
      </c>
      <c r="AT530" s="426">
        <v>536</v>
      </c>
      <c r="AU530" s="426">
        <v>482</v>
      </c>
      <c r="AV530" s="426">
        <v>424</v>
      </c>
      <c r="AW530" s="426">
        <v>488</v>
      </c>
      <c r="AX530" s="426">
        <v>430</v>
      </c>
      <c r="AY530" s="426">
        <v>450</v>
      </c>
      <c r="AZ530" s="426">
        <v>442</v>
      </c>
      <c r="BA530" s="426">
        <v>484</v>
      </c>
      <c r="BB530" s="426">
        <v>471</v>
      </c>
      <c r="BC530" s="426">
        <v>382</v>
      </c>
      <c r="BD530" s="426">
        <v>424</v>
      </c>
      <c r="BE530" s="426">
        <v>497</v>
      </c>
      <c r="BF530" s="426">
        <v>498</v>
      </c>
      <c r="BG530" s="426">
        <v>537</v>
      </c>
      <c r="BH530" s="426">
        <v>512</v>
      </c>
      <c r="BI530" s="426">
        <v>633</v>
      </c>
      <c r="BJ530" s="426">
        <v>614</v>
      </c>
      <c r="BK530" s="426">
        <v>618</v>
      </c>
      <c r="BL530" s="426">
        <v>665</v>
      </c>
      <c r="BM530" s="426">
        <v>643</v>
      </c>
      <c r="BN530" s="426">
        <v>712</v>
      </c>
      <c r="BO530" s="426">
        <v>658</v>
      </c>
      <c r="BP530" s="426">
        <v>751</v>
      </c>
      <c r="BQ530" s="426">
        <v>729</v>
      </c>
      <c r="BR530" s="426">
        <v>702</v>
      </c>
      <c r="BS530" s="426">
        <v>698</v>
      </c>
      <c r="BT530" s="426">
        <v>659</v>
      </c>
      <c r="BU530" s="426">
        <v>748</v>
      </c>
      <c r="BV530" s="426">
        <v>657</v>
      </c>
      <c r="BW530" s="426">
        <v>610</v>
      </c>
      <c r="BX530" s="426">
        <v>617</v>
      </c>
      <c r="BY530" s="426">
        <v>596</v>
      </c>
      <c r="BZ530" s="426">
        <v>645</v>
      </c>
      <c r="CA530" s="426">
        <v>590</v>
      </c>
      <c r="CB530" s="426">
        <v>615</v>
      </c>
      <c r="CC530" s="426">
        <v>587</v>
      </c>
      <c r="CD530" s="426">
        <v>585</v>
      </c>
      <c r="CE530" s="426">
        <v>654</v>
      </c>
      <c r="CF530" s="426">
        <v>723</v>
      </c>
      <c r="CG530" s="426">
        <v>698</v>
      </c>
      <c r="CH530" s="426">
        <v>744</v>
      </c>
      <c r="CI530" s="426">
        <v>486</v>
      </c>
      <c r="CJ530" s="426">
        <v>483</v>
      </c>
      <c r="CK530" s="426">
        <v>505</v>
      </c>
      <c r="CL530" s="426">
        <v>471</v>
      </c>
      <c r="CM530" s="426">
        <v>397</v>
      </c>
      <c r="CN530" s="426">
        <v>386</v>
      </c>
      <c r="CO530" s="426">
        <v>331</v>
      </c>
      <c r="CP530" s="426">
        <v>307</v>
      </c>
      <c r="CQ530" s="426">
        <v>298</v>
      </c>
      <c r="CR530" s="426">
        <v>276</v>
      </c>
      <c r="CS530" s="426">
        <v>223</v>
      </c>
      <c r="CT530" s="426">
        <v>200</v>
      </c>
      <c r="CU530" s="426">
        <v>175</v>
      </c>
      <c r="CV530" s="426">
        <v>155</v>
      </c>
      <c r="CW530" s="426">
        <v>126</v>
      </c>
      <c r="CX530" s="426">
        <v>114</v>
      </c>
      <c r="CY530" s="426">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 x14ac:dyDescent="0.25">
      <c r="A531" s="52" t="s">
        <v>448</v>
      </c>
      <c r="B531" s="2" t="s">
        <v>339</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26">
        <v>704</v>
      </c>
      <c r="N531" s="426">
        <v>775</v>
      </c>
      <c r="O531" s="426">
        <v>820</v>
      </c>
      <c r="P531" s="426">
        <v>871</v>
      </c>
      <c r="Q531" s="426">
        <v>889</v>
      </c>
      <c r="R531" s="426">
        <v>886</v>
      </c>
      <c r="S531" s="426">
        <v>928</v>
      </c>
      <c r="T531" s="426">
        <v>917</v>
      </c>
      <c r="U531" s="426">
        <v>997</v>
      </c>
      <c r="V531" s="426">
        <v>969</v>
      </c>
      <c r="W531" s="426">
        <v>1046</v>
      </c>
      <c r="X531" s="426">
        <v>977</v>
      </c>
      <c r="Y531" s="426">
        <v>1054</v>
      </c>
      <c r="Z531" s="426">
        <v>991</v>
      </c>
      <c r="AA531" s="426">
        <v>903</v>
      </c>
      <c r="AB531" s="426">
        <v>947</v>
      </c>
      <c r="AC531" s="426">
        <v>901</v>
      </c>
      <c r="AD531" s="426">
        <v>827</v>
      </c>
      <c r="AE531" s="426">
        <v>816</v>
      </c>
      <c r="AF531" s="426">
        <v>844</v>
      </c>
      <c r="AG531" s="426">
        <v>772</v>
      </c>
      <c r="AH531" s="426">
        <v>876</v>
      </c>
      <c r="AI531" s="426">
        <v>839</v>
      </c>
      <c r="AJ531" s="426">
        <v>892</v>
      </c>
      <c r="AK531" s="426">
        <v>893</v>
      </c>
      <c r="AL531" s="426">
        <v>873</v>
      </c>
      <c r="AM531" s="426">
        <v>976</v>
      </c>
      <c r="AN531" s="426">
        <v>885</v>
      </c>
      <c r="AO531" s="426">
        <v>1032</v>
      </c>
      <c r="AP531" s="426">
        <v>978</v>
      </c>
      <c r="AQ531" s="426">
        <v>976</v>
      </c>
      <c r="AR531" s="426">
        <v>992</v>
      </c>
      <c r="AS531" s="426">
        <v>1066</v>
      </c>
      <c r="AT531" s="426">
        <v>984</v>
      </c>
      <c r="AU531" s="426">
        <v>935</v>
      </c>
      <c r="AV531" s="426">
        <v>942</v>
      </c>
      <c r="AW531" s="426">
        <v>893</v>
      </c>
      <c r="AX531" s="426">
        <v>908</v>
      </c>
      <c r="AY531" s="426">
        <v>896</v>
      </c>
      <c r="AZ531" s="426">
        <v>936</v>
      </c>
      <c r="BA531" s="426">
        <v>856</v>
      </c>
      <c r="BB531" s="426">
        <v>832</v>
      </c>
      <c r="BC531" s="426">
        <v>868</v>
      </c>
      <c r="BD531" s="426">
        <v>773</v>
      </c>
      <c r="BE531" s="426">
        <v>829</v>
      </c>
      <c r="BF531" s="426">
        <v>862</v>
      </c>
      <c r="BG531" s="426">
        <v>907</v>
      </c>
      <c r="BH531" s="426">
        <v>959</v>
      </c>
      <c r="BI531" s="426">
        <v>1155</v>
      </c>
      <c r="BJ531" s="426">
        <v>1148</v>
      </c>
      <c r="BK531" s="426">
        <v>1095</v>
      </c>
      <c r="BL531" s="426">
        <v>1158</v>
      </c>
      <c r="BM531" s="426">
        <v>1150</v>
      </c>
      <c r="BN531" s="426">
        <v>1089</v>
      </c>
      <c r="BO531" s="426">
        <v>1116</v>
      </c>
      <c r="BP531" s="426">
        <v>1146</v>
      </c>
      <c r="BQ531" s="426">
        <v>1181</v>
      </c>
      <c r="BR531" s="426">
        <v>1045</v>
      </c>
      <c r="BS531" s="426">
        <v>1097</v>
      </c>
      <c r="BT531" s="426">
        <v>1068</v>
      </c>
      <c r="BU531" s="426">
        <v>996</v>
      </c>
      <c r="BV531" s="426">
        <v>1037</v>
      </c>
      <c r="BW531" s="426">
        <v>939</v>
      </c>
      <c r="BX531" s="426">
        <v>891</v>
      </c>
      <c r="BY531" s="426">
        <v>898</v>
      </c>
      <c r="BZ531" s="426">
        <v>835</v>
      </c>
      <c r="CA531" s="426">
        <v>829</v>
      </c>
      <c r="CB531" s="426">
        <v>859</v>
      </c>
      <c r="CC531" s="426">
        <v>857</v>
      </c>
      <c r="CD531" s="426">
        <v>897</v>
      </c>
      <c r="CE531" s="426">
        <v>869</v>
      </c>
      <c r="CF531" s="426">
        <v>949</v>
      </c>
      <c r="CG531" s="426">
        <v>972</v>
      </c>
      <c r="CH531" s="426">
        <v>1054</v>
      </c>
      <c r="CI531" s="426">
        <v>707</v>
      </c>
      <c r="CJ531" s="426">
        <v>694</v>
      </c>
      <c r="CK531" s="426">
        <v>749</v>
      </c>
      <c r="CL531" s="426">
        <v>658</v>
      </c>
      <c r="CM531" s="426">
        <v>548</v>
      </c>
      <c r="CN531" s="426">
        <v>485</v>
      </c>
      <c r="CO531" s="426">
        <v>493</v>
      </c>
      <c r="CP531" s="426">
        <v>447</v>
      </c>
      <c r="CQ531" s="426">
        <v>413</v>
      </c>
      <c r="CR531" s="426">
        <v>350</v>
      </c>
      <c r="CS531" s="426">
        <v>302</v>
      </c>
      <c r="CT531" s="426">
        <v>273</v>
      </c>
      <c r="CU531" s="426">
        <v>229</v>
      </c>
      <c r="CV531" s="426">
        <v>200</v>
      </c>
      <c r="CW531" s="426">
        <v>196</v>
      </c>
      <c r="CX531" s="426">
        <v>160</v>
      </c>
      <c r="CY531" s="426">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 x14ac:dyDescent="0.25">
      <c r="A532" s="52" t="s">
        <v>448</v>
      </c>
      <c r="B532" s="2" t="s">
        <v>336</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26">
        <v>547</v>
      </c>
      <c r="N532" s="426">
        <v>548</v>
      </c>
      <c r="O532" s="426">
        <v>606</v>
      </c>
      <c r="P532" s="426">
        <v>567</v>
      </c>
      <c r="Q532" s="426">
        <v>639</v>
      </c>
      <c r="R532" s="426">
        <v>628</v>
      </c>
      <c r="S532" s="426">
        <v>714</v>
      </c>
      <c r="T532" s="426">
        <v>650</v>
      </c>
      <c r="U532" s="426">
        <v>677</v>
      </c>
      <c r="V532" s="426">
        <v>696</v>
      </c>
      <c r="W532" s="426">
        <v>750</v>
      </c>
      <c r="X532" s="426">
        <v>724</v>
      </c>
      <c r="Y532" s="426">
        <v>688</v>
      </c>
      <c r="Z532" s="426">
        <v>725</v>
      </c>
      <c r="AA532" s="426">
        <v>737</v>
      </c>
      <c r="AB532" s="426">
        <v>653</v>
      </c>
      <c r="AC532" s="426">
        <v>663</v>
      </c>
      <c r="AD532" s="426">
        <v>672</v>
      </c>
      <c r="AE532" s="426">
        <v>716</v>
      </c>
      <c r="AF532" s="426">
        <v>930</v>
      </c>
      <c r="AG532" s="426">
        <v>1050</v>
      </c>
      <c r="AH532" s="426">
        <v>1094</v>
      </c>
      <c r="AI532" s="426">
        <v>1094</v>
      </c>
      <c r="AJ532" s="426">
        <v>990</v>
      </c>
      <c r="AK532" s="426">
        <v>992</v>
      </c>
      <c r="AL532" s="426">
        <v>952</v>
      </c>
      <c r="AM532" s="426">
        <v>1065</v>
      </c>
      <c r="AN532" s="426">
        <v>951</v>
      </c>
      <c r="AO532" s="426">
        <v>789</v>
      </c>
      <c r="AP532" s="426">
        <v>863</v>
      </c>
      <c r="AQ532" s="426">
        <v>834</v>
      </c>
      <c r="AR532" s="426">
        <v>780</v>
      </c>
      <c r="AS532" s="426">
        <v>726</v>
      </c>
      <c r="AT532" s="426">
        <v>685</v>
      </c>
      <c r="AU532" s="426">
        <v>640</v>
      </c>
      <c r="AV532" s="426">
        <v>676</v>
      </c>
      <c r="AW532" s="426">
        <v>608</v>
      </c>
      <c r="AX532" s="426">
        <v>610</v>
      </c>
      <c r="AY532" s="426">
        <v>650</v>
      </c>
      <c r="AZ532" s="426">
        <v>664</v>
      </c>
      <c r="BA532" s="426">
        <v>649</v>
      </c>
      <c r="BB532" s="426">
        <v>607</v>
      </c>
      <c r="BC532" s="426">
        <v>573</v>
      </c>
      <c r="BD532" s="426">
        <v>559</v>
      </c>
      <c r="BE532" s="426">
        <v>552</v>
      </c>
      <c r="BF532" s="426">
        <v>609</v>
      </c>
      <c r="BG532" s="426">
        <v>637</v>
      </c>
      <c r="BH532" s="426">
        <v>720</v>
      </c>
      <c r="BI532" s="426">
        <v>728</v>
      </c>
      <c r="BJ532" s="426">
        <v>800</v>
      </c>
      <c r="BK532" s="426">
        <v>747</v>
      </c>
      <c r="BL532" s="426">
        <v>718</v>
      </c>
      <c r="BM532" s="426">
        <v>798</v>
      </c>
      <c r="BN532" s="426">
        <v>772</v>
      </c>
      <c r="BO532" s="426">
        <v>815</v>
      </c>
      <c r="BP532" s="426">
        <v>843</v>
      </c>
      <c r="BQ532" s="426">
        <v>845</v>
      </c>
      <c r="BR532" s="426">
        <v>891</v>
      </c>
      <c r="BS532" s="426">
        <v>848</v>
      </c>
      <c r="BT532" s="426">
        <v>849</v>
      </c>
      <c r="BU532" s="426">
        <v>756</v>
      </c>
      <c r="BV532" s="426">
        <v>771</v>
      </c>
      <c r="BW532" s="426">
        <v>853</v>
      </c>
      <c r="BX532" s="426">
        <v>795</v>
      </c>
      <c r="BY532" s="426">
        <v>727</v>
      </c>
      <c r="BZ532" s="426">
        <v>732</v>
      </c>
      <c r="CA532" s="426">
        <v>728</v>
      </c>
      <c r="CB532" s="426">
        <v>736</v>
      </c>
      <c r="CC532" s="426">
        <v>694</v>
      </c>
      <c r="CD532" s="426">
        <v>717</v>
      </c>
      <c r="CE532" s="426">
        <v>732</v>
      </c>
      <c r="CF532" s="426">
        <v>816</v>
      </c>
      <c r="CG532" s="426">
        <v>823</v>
      </c>
      <c r="CH532" s="426">
        <v>836</v>
      </c>
      <c r="CI532" s="426">
        <v>682</v>
      </c>
      <c r="CJ532" s="426">
        <v>609</v>
      </c>
      <c r="CK532" s="426">
        <v>586</v>
      </c>
      <c r="CL532" s="426">
        <v>600</v>
      </c>
      <c r="CM532" s="426">
        <v>498</v>
      </c>
      <c r="CN532" s="426">
        <v>380</v>
      </c>
      <c r="CO532" s="426">
        <v>400</v>
      </c>
      <c r="CP532" s="426">
        <v>397</v>
      </c>
      <c r="CQ532" s="426">
        <v>367</v>
      </c>
      <c r="CR532" s="426">
        <v>332</v>
      </c>
      <c r="CS532" s="426">
        <v>272</v>
      </c>
      <c r="CT532" s="426">
        <v>258</v>
      </c>
      <c r="CU532" s="426">
        <v>237</v>
      </c>
      <c r="CV532" s="426">
        <v>197</v>
      </c>
      <c r="CW532" s="426">
        <v>155</v>
      </c>
      <c r="CX532" s="426">
        <v>167</v>
      </c>
      <c r="CY532" s="426">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 x14ac:dyDescent="0.25">
      <c r="A533" s="52" t="s">
        <v>448</v>
      </c>
      <c r="B533" s="2" t="s">
        <v>335</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26">
        <v>308</v>
      </c>
      <c r="N533" s="426">
        <v>307</v>
      </c>
      <c r="O533" s="426">
        <v>343</v>
      </c>
      <c r="P533" s="426">
        <v>381</v>
      </c>
      <c r="Q533" s="426">
        <v>362</v>
      </c>
      <c r="R533" s="426">
        <v>339</v>
      </c>
      <c r="S533" s="426">
        <v>415</v>
      </c>
      <c r="T533" s="426">
        <v>431</v>
      </c>
      <c r="U533" s="426">
        <v>408</v>
      </c>
      <c r="V533" s="426">
        <v>435</v>
      </c>
      <c r="W533" s="426">
        <v>411</v>
      </c>
      <c r="X533" s="426">
        <v>438</v>
      </c>
      <c r="Y533" s="426">
        <v>414</v>
      </c>
      <c r="Z533" s="426">
        <v>387</v>
      </c>
      <c r="AA533" s="426">
        <v>402</v>
      </c>
      <c r="AB533" s="426">
        <v>344</v>
      </c>
      <c r="AC533" s="426">
        <v>344</v>
      </c>
      <c r="AD533" s="426">
        <v>358</v>
      </c>
      <c r="AE533" s="426">
        <v>322</v>
      </c>
      <c r="AF533" s="426">
        <v>321</v>
      </c>
      <c r="AG533" s="426">
        <v>307</v>
      </c>
      <c r="AH533" s="426">
        <v>339</v>
      </c>
      <c r="AI533" s="426">
        <v>325</v>
      </c>
      <c r="AJ533" s="426">
        <v>372</v>
      </c>
      <c r="AK533" s="426">
        <v>404</v>
      </c>
      <c r="AL533" s="426">
        <v>345</v>
      </c>
      <c r="AM533" s="426">
        <v>412</v>
      </c>
      <c r="AN533" s="426">
        <v>361</v>
      </c>
      <c r="AO533" s="426">
        <v>365</v>
      </c>
      <c r="AP533" s="426">
        <v>437</v>
      </c>
      <c r="AQ533" s="426">
        <v>417</v>
      </c>
      <c r="AR533" s="426">
        <v>361</v>
      </c>
      <c r="AS533" s="426">
        <v>361</v>
      </c>
      <c r="AT533" s="426">
        <v>429</v>
      </c>
      <c r="AU533" s="426">
        <v>316</v>
      </c>
      <c r="AV533" s="426">
        <v>298</v>
      </c>
      <c r="AW533" s="426">
        <v>362</v>
      </c>
      <c r="AX533" s="426">
        <v>333</v>
      </c>
      <c r="AY533" s="426">
        <v>355</v>
      </c>
      <c r="AZ533" s="426">
        <v>392</v>
      </c>
      <c r="BA533" s="426">
        <v>364</v>
      </c>
      <c r="BB533" s="426">
        <v>380</v>
      </c>
      <c r="BC533" s="426">
        <v>356</v>
      </c>
      <c r="BD533" s="426">
        <v>324</v>
      </c>
      <c r="BE533" s="426">
        <v>318</v>
      </c>
      <c r="BF533" s="426">
        <v>379</v>
      </c>
      <c r="BG533" s="426">
        <v>379</v>
      </c>
      <c r="BH533" s="426">
        <v>445</v>
      </c>
      <c r="BI533" s="426">
        <v>416</v>
      </c>
      <c r="BJ533" s="426">
        <v>502</v>
      </c>
      <c r="BK533" s="426">
        <v>435</v>
      </c>
      <c r="BL533" s="426">
        <v>451</v>
      </c>
      <c r="BM533" s="426">
        <v>449</v>
      </c>
      <c r="BN533" s="426">
        <v>512</v>
      </c>
      <c r="BO533" s="426">
        <v>492</v>
      </c>
      <c r="BP533" s="426">
        <v>505</v>
      </c>
      <c r="BQ533" s="426">
        <v>473</v>
      </c>
      <c r="BR533" s="426">
        <v>533</v>
      </c>
      <c r="BS533" s="426">
        <v>482</v>
      </c>
      <c r="BT533" s="426">
        <v>516</v>
      </c>
      <c r="BU533" s="426">
        <v>513</v>
      </c>
      <c r="BV533" s="426">
        <v>540</v>
      </c>
      <c r="BW533" s="426">
        <v>517</v>
      </c>
      <c r="BX533" s="426">
        <v>482</v>
      </c>
      <c r="BY533" s="426">
        <v>508</v>
      </c>
      <c r="BZ533" s="426">
        <v>480</v>
      </c>
      <c r="CA533" s="426">
        <v>503</v>
      </c>
      <c r="CB533" s="426">
        <v>480</v>
      </c>
      <c r="CC533" s="426">
        <v>469</v>
      </c>
      <c r="CD533" s="426">
        <v>455</v>
      </c>
      <c r="CE533" s="426">
        <v>509</v>
      </c>
      <c r="CF533" s="426">
        <v>537</v>
      </c>
      <c r="CG533" s="426">
        <v>541</v>
      </c>
      <c r="CH533" s="426">
        <v>510</v>
      </c>
      <c r="CI533" s="426">
        <v>395</v>
      </c>
      <c r="CJ533" s="426">
        <v>426</v>
      </c>
      <c r="CK533" s="426">
        <v>420</v>
      </c>
      <c r="CL533" s="426">
        <v>377</v>
      </c>
      <c r="CM533" s="426">
        <v>300</v>
      </c>
      <c r="CN533" s="426">
        <v>275</v>
      </c>
      <c r="CO533" s="426">
        <v>273</v>
      </c>
      <c r="CP533" s="426">
        <v>283</v>
      </c>
      <c r="CQ533" s="426">
        <v>250</v>
      </c>
      <c r="CR533" s="426">
        <v>219</v>
      </c>
      <c r="CS533" s="426">
        <v>195</v>
      </c>
      <c r="CT533" s="426">
        <v>150</v>
      </c>
      <c r="CU533" s="426">
        <v>97</v>
      </c>
      <c r="CV533" s="426">
        <v>112</v>
      </c>
      <c r="CW533" s="426">
        <v>109</v>
      </c>
      <c r="CX533" s="426">
        <v>86</v>
      </c>
      <c r="CY533" s="426">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 x14ac:dyDescent="0.25">
      <c r="A534" s="52" t="s">
        <v>448</v>
      </c>
      <c r="B534" s="2" t="s">
        <v>349</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26">
        <v>333</v>
      </c>
      <c r="N534" s="426">
        <v>328</v>
      </c>
      <c r="O534" s="426">
        <v>376</v>
      </c>
      <c r="P534" s="426">
        <v>367</v>
      </c>
      <c r="Q534" s="426">
        <v>371</v>
      </c>
      <c r="R534" s="426">
        <v>415</v>
      </c>
      <c r="S534" s="426">
        <v>370</v>
      </c>
      <c r="T534" s="426">
        <v>378</v>
      </c>
      <c r="U534" s="426">
        <v>384</v>
      </c>
      <c r="V534" s="426">
        <v>421</v>
      </c>
      <c r="W534" s="426">
        <v>368</v>
      </c>
      <c r="X534" s="426">
        <v>367</v>
      </c>
      <c r="Y534" s="426">
        <v>403</v>
      </c>
      <c r="Z534" s="426">
        <v>392</v>
      </c>
      <c r="AA534" s="426">
        <v>362</v>
      </c>
      <c r="AB534" s="426">
        <v>317</v>
      </c>
      <c r="AC534" s="426">
        <v>322</v>
      </c>
      <c r="AD534" s="426">
        <v>340</v>
      </c>
      <c r="AE534" s="426">
        <v>353</v>
      </c>
      <c r="AF534" s="426">
        <v>323</v>
      </c>
      <c r="AG534" s="426">
        <v>338</v>
      </c>
      <c r="AH534" s="426">
        <v>356</v>
      </c>
      <c r="AI534" s="426">
        <v>285</v>
      </c>
      <c r="AJ534" s="426">
        <v>369</v>
      </c>
      <c r="AK534" s="426">
        <v>369</v>
      </c>
      <c r="AL534" s="426">
        <v>387</v>
      </c>
      <c r="AM534" s="426">
        <v>424</v>
      </c>
      <c r="AN534" s="426">
        <v>414</v>
      </c>
      <c r="AO534" s="426">
        <v>395</v>
      </c>
      <c r="AP534" s="426">
        <v>396</v>
      </c>
      <c r="AQ534" s="426">
        <v>470</v>
      </c>
      <c r="AR534" s="426">
        <v>409</v>
      </c>
      <c r="AS534" s="426">
        <v>413</v>
      </c>
      <c r="AT534" s="426">
        <v>397</v>
      </c>
      <c r="AU534" s="426">
        <v>387</v>
      </c>
      <c r="AV534" s="426">
        <v>397</v>
      </c>
      <c r="AW534" s="426">
        <v>429</v>
      </c>
      <c r="AX534" s="426">
        <v>338</v>
      </c>
      <c r="AY534" s="426">
        <v>381</v>
      </c>
      <c r="AZ534" s="426">
        <v>394</v>
      </c>
      <c r="BA534" s="426">
        <v>375</v>
      </c>
      <c r="BB534" s="426">
        <v>336</v>
      </c>
      <c r="BC534" s="426">
        <v>317</v>
      </c>
      <c r="BD534" s="426">
        <v>316</v>
      </c>
      <c r="BE534" s="426">
        <v>300</v>
      </c>
      <c r="BF534" s="426">
        <v>313</v>
      </c>
      <c r="BG534" s="426">
        <v>298</v>
      </c>
      <c r="BH534" s="426">
        <v>325</v>
      </c>
      <c r="BI534" s="426">
        <v>384</v>
      </c>
      <c r="BJ534" s="426">
        <v>402</v>
      </c>
      <c r="BK534" s="426">
        <v>358</v>
      </c>
      <c r="BL534" s="426">
        <v>397</v>
      </c>
      <c r="BM534" s="426">
        <v>428</v>
      </c>
      <c r="BN534" s="426">
        <v>418</v>
      </c>
      <c r="BO534" s="426">
        <v>447</v>
      </c>
      <c r="BP534" s="426">
        <v>389</v>
      </c>
      <c r="BQ534" s="426">
        <v>410</v>
      </c>
      <c r="BR534" s="426">
        <v>387</v>
      </c>
      <c r="BS534" s="426">
        <v>418</v>
      </c>
      <c r="BT534" s="426">
        <v>396</v>
      </c>
      <c r="BU534" s="426">
        <v>423</v>
      </c>
      <c r="BV534" s="426">
        <v>397</v>
      </c>
      <c r="BW534" s="426">
        <v>400</v>
      </c>
      <c r="BX534" s="426">
        <v>342</v>
      </c>
      <c r="BY534" s="426">
        <v>310</v>
      </c>
      <c r="BZ534" s="426">
        <v>315</v>
      </c>
      <c r="CA534" s="426">
        <v>350</v>
      </c>
      <c r="CB534" s="426">
        <v>317</v>
      </c>
      <c r="CC534" s="426">
        <v>314</v>
      </c>
      <c r="CD534" s="426">
        <v>301</v>
      </c>
      <c r="CE534" s="426">
        <v>292</v>
      </c>
      <c r="CF534" s="426">
        <v>327</v>
      </c>
      <c r="CG534" s="426">
        <v>315</v>
      </c>
      <c r="CH534" s="426">
        <v>304</v>
      </c>
      <c r="CI534" s="426">
        <v>234</v>
      </c>
      <c r="CJ534" s="426">
        <v>253</v>
      </c>
      <c r="CK534" s="426">
        <v>246</v>
      </c>
      <c r="CL534" s="426">
        <v>204</v>
      </c>
      <c r="CM534" s="426">
        <v>187</v>
      </c>
      <c r="CN534" s="426">
        <v>165</v>
      </c>
      <c r="CO534" s="426">
        <v>162</v>
      </c>
      <c r="CP534" s="426">
        <v>167</v>
      </c>
      <c r="CQ534" s="426">
        <v>137</v>
      </c>
      <c r="CR534" s="426">
        <v>121</v>
      </c>
      <c r="CS534" s="426">
        <v>137</v>
      </c>
      <c r="CT534" s="426">
        <v>97</v>
      </c>
      <c r="CU534" s="426">
        <v>63</v>
      </c>
      <c r="CV534" s="426">
        <v>55</v>
      </c>
      <c r="CW534" s="426">
        <v>60</v>
      </c>
      <c r="CX534" s="426">
        <v>44</v>
      </c>
      <c r="CY534" s="426">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 x14ac:dyDescent="0.25">
      <c r="A535" s="52" t="s">
        <v>448</v>
      </c>
      <c r="B535" s="2" t="s">
        <v>352</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26">
        <v>380</v>
      </c>
      <c r="N535" s="426">
        <v>361</v>
      </c>
      <c r="O535" s="426">
        <v>426</v>
      </c>
      <c r="P535" s="426">
        <v>482</v>
      </c>
      <c r="Q535" s="426">
        <v>480</v>
      </c>
      <c r="R535" s="426">
        <v>502</v>
      </c>
      <c r="S535" s="426">
        <v>473</v>
      </c>
      <c r="T535" s="426">
        <v>519</v>
      </c>
      <c r="U535" s="426">
        <v>515</v>
      </c>
      <c r="V535" s="426">
        <v>522</v>
      </c>
      <c r="W535" s="426">
        <v>503</v>
      </c>
      <c r="X535" s="426">
        <v>558</v>
      </c>
      <c r="Y535" s="426">
        <v>533</v>
      </c>
      <c r="Z535" s="426">
        <v>587</v>
      </c>
      <c r="AA535" s="426">
        <v>515</v>
      </c>
      <c r="AB535" s="426">
        <v>555</v>
      </c>
      <c r="AC535" s="426">
        <v>561</v>
      </c>
      <c r="AD535" s="426">
        <v>538</v>
      </c>
      <c r="AE535" s="426">
        <v>494</v>
      </c>
      <c r="AF535" s="426">
        <v>439</v>
      </c>
      <c r="AG535" s="426">
        <v>355</v>
      </c>
      <c r="AH535" s="426">
        <v>404</v>
      </c>
      <c r="AI535" s="426">
        <v>462</v>
      </c>
      <c r="AJ535" s="426">
        <v>516</v>
      </c>
      <c r="AK535" s="426">
        <v>526</v>
      </c>
      <c r="AL535" s="426">
        <v>574</v>
      </c>
      <c r="AM535" s="426">
        <v>586</v>
      </c>
      <c r="AN535" s="426">
        <v>465</v>
      </c>
      <c r="AO535" s="426">
        <v>471</v>
      </c>
      <c r="AP535" s="426">
        <v>600</v>
      </c>
      <c r="AQ535" s="426">
        <v>475</v>
      </c>
      <c r="AR535" s="426">
        <v>486</v>
      </c>
      <c r="AS535" s="426">
        <v>473</v>
      </c>
      <c r="AT535" s="426">
        <v>468</v>
      </c>
      <c r="AU535" s="426">
        <v>441</v>
      </c>
      <c r="AV535" s="426">
        <v>435</v>
      </c>
      <c r="AW535" s="426">
        <v>463</v>
      </c>
      <c r="AX535" s="426">
        <v>458</v>
      </c>
      <c r="AY535" s="426">
        <v>440</v>
      </c>
      <c r="AZ535" s="426">
        <v>454</v>
      </c>
      <c r="BA535" s="426">
        <v>458</v>
      </c>
      <c r="BB535" s="426">
        <v>500</v>
      </c>
      <c r="BC535" s="426">
        <v>415</v>
      </c>
      <c r="BD535" s="426">
        <v>482</v>
      </c>
      <c r="BE535" s="426">
        <v>430</v>
      </c>
      <c r="BF535" s="426">
        <v>493</v>
      </c>
      <c r="BG535" s="426">
        <v>520</v>
      </c>
      <c r="BH535" s="426">
        <v>583</v>
      </c>
      <c r="BI535" s="426">
        <v>617</v>
      </c>
      <c r="BJ535" s="426">
        <v>686</v>
      </c>
      <c r="BK535" s="426">
        <v>660</v>
      </c>
      <c r="BL535" s="426">
        <v>709</v>
      </c>
      <c r="BM535" s="426">
        <v>751</v>
      </c>
      <c r="BN535" s="426">
        <v>769</v>
      </c>
      <c r="BO535" s="426">
        <v>807</v>
      </c>
      <c r="BP535" s="426">
        <v>819</v>
      </c>
      <c r="BQ535" s="426">
        <v>782</v>
      </c>
      <c r="BR535" s="426">
        <v>760</v>
      </c>
      <c r="BS535" s="426">
        <v>803</v>
      </c>
      <c r="BT535" s="426">
        <v>695</v>
      </c>
      <c r="BU535" s="426">
        <v>695</v>
      </c>
      <c r="BV535" s="426">
        <v>657</v>
      </c>
      <c r="BW535" s="426">
        <v>681</v>
      </c>
      <c r="BX535" s="426">
        <v>634</v>
      </c>
      <c r="BY535" s="426">
        <v>579</v>
      </c>
      <c r="BZ535" s="426">
        <v>618</v>
      </c>
      <c r="CA535" s="426">
        <v>596</v>
      </c>
      <c r="CB535" s="426">
        <v>574</v>
      </c>
      <c r="CC535" s="426">
        <v>620</v>
      </c>
      <c r="CD535" s="426">
        <v>656</v>
      </c>
      <c r="CE535" s="426">
        <v>644</v>
      </c>
      <c r="CF535" s="426">
        <v>643</v>
      </c>
      <c r="CG535" s="426">
        <v>664</v>
      </c>
      <c r="CH535" s="426">
        <v>713</v>
      </c>
      <c r="CI535" s="426">
        <v>545</v>
      </c>
      <c r="CJ535" s="426">
        <v>538</v>
      </c>
      <c r="CK535" s="426">
        <v>539</v>
      </c>
      <c r="CL535" s="426">
        <v>496</v>
      </c>
      <c r="CM535" s="426">
        <v>403</v>
      </c>
      <c r="CN535" s="426">
        <v>361</v>
      </c>
      <c r="CO535" s="426">
        <v>373</v>
      </c>
      <c r="CP535" s="426">
        <v>311</v>
      </c>
      <c r="CQ535" s="426">
        <v>299</v>
      </c>
      <c r="CR535" s="426">
        <v>285</v>
      </c>
      <c r="CS535" s="426">
        <v>244</v>
      </c>
      <c r="CT535" s="426">
        <v>209</v>
      </c>
      <c r="CU535" s="426">
        <v>219</v>
      </c>
      <c r="CV535" s="426">
        <v>200</v>
      </c>
      <c r="CW535" s="426">
        <v>159</v>
      </c>
      <c r="CX535" s="426">
        <v>123</v>
      </c>
      <c r="CY535" s="426">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 x14ac:dyDescent="0.25">
      <c r="A536" s="52" t="s">
        <v>448</v>
      </c>
      <c r="B536" s="2" t="s">
        <v>345</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26">
        <v>642</v>
      </c>
      <c r="N536" s="426">
        <v>705</v>
      </c>
      <c r="O536" s="426">
        <v>764</v>
      </c>
      <c r="P536" s="426">
        <v>748</v>
      </c>
      <c r="Q536" s="426">
        <v>797</v>
      </c>
      <c r="R536" s="426">
        <v>792</v>
      </c>
      <c r="S536" s="426">
        <v>812</v>
      </c>
      <c r="T536" s="426">
        <v>803</v>
      </c>
      <c r="U536" s="426">
        <v>892</v>
      </c>
      <c r="V536" s="426">
        <v>870</v>
      </c>
      <c r="W536" s="426">
        <v>811</v>
      </c>
      <c r="X536" s="426">
        <v>873</v>
      </c>
      <c r="Y536" s="426">
        <v>842</v>
      </c>
      <c r="Z536" s="426">
        <v>793</v>
      </c>
      <c r="AA536" s="426">
        <v>843</v>
      </c>
      <c r="AB536" s="426">
        <v>813</v>
      </c>
      <c r="AC536" s="426">
        <v>761</v>
      </c>
      <c r="AD536" s="426">
        <v>737</v>
      </c>
      <c r="AE536" s="426">
        <v>864</v>
      </c>
      <c r="AF536" s="426">
        <v>1357</v>
      </c>
      <c r="AG536" s="426">
        <v>1095</v>
      </c>
      <c r="AH536" s="426">
        <v>983</v>
      </c>
      <c r="AI536" s="426">
        <v>914</v>
      </c>
      <c r="AJ536" s="426">
        <v>548</v>
      </c>
      <c r="AK536" s="426">
        <v>725</v>
      </c>
      <c r="AL536" s="426">
        <v>839</v>
      </c>
      <c r="AM536" s="426">
        <v>900</v>
      </c>
      <c r="AN536" s="426">
        <v>887</v>
      </c>
      <c r="AO536" s="426">
        <v>809</v>
      </c>
      <c r="AP536" s="426">
        <v>882</v>
      </c>
      <c r="AQ536" s="426">
        <v>937</v>
      </c>
      <c r="AR536" s="426">
        <v>781</v>
      </c>
      <c r="AS536" s="426">
        <v>839</v>
      </c>
      <c r="AT536" s="426">
        <v>873</v>
      </c>
      <c r="AU536" s="426">
        <v>974</v>
      </c>
      <c r="AV536" s="426">
        <v>955</v>
      </c>
      <c r="AW536" s="426">
        <v>887</v>
      </c>
      <c r="AX536" s="426">
        <v>929</v>
      </c>
      <c r="AY536" s="426">
        <v>882</v>
      </c>
      <c r="AZ536" s="426">
        <v>926</v>
      </c>
      <c r="BA536" s="426">
        <v>949</v>
      </c>
      <c r="BB536" s="426">
        <v>904</v>
      </c>
      <c r="BC536" s="426">
        <v>890</v>
      </c>
      <c r="BD536" s="426">
        <v>807</v>
      </c>
      <c r="BE536" s="426">
        <v>779</v>
      </c>
      <c r="BF536" s="426">
        <v>816</v>
      </c>
      <c r="BG536" s="426">
        <v>812</v>
      </c>
      <c r="BH536" s="426">
        <v>869</v>
      </c>
      <c r="BI536" s="426">
        <v>891</v>
      </c>
      <c r="BJ536" s="426">
        <v>1006</v>
      </c>
      <c r="BK536" s="426">
        <v>948</v>
      </c>
      <c r="BL536" s="426">
        <v>963</v>
      </c>
      <c r="BM536" s="426">
        <v>1024</v>
      </c>
      <c r="BN536" s="426">
        <v>964</v>
      </c>
      <c r="BO536" s="426">
        <v>989</v>
      </c>
      <c r="BP536" s="426">
        <v>1011</v>
      </c>
      <c r="BQ536" s="426">
        <v>1033</v>
      </c>
      <c r="BR536" s="426">
        <v>1013</v>
      </c>
      <c r="BS536" s="426">
        <v>997</v>
      </c>
      <c r="BT536" s="426">
        <v>939</v>
      </c>
      <c r="BU536" s="426">
        <v>926</v>
      </c>
      <c r="BV536" s="426">
        <v>929</v>
      </c>
      <c r="BW536" s="426">
        <v>1023</v>
      </c>
      <c r="BX536" s="426">
        <v>917</v>
      </c>
      <c r="BY536" s="426">
        <v>881</v>
      </c>
      <c r="BZ536" s="426">
        <v>831</v>
      </c>
      <c r="CA536" s="426">
        <v>850</v>
      </c>
      <c r="CB536" s="426">
        <v>888</v>
      </c>
      <c r="CC536" s="426">
        <v>824</v>
      </c>
      <c r="CD536" s="426">
        <v>793</v>
      </c>
      <c r="CE536" s="426">
        <v>807</v>
      </c>
      <c r="CF536" s="426">
        <v>773</v>
      </c>
      <c r="CG536" s="426">
        <v>861</v>
      </c>
      <c r="CH536" s="426">
        <v>844</v>
      </c>
      <c r="CI536" s="426">
        <v>607</v>
      </c>
      <c r="CJ536" s="426">
        <v>615</v>
      </c>
      <c r="CK536" s="426">
        <v>605</v>
      </c>
      <c r="CL536" s="426">
        <v>583</v>
      </c>
      <c r="CM536" s="426">
        <v>523</v>
      </c>
      <c r="CN536" s="426">
        <v>418</v>
      </c>
      <c r="CO536" s="426">
        <v>427</v>
      </c>
      <c r="CP536" s="426">
        <v>386</v>
      </c>
      <c r="CQ536" s="426">
        <v>361</v>
      </c>
      <c r="CR536" s="426">
        <v>318</v>
      </c>
      <c r="CS536" s="426">
        <v>280</v>
      </c>
      <c r="CT536" s="426">
        <v>244</v>
      </c>
      <c r="CU536" s="426">
        <v>227</v>
      </c>
      <c r="CV536" s="426">
        <v>181</v>
      </c>
      <c r="CW536" s="426">
        <v>122</v>
      </c>
      <c r="CX536" s="426">
        <v>112</v>
      </c>
      <c r="CY536" s="426">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 x14ac:dyDescent="0.25">
      <c r="A537" s="52" t="s">
        <v>448</v>
      </c>
      <c r="B537" s="2" t="s">
        <v>353</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26">
        <v>957</v>
      </c>
      <c r="N537" s="426">
        <v>1012</v>
      </c>
      <c r="O537" s="426">
        <v>1027</v>
      </c>
      <c r="P537" s="426">
        <v>1017</v>
      </c>
      <c r="Q537" s="426">
        <v>1095</v>
      </c>
      <c r="R537" s="426">
        <v>1105</v>
      </c>
      <c r="S537" s="426">
        <v>1048</v>
      </c>
      <c r="T537" s="426">
        <v>1103</v>
      </c>
      <c r="U537" s="426">
        <v>1080</v>
      </c>
      <c r="V537" s="426">
        <v>1070</v>
      </c>
      <c r="W537" s="426">
        <v>1027</v>
      </c>
      <c r="X537" s="426">
        <v>1087</v>
      </c>
      <c r="Y537" s="426">
        <v>1078</v>
      </c>
      <c r="Z537" s="426">
        <v>980</v>
      </c>
      <c r="AA537" s="426">
        <v>929</v>
      </c>
      <c r="AB537" s="426">
        <v>896</v>
      </c>
      <c r="AC537" s="426">
        <v>948</v>
      </c>
      <c r="AD537" s="426">
        <v>905</v>
      </c>
      <c r="AE537" s="426">
        <v>886</v>
      </c>
      <c r="AF537" s="426">
        <v>852</v>
      </c>
      <c r="AG537" s="426">
        <v>879</v>
      </c>
      <c r="AH537" s="426">
        <v>888</v>
      </c>
      <c r="AI537" s="426">
        <v>994</v>
      </c>
      <c r="AJ537" s="426">
        <v>1009</v>
      </c>
      <c r="AK537" s="426">
        <v>1037</v>
      </c>
      <c r="AL537" s="426">
        <v>971</v>
      </c>
      <c r="AM537" s="426">
        <v>1034</v>
      </c>
      <c r="AN537" s="426">
        <v>1108</v>
      </c>
      <c r="AO537" s="426">
        <v>1164</v>
      </c>
      <c r="AP537" s="426">
        <v>1187</v>
      </c>
      <c r="AQ537" s="426">
        <v>1135</v>
      </c>
      <c r="AR537" s="426">
        <v>1096</v>
      </c>
      <c r="AS537" s="426">
        <v>1172</v>
      </c>
      <c r="AT537" s="426">
        <v>1036</v>
      </c>
      <c r="AU537" s="426">
        <v>1082</v>
      </c>
      <c r="AV537" s="426">
        <v>1041</v>
      </c>
      <c r="AW537" s="426">
        <v>1038</v>
      </c>
      <c r="AX537" s="426">
        <v>1008</v>
      </c>
      <c r="AY537" s="426">
        <v>961</v>
      </c>
      <c r="AZ537" s="426">
        <v>1091</v>
      </c>
      <c r="BA537" s="426">
        <v>1028</v>
      </c>
      <c r="BB537" s="426">
        <v>1062</v>
      </c>
      <c r="BC537" s="426">
        <v>928</v>
      </c>
      <c r="BD537" s="426">
        <v>927</v>
      </c>
      <c r="BE537" s="426">
        <v>855</v>
      </c>
      <c r="BF537" s="426">
        <v>877</v>
      </c>
      <c r="BG537" s="426">
        <v>912</v>
      </c>
      <c r="BH537" s="426">
        <v>908</v>
      </c>
      <c r="BI537" s="426">
        <v>991</v>
      </c>
      <c r="BJ537" s="426">
        <v>1059</v>
      </c>
      <c r="BK537" s="426">
        <v>1021</v>
      </c>
      <c r="BL537" s="426">
        <v>1076</v>
      </c>
      <c r="BM537" s="426">
        <v>1031</v>
      </c>
      <c r="BN537" s="426">
        <v>1067</v>
      </c>
      <c r="BO537" s="426">
        <v>1045</v>
      </c>
      <c r="BP537" s="426">
        <v>1010</v>
      </c>
      <c r="BQ537" s="426">
        <v>1054</v>
      </c>
      <c r="BR537" s="426">
        <v>1068</v>
      </c>
      <c r="BS537" s="426">
        <v>920</v>
      </c>
      <c r="BT537" s="426">
        <v>954</v>
      </c>
      <c r="BU537" s="426">
        <v>905</v>
      </c>
      <c r="BV537" s="426">
        <v>950</v>
      </c>
      <c r="BW537" s="426">
        <v>870</v>
      </c>
      <c r="BX537" s="426">
        <v>841</v>
      </c>
      <c r="BY537" s="426">
        <v>697</v>
      </c>
      <c r="BZ537" s="426">
        <v>710</v>
      </c>
      <c r="CA537" s="426">
        <v>683</v>
      </c>
      <c r="CB537" s="426">
        <v>733</v>
      </c>
      <c r="CC537" s="426">
        <v>659</v>
      </c>
      <c r="CD537" s="426">
        <v>624</v>
      </c>
      <c r="CE537" s="426">
        <v>709</v>
      </c>
      <c r="CF537" s="426">
        <v>672</v>
      </c>
      <c r="CG537" s="426">
        <v>736</v>
      </c>
      <c r="CH537" s="426">
        <v>796</v>
      </c>
      <c r="CI537" s="426">
        <v>551</v>
      </c>
      <c r="CJ537" s="426">
        <v>521</v>
      </c>
      <c r="CK537" s="426">
        <v>525</v>
      </c>
      <c r="CL537" s="426">
        <v>514</v>
      </c>
      <c r="CM537" s="426">
        <v>413</v>
      </c>
      <c r="CN537" s="426">
        <v>367</v>
      </c>
      <c r="CO537" s="426">
        <v>388</v>
      </c>
      <c r="CP537" s="426">
        <v>389</v>
      </c>
      <c r="CQ537" s="426">
        <v>331</v>
      </c>
      <c r="CR537" s="426">
        <v>310</v>
      </c>
      <c r="CS537" s="426">
        <v>308</v>
      </c>
      <c r="CT537" s="426">
        <v>231</v>
      </c>
      <c r="CU537" s="426">
        <v>214</v>
      </c>
      <c r="CV537" s="426">
        <v>160</v>
      </c>
      <c r="CW537" s="426">
        <v>110</v>
      </c>
      <c r="CX537" s="426">
        <v>138</v>
      </c>
      <c r="CY537" s="426">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 x14ac:dyDescent="0.25">
      <c r="A538" s="52" t="s">
        <v>448</v>
      </c>
      <c r="B538" s="2" t="s">
        <v>342</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26">
        <v>535</v>
      </c>
      <c r="N538" s="426">
        <v>556</v>
      </c>
      <c r="O538" s="426">
        <v>614</v>
      </c>
      <c r="P538" s="426">
        <v>604</v>
      </c>
      <c r="Q538" s="426">
        <v>635</v>
      </c>
      <c r="R538" s="426">
        <v>668</v>
      </c>
      <c r="S538" s="426">
        <v>659</v>
      </c>
      <c r="T538" s="426">
        <v>709</v>
      </c>
      <c r="U538" s="426">
        <v>719</v>
      </c>
      <c r="V538" s="426">
        <v>746</v>
      </c>
      <c r="W538" s="426">
        <v>767</v>
      </c>
      <c r="X538" s="426">
        <v>726</v>
      </c>
      <c r="Y538" s="426">
        <v>812</v>
      </c>
      <c r="Z538" s="426">
        <v>726</v>
      </c>
      <c r="AA538" s="426">
        <v>793</v>
      </c>
      <c r="AB538" s="426">
        <v>715</v>
      </c>
      <c r="AC538" s="426">
        <v>649</v>
      </c>
      <c r="AD538" s="426">
        <v>630</v>
      </c>
      <c r="AE538" s="426">
        <v>672</v>
      </c>
      <c r="AF538" s="426">
        <v>683</v>
      </c>
      <c r="AG538" s="426">
        <v>615</v>
      </c>
      <c r="AH538" s="426">
        <v>647</v>
      </c>
      <c r="AI538" s="426">
        <v>726</v>
      </c>
      <c r="AJ538" s="426">
        <v>708</v>
      </c>
      <c r="AK538" s="426">
        <v>697</v>
      </c>
      <c r="AL538" s="426">
        <v>637</v>
      </c>
      <c r="AM538" s="426">
        <v>679</v>
      </c>
      <c r="AN538" s="426">
        <v>604</v>
      </c>
      <c r="AO538" s="426">
        <v>741</v>
      </c>
      <c r="AP538" s="426">
        <v>737</v>
      </c>
      <c r="AQ538" s="426">
        <v>710</v>
      </c>
      <c r="AR538" s="426">
        <v>649</v>
      </c>
      <c r="AS538" s="426">
        <v>733</v>
      </c>
      <c r="AT538" s="426">
        <v>718</v>
      </c>
      <c r="AU538" s="426">
        <v>647</v>
      </c>
      <c r="AV538" s="426">
        <v>595</v>
      </c>
      <c r="AW538" s="426">
        <v>597</v>
      </c>
      <c r="AX538" s="426">
        <v>605</v>
      </c>
      <c r="AY538" s="426">
        <v>582</v>
      </c>
      <c r="AZ538" s="426">
        <v>648</v>
      </c>
      <c r="BA538" s="426">
        <v>655</v>
      </c>
      <c r="BB538" s="426">
        <v>611</v>
      </c>
      <c r="BC538" s="426">
        <v>588</v>
      </c>
      <c r="BD538" s="426">
        <v>531</v>
      </c>
      <c r="BE538" s="426">
        <v>518</v>
      </c>
      <c r="BF538" s="426">
        <v>604</v>
      </c>
      <c r="BG538" s="426">
        <v>608</v>
      </c>
      <c r="BH538" s="426">
        <v>646</v>
      </c>
      <c r="BI538" s="426">
        <v>728</v>
      </c>
      <c r="BJ538" s="426">
        <v>772</v>
      </c>
      <c r="BK538" s="426">
        <v>793</v>
      </c>
      <c r="BL538" s="426">
        <v>866</v>
      </c>
      <c r="BM538" s="426">
        <v>882</v>
      </c>
      <c r="BN538" s="426">
        <v>886</v>
      </c>
      <c r="BO538" s="426">
        <v>902</v>
      </c>
      <c r="BP538" s="426">
        <v>954</v>
      </c>
      <c r="BQ538" s="426">
        <v>890</v>
      </c>
      <c r="BR538" s="426">
        <v>1022</v>
      </c>
      <c r="BS538" s="426">
        <v>988</v>
      </c>
      <c r="BT538" s="426">
        <v>891</v>
      </c>
      <c r="BU538" s="426">
        <v>885</v>
      </c>
      <c r="BV538" s="426">
        <v>926</v>
      </c>
      <c r="BW538" s="426">
        <v>880</v>
      </c>
      <c r="BX538" s="426">
        <v>848</v>
      </c>
      <c r="BY538" s="426">
        <v>849</v>
      </c>
      <c r="BZ538" s="426">
        <v>864</v>
      </c>
      <c r="CA538" s="426">
        <v>928</v>
      </c>
      <c r="CB538" s="426">
        <v>901</v>
      </c>
      <c r="CC538" s="426">
        <v>819</v>
      </c>
      <c r="CD538" s="426">
        <v>857</v>
      </c>
      <c r="CE538" s="426">
        <v>874</v>
      </c>
      <c r="CF538" s="426">
        <v>846</v>
      </c>
      <c r="CG538" s="426">
        <v>917</v>
      </c>
      <c r="CH538" s="426">
        <v>954</v>
      </c>
      <c r="CI538" s="426">
        <v>725</v>
      </c>
      <c r="CJ538" s="426">
        <v>743</v>
      </c>
      <c r="CK538" s="426">
        <v>703</v>
      </c>
      <c r="CL538" s="426">
        <v>610</v>
      </c>
      <c r="CM538" s="426">
        <v>544</v>
      </c>
      <c r="CN538" s="426">
        <v>516</v>
      </c>
      <c r="CO538" s="426">
        <v>493</v>
      </c>
      <c r="CP538" s="426">
        <v>461</v>
      </c>
      <c r="CQ538" s="426">
        <v>426</v>
      </c>
      <c r="CR538" s="426">
        <v>353</v>
      </c>
      <c r="CS538" s="426">
        <v>345</v>
      </c>
      <c r="CT538" s="426">
        <v>333</v>
      </c>
      <c r="CU538" s="426">
        <v>207</v>
      </c>
      <c r="CV538" s="426">
        <v>256</v>
      </c>
      <c r="CW538" s="426">
        <v>192</v>
      </c>
      <c r="CX538" s="426">
        <v>154</v>
      </c>
      <c r="CY538" s="426">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 x14ac:dyDescent="0.25">
      <c r="A539" s="52" t="s">
        <v>448</v>
      </c>
      <c r="B539" s="2" t="s">
        <v>340</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26">
        <v>521</v>
      </c>
      <c r="N539" s="426">
        <v>582</v>
      </c>
      <c r="O539" s="426">
        <v>655</v>
      </c>
      <c r="P539" s="426">
        <v>629</v>
      </c>
      <c r="Q539" s="426">
        <v>609</v>
      </c>
      <c r="R539" s="426">
        <v>680</v>
      </c>
      <c r="S539" s="426">
        <v>690</v>
      </c>
      <c r="T539" s="426">
        <v>706</v>
      </c>
      <c r="U539" s="426">
        <v>681</v>
      </c>
      <c r="V539" s="426">
        <v>701</v>
      </c>
      <c r="W539" s="426">
        <v>668</v>
      </c>
      <c r="X539" s="426">
        <v>736</v>
      </c>
      <c r="Y539" s="426">
        <v>797</v>
      </c>
      <c r="Z539" s="426">
        <v>705</v>
      </c>
      <c r="AA539" s="426">
        <v>728</v>
      </c>
      <c r="AB539" s="426">
        <v>743</v>
      </c>
      <c r="AC539" s="426">
        <v>712</v>
      </c>
      <c r="AD539" s="426">
        <v>685</v>
      </c>
      <c r="AE539" s="426">
        <v>703</v>
      </c>
      <c r="AF539" s="426">
        <v>631</v>
      </c>
      <c r="AG539" s="426">
        <v>607</v>
      </c>
      <c r="AH539" s="426">
        <v>663</v>
      </c>
      <c r="AI539" s="426">
        <v>707</v>
      </c>
      <c r="AJ539" s="426">
        <v>617</v>
      </c>
      <c r="AK539" s="426">
        <v>742</v>
      </c>
      <c r="AL539" s="426">
        <v>738</v>
      </c>
      <c r="AM539" s="426">
        <v>703</v>
      </c>
      <c r="AN539" s="426">
        <v>627</v>
      </c>
      <c r="AO539" s="426">
        <v>709</v>
      </c>
      <c r="AP539" s="426">
        <v>709</v>
      </c>
      <c r="AQ539" s="426">
        <v>708</v>
      </c>
      <c r="AR539" s="426">
        <v>684</v>
      </c>
      <c r="AS539" s="426">
        <v>668</v>
      </c>
      <c r="AT539" s="426">
        <v>702</v>
      </c>
      <c r="AU539" s="426">
        <v>662</v>
      </c>
      <c r="AV539" s="426">
        <v>570</v>
      </c>
      <c r="AW539" s="426">
        <v>567</v>
      </c>
      <c r="AX539" s="426">
        <v>554</v>
      </c>
      <c r="AY539" s="426">
        <v>571</v>
      </c>
      <c r="AZ539" s="426">
        <v>628</v>
      </c>
      <c r="BA539" s="426">
        <v>593</v>
      </c>
      <c r="BB539" s="426">
        <v>574</v>
      </c>
      <c r="BC539" s="426">
        <v>612</v>
      </c>
      <c r="BD539" s="426">
        <v>543</v>
      </c>
      <c r="BE539" s="426">
        <v>553</v>
      </c>
      <c r="BF539" s="426">
        <v>677</v>
      </c>
      <c r="BG539" s="426">
        <v>705</v>
      </c>
      <c r="BH539" s="426">
        <v>717</v>
      </c>
      <c r="BI539" s="426">
        <v>844</v>
      </c>
      <c r="BJ539" s="426">
        <v>869</v>
      </c>
      <c r="BK539" s="426">
        <v>859</v>
      </c>
      <c r="BL539" s="426">
        <v>988</v>
      </c>
      <c r="BM539" s="426">
        <v>867</v>
      </c>
      <c r="BN539" s="426">
        <v>1029</v>
      </c>
      <c r="BO539" s="426">
        <v>978</v>
      </c>
      <c r="BP539" s="426">
        <v>1087</v>
      </c>
      <c r="BQ539" s="426">
        <v>1057</v>
      </c>
      <c r="BR539" s="426">
        <v>1075</v>
      </c>
      <c r="BS539" s="426">
        <v>1088</v>
      </c>
      <c r="BT539" s="426">
        <v>1029</v>
      </c>
      <c r="BU539" s="426">
        <v>1010</v>
      </c>
      <c r="BV539" s="426">
        <v>1018</v>
      </c>
      <c r="BW539" s="426">
        <v>932</v>
      </c>
      <c r="BX539" s="426">
        <v>982</v>
      </c>
      <c r="BY539" s="426">
        <v>1048</v>
      </c>
      <c r="BZ539" s="426">
        <v>922</v>
      </c>
      <c r="CA539" s="426">
        <v>972</v>
      </c>
      <c r="CB539" s="426">
        <v>1010</v>
      </c>
      <c r="CC539" s="426">
        <v>969</v>
      </c>
      <c r="CD539" s="426">
        <v>930</v>
      </c>
      <c r="CE539" s="426">
        <v>1011</v>
      </c>
      <c r="CF539" s="426">
        <v>973</v>
      </c>
      <c r="CG539" s="426">
        <v>1071</v>
      </c>
      <c r="CH539" s="426">
        <v>1086</v>
      </c>
      <c r="CI539" s="426">
        <v>805</v>
      </c>
      <c r="CJ539" s="426">
        <v>772</v>
      </c>
      <c r="CK539" s="426">
        <v>887</v>
      </c>
      <c r="CL539" s="426">
        <v>757</v>
      </c>
      <c r="CM539" s="426">
        <v>615</v>
      </c>
      <c r="CN539" s="426">
        <v>529</v>
      </c>
      <c r="CO539" s="426">
        <v>559</v>
      </c>
      <c r="CP539" s="426">
        <v>525</v>
      </c>
      <c r="CQ539" s="426">
        <v>461</v>
      </c>
      <c r="CR539" s="426">
        <v>428</v>
      </c>
      <c r="CS539" s="426">
        <v>370</v>
      </c>
      <c r="CT539" s="426">
        <v>339</v>
      </c>
      <c r="CU539" s="426">
        <v>289</v>
      </c>
      <c r="CV539" s="426">
        <v>211</v>
      </c>
      <c r="CW539" s="426">
        <v>190</v>
      </c>
      <c r="CX539" s="426">
        <v>190</v>
      </c>
      <c r="CY539" s="426">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 x14ac:dyDescent="0.25">
      <c r="A540" s="52" t="s">
        <v>448</v>
      </c>
      <c r="B540" s="2" t="s">
        <v>348</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26">
        <v>1222</v>
      </c>
      <c r="N540" s="426">
        <v>1332</v>
      </c>
      <c r="O540" s="426">
        <v>1324</v>
      </c>
      <c r="P540" s="426">
        <v>1395</v>
      </c>
      <c r="Q540" s="426">
        <v>1416</v>
      </c>
      <c r="R540" s="426">
        <v>1433</v>
      </c>
      <c r="S540" s="426">
        <v>1422</v>
      </c>
      <c r="T540" s="426">
        <v>1437</v>
      </c>
      <c r="U540" s="426">
        <v>1487</v>
      </c>
      <c r="V540" s="426">
        <v>1539</v>
      </c>
      <c r="W540" s="426">
        <v>1476</v>
      </c>
      <c r="X540" s="426">
        <v>1589</v>
      </c>
      <c r="Y540" s="426">
        <v>1458</v>
      </c>
      <c r="Z540" s="426">
        <v>1482</v>
      </c>
      <c r="AA540" s="426">
        <v>1491</v>
      </c>
      <c r="AB540" s="426">
        <v>1361</v>
      </c>
      <c r="AC540" s="426">
        <v>1343</v>
      </c>
      <c r="AD540" s="426">
        <v>1313</v>
      </c>
      <c r="AE540" s="426">
        <v>1304</v>
      </c>
      <c r="AF540" s="426">
        <v>1380</v>
      </c>
      <c r="AG540" s="426">
        <v>1401</v>
      </c>
      <c r="AH540" s="426">
        <v>1525</v>
      </c>
      <c r="AI540" s="426">
        <v>1664</v>
      </c>
      <c r="AJ540" s="426">
        <v>1745</v>
      </c>
      <c r="AK540" s="426">
        <v>1582</v>
      </c>
      <c r="AL540" s="426">
        <v>1605</v>
      </c>
      <c r="AM540" s="426">
        <v>1564</v>
      </c>
      <c r="AN540" s="426">
        <v>1645</v>
      </c>
      <c r="AO540" s="426">
        <v>1657</v>
      </c>
      <c r="AP540" s="426">
        <v>1662</v>
      </c>
      <c r="AQ540" s="426">
        <v>1826</v>
      </c>
      <c r="AR540" s="426">
        <v>1654</v>
      </c>
      <c r="AS540" s="426">
        <v>1547</v>
      </c>
      <c r="AT540" s="426">
        <v>1568</v>
      </c>
      <c r="AU540" s="426">
        <v>1536</v>
      </c>
      <c r="AV540" s="426">
        <v>1514</v>
      </c>
      <c r="AW540" s="426">
        <v>1441</v>
      </c>
      <c r="AX540" s="426">
        <v>1469</v>
      </c>
      <c r="AY540" s="426">
        <v>1406</v>
      </c>
      <c r="AZ540" s="426">
        <v>1497</v>
      </c>
      <c r="BA540" s="426">
        <v>1537</v>
      </c>
      <c r="BB540" s="426">
        <v>1377</v>
      </c>
      <c r="BC540" s="426">
        <v>1245</v>
      </c>
      <c r="BD540" s="426">
        <v>1321</v>
      </c>
      <c r="BE540" s="426">
        <v>1193</v>
      </c>
      <c r="BF540" s="426">
        <v>1294</v>
      </c>
      <c r="BG540" s="426">
        <v>1309</v>
      </c>
      <c r="BH540" s="426">
        <v>1485</v>
      </c>
      <c r="BI540" s="426">
        <v>1556</v>
      </c>
      <c r="BJ540" s="426">
        <v>1674</v>
      </c>
      <c r="BK540" s="426">
        <v>1600</v>
      </c>
      <c r="BL540" s="426">
        <v>1660</v>
      </c>
      <c r="BM540" s="426">
        <v>1591</v>
      </c>
      <c r="BN540" s="426">
        <v>1678</v>
      </c>
      <c r="BO540" s="426">
        <v>1629</v>
      </c>
      <c r="BP540" s="426">
        <v>1683</v>
      </c>
      <c r="BQ540" s="426">
        <v>1651</v>
      </c>
      <c r="BR540" s="426">
        <v>1518</v>
      </c>
      <c r="BS540" s="426">
        <v>1648</v>
      </c>
      <c r="BT540" s="426">
        <v>1541</v>
      </c>
      <c r="BU540" s="426">
        <v>1398</v>
      </c>
      <c r="BV540" s="426">
        <v>1407</v>
      </c>
      <c r="BW540" s="426">
        <v>1430</v>
      </c>
      <c r="BX540" s="426">
        <v>1415</v>
      </c>
      <c r="BY540" s="426">
        <v>1243</v>
      </c>
      <c r="BZ540" s="426">
        <v>1212</v>
      </c>
      <c r="CA540" s="426">
        <v>1257</v>
      </c>
      <c r="CB540" s="426">
        <v>1235</v>
      </c>
      <c r="CC540" s="426">
        <v>1267</v>
      </c>
      <c r="CD540" s="426">
        <v>1242</v>
      </c>
      <c r="CE540" s="426">
        <v>1291</v>
      </c>
      <c r="CF540" s="426">
        <v>1296</v>
      </c>
      <c r="CG540" s="426">
        <v>1353</v>
      </c>
      <c r="CH540" s="426">
        <v>1414</v>
      </c>
      <c r="CI540" s="426">
        <v>1090</v>
      </c>
      <c r="CJ540" s="426">
        <v>1034</v>
      </c>
      <c r="CK540" s="426">
        <v>941</v>
      </c>
      <c r="CL540" s="426">
        <v>829</v>
      </c>
      <c r="CM540" s="426">
        <v>809</v>
      </c>
      <c r="CN540" s="426">
        <v>727</v>
      </c>
      <c r="CO540" s="426">
        <v>643</v>
      </c>
      <c r="CP540" s="426">
        <v>590</v>
      </c>
      <c r="CQ540" s="426">
        <v>557</v>
      </c>
      <c r="CR540" s="426">
        <v>451</v>
      </c>
      <c r="CS540" s="426">
        <v>410</v>
      </c>
      <c r="CT540" s="426">
        <v>387</v>
      </c>
      <c r="CU540" s="426">
        <v>367</v>
      </c>
      <c r="CV540" s="426">
        <v>285</v>
      </c>
      <c r="CW540" s="426">
        <v>222</v>
      </c>
      <c r="CX540" s="426">
        <v>174</v>
      </c>
      <c r="CY540" s="426">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 x14ac:dyDescent="0.25">
      <c r="A541" s="52" t="s">
        <v>448</v>
      </c>
      <c r="B541" s="2" t="s">
        <v>344</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26">
        <v>1062</v>
      </c>
      <c r="N541" s="426">
        <v>1200</v>
      </c>
      <c r="O541" s="426">
        <v>1245</v>
      </c>
      <c r="P541" s="426">
        <v>1233</v>
      </c>
      <c r="Q541" s="426">
        <v>1367</v>
      </c>
      <c r="R541" s="426">
        <v>1306</v>
      </c>
      <c r="S541" s="426">
        <v>1391</v>
      </c>
      <c r="T541" s="426">
        <v>1415</v>
      </c>
      <c r="U541" s="426">
        <v>1484</v>
      </c>
      <c r="V541" s="426">
        <v>1458</v>
      </c>
      <c r="W541" s="426">
        <v>1391</v>
      </c>
      <c r="X541" s="426">
        <v>1410</v>
      </c>
      <c r="Y541" s="426">
        <v>1428</v>
      </c>
      <c r="Z541" s="426">
        <v>1389</v>
      </c>
      <c r="AA541" s="426">
        <v>1380</v>
      </c>
      <c r="AB541" s="426">
        <v>1364</v>
      </c>
      <c r="AC541" s="426">
        <v>1376</v>
      </c>
      <c r="AD541" s="426">
        <v>1377</v>
      </c>
      <c r="AE541" s="426">
        <v>1386</v>
      </c>
      <c r="AF541" s="426">
        <v>1794</v>
      </c>
      <c r="AG541" s="426">
        <v>2463</v>
      </c>
      <c r="AH541" s="426">
        <v>2789</v>
      </c>
      <c r="AI541" s="426">
        <v>2556</v>
      </c>
      <c r="AJ541" s="426">
        <v>2324</v>
      </c>
      <c r="AK541" s="426">
        <v>2089</v>
      </c>
      <c r="AL541" s="426">
        <v>1797</v>
      </c>
      <c r="AM541" s="426">
        <v>1990</v>
      </c>
      <c r="AN541" s="426">
        <v>1956</v>
      </c>
      <c r="AO541" s="426">
        <v>1988</v>
      </c>
      <c r="AP541" s="426">
        <v>1865</v>
      </c>
      <c r="AQ541" s="426">
        <v>1910</v>
      </c>
      <c r="AR541" s="426">
        <v>1621</v>
      </c>
      <c r="AS541" s="426">
        <v>1509</v>
      </c>
      <c r="AT541" s="426">
        <v>1393</v>
      </c>
      <c r="AU541" s="426">
        <v>1547</v>
      </c>
      <c r="AV541" s="426">
        <v>1599</v>
      </c>
      <c r="AW541" s="426">
        <v>1491</v>
      </c>
      <c r="AX541" s="426">
        <v>1429</v>
      </c>
      <c r="AY541" s="426">
        <v>1524</v>
      </c>
      <c r="AZ541" s="426">
        <v>1500</v>
      </c>
      <c r="BA541" s="426">
        <v>1583</v>
      </c>
      <c r="BB541" s="426">
        <v>1335</v>
      </c>
      <c r="BC541" s="426">
        <v>1239</v>
      </c>
      <c r="BD541" s="426">
        <v>1464</v>
      </c>
      <c r="BE541" s="426">
        <v>1325</v>
      </c>
      <c r="BF541" s="426">
        <v>1324</v>
      </c>
      <c r="BG541" s="426">
        <v>1404</v>
      </c>
      <c r="BH541" s="426">
        <v>1449</v>
      </c>
      <c r="BI541" s="426">
        <v>1458</v>
      </c>
      <c r="BJ541" s="426">
        <v>1458</v>
      </c>
      <c r="BK541" s="426">
        <v>1423</v>
      </c>
      <c r="BL541" s="426">
        <v>1635</v>
      </c>
      <c r="BM541" s="426">
        <v>1553</v>
      </c>
      <c r="BN541" s="426">
        <v>1578</v>
      </c>
      <c r="BO541" s="426">
        <v>1551</v>
      </c>
      <c r="BP541" s="426">
        <v>1668</v>
      </c>
      <c r="BQ541" s="426">
        <v>1577</v>
      </c>
      <c r="BR541" s="426">
        <v>1494</v>
      </c>
      <c r="BS541" s="426">
        <v>1577</v>
      </c>
      <c r="BT541" s="426">
        <v>1447</v>
      </c>
      <c r="BU541" s="426">
        <v>1403</v>
      </c>
      <c r="BV541" s="426">
        <v>1347</v>
      </c>
      <c r="BW541" s="426">
        <v>1388</v>
      </c>
      <c r="BX541" s="426">
        <v>1310</v>
      </c>
      <c r="BY541" s="426">
        <v>1211</v>
      </c>
      <c r="BZ541" s="426">
        <v>1235</v>
      </c>
      <c r="CA541" s="426">
        <v>1225</v>
      </c>
      <c r="CB541" s="426">
        <v>1260</v>
      </c>
      <c r="CC541" s="426">
        <v>1233</v>
      </c>
      <c r="CD541" s="426">
        <v>1108</v>
      </c>
      <c r="CE541" s="426">
        <v>1217</v>
      </c>
      <c r="CF541" s="426">
        <v>1247</v>
      </c>
      <c r="CG541" s="426">
        <v>1268</v>
      </c>
      <c r="CH541" s="426">
        <v>1403</v>
      </c>
      <c r="CI541" s="426">
        <v>932</v>
      </c>
      <c r="CJ541" s="426">
        <v>978</v>
      </c>
      <c r="CK541" s="426">
        <v>948</v>
      </c>
      <c r="CL541" s="426">
        <v>921</v>
      </c>
      <c r="CM541" s="426">
        <v>767</v>
      </c>
      <c r="CN541" s="426">
        <v>684</v>
      </c>
      <c r="CO541" s="426">
        <v>670</v>
      </c>
      <c r="CP541" s="426">
        <v>608</v>
      </c>
      <c r="CQ541" s="426">
        <v>595</v>
      </c>
      <c r="CR541" s="426">
        <v>512</v>
      </c>
      <c r="CS541" s="426">
        <v>502</v>
      </c>
      <c r="CT541" s="426">
        <v>443</v>
      </c>
      <c r="CU541" s="426">
        <v>356</v>
      </c>
      <c r="CV541" s="426">
        <v>309</v>
      </c>
      <c r="CW541" s="426">
        <v>308</v>
      </c>
      <c r="CX541" s="426">
        <v>231</v>
      </c>
      <c r="CY541" s="426">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 x14ac:dyDescent="0.25">
      <c r="A542" s="52" t="s">
        <v>448</v>
      </c>
      <c r="B542" s="2" t="s">
        <v>397</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26">
        <v>485</v>
      </c>
      <c r="N542" s="426">
        <v>550</v>
      </c>
      <c r="O542" s="426">
        <v>490</v>
      </c>
      <c r="P542" s="426">
        <v>562</v>
      </c>
      <c r="Q542" s="426">
        <v>548</v>
      </c>
      <c r="R542" s="426">
        <v>531</v>
      </c>
      <c r="S542" s="426">
        <v>567</v>
      </c>
      <c r="T542" s="426">
        <v>567</v>
      </c>
      <c r="U542" s="426">
        <v>610</v>
      </c>
      <c r="V542" s="426">
        <v>603</v>
      </c>
      <c r="W542" s="426">
        <v>625</v>
      </c>
      <c r="X542" s="426">
        <v>576</v>
      </c>
      <c r="Y542" s="426">
        <v>580</v>
      </c>
      <c r="Z542" s="426">
        <v>554</v>
      </c>
      <c r="AA542" s="426">
        <v>566</v>
      </c>
      <c r="AB542" s="426">
        <v>572</v>
      </c>
      <c r="AC542" s="426">
        <v>489</v>
      </c>
      <c r="AD542" s="426">
        <v>508</v>
      </c>
      <c r="AE542" s="426">
        <v>499</v>
      </c>
      <c r="AF542" s="426">
        <v>490</v>
      </c>
      <c r="AG542" s="426">
        <v>495</v>
      </c>
      <c r="AH542" s="426">
        <v>508</v>
      </c>
      <c r="AI542" s="426">
        <v>513</v>
      </c>
      <c r="AJ542" s="426">
        <v>626</v>
      </c>
      <c r="AK542" s="426">
        <v>617</v>
      </c>
      <c r="AL542" s="426">
        <v>610</v>
      </c>
      <c r="AM542" s="426">
        <v>609</v>
      </c>
      <c r="AN542" s="426">
        <v>568</v>
      </c>
      <c r="AO542" s="426">
        <v>620</v>
      </c>
      <c r="AP542" s="426">
        <v>694</v>
      </c>
      <c r="AQ542" s="426">
        <v>633</v>
      </c>
      <c r="AR542" s="426">
        <v>654</v>
      </c>
      <c r="AS542" s="426">
        <v>553</v>
      </c>
      <c r="AT542" s="426">
        <v>547</v>
      </c>
      <c r="AU542" s="426">
        <v>608</v>
      </c>
      <c r="AV542" s="426">
        <v>595</v>
      </c>
      <c r="AW542" s="426">
        <v>582</v>
      </c>
      <c r="AX542" s="426">
        <v>573</v>
      </c>
      <c r="AY542" s="426">
        <v>539</v>
      </c>
      <c r="AZ542" s="426">
        <v>537</v>
      </c>
      <c r="BA542" s="426">
        <v>539</v>
      </c>
      <c r="BB542" s="426">
        <v>542</v>
      </c>
      <c r="BC542" s="426">
        <v>455</v>
      </c>
      <c r="BD542" s="426">
        <v>496</v>
      </c>
      <c r="BE542" s="426">
        <v>437</v>
      </c>
      <c r="BF542" s="426">
        <v>472</v>
      </c>
      <c r="BG542" s="426">
        <v>514</v>
      </c>
      <c r="BH542" s="426">
        <v>552</v>
      </c>
      <c r="BI542" s="426">
        <v>566</v>
      </c>
      <c r="BJ542" s="426">
        <v>627</v>
      </c>
      <c r="BK542" s="426">
        <v>649</v>
      </c>
      <c r="BL542" s="426">
        <v>654</v>
      </c>
      <c r="BM542" s="426">
        <v>620</v>
      </c>
      <c r="BN542" s="426">
        <v>627</v>
      </c>
      <c r="BO542" s="426">
        <v>636</v>
      </c>
      <c r="BP542" s="426">
        <v>723</v>
      </c>
      <c r="BQ542" s="426">
        <v>646</v>
      </c>
      <c r="BR542" s="426">
        <v>687</v>
      </c>
      <c r="BS542" s="426">
        <v>673</v>
      </c>
      <c r="BT542" s="426">
        <v>633</v>
      </c>
      <c r="BU542" s="426">
        <v>601</v>
      </c>
      <c r="BV542" s="426">
        <v>618</v>
      </c>
      <c r="BW542" s="426">
        <v>595</v>
      </c>
      <c r="BX542" s="426">
        <v>531</v>
      </c>
      <c r="BY542" s="426">
        <v>499</v>
      </c>
      <c r="BZ542" s="426">
        <v>483</v>
      </c>
      <c r="CA542" s="426">
        <v>550</v>
      </c>
      <c r="CB542" s="426">
        <v>494</v>
      </c>
      <c r="CC542" s="426">
        <v>502</v>
      </c>
      <c r="CD542" s="426">
        <v>529</v>
      </c>
      <c r="CE542" s="426">
        <v>499</v>
      </c>
      <c r="CF542" s="426">
        <v>498</v>
      </c>
      <c r="CG542" s="426">
        <v>520</v>
      </c>
      <c r="CH542" s="426">
        <v>577</v>
      </c>
      <c r="CI542" s="426">
        <v>416</v>
      </c>
      <c r="CJ542" s="426">
        <v>430</v>
      </c>
      <c r="CK542" s="426">
        <v>383</v>
      </c>
      <c r="CL542" s="426">
        <v>339</v>
      </c>
      <c r="CM542" s="426">
        <v>302</v>
      </c>
      <c r="CN542" s="426">
        <v>288</v>
      </c>
      <c r="CO542" s="426">
        <v>272</v>
      </c>
      <c r="CP542" s="426">
        <v>261</v>
      </c>
      <c r="CQ542" s="426">
        <v>252</v>
      </c>
      <c r="CR542" s="426">
        <v>199</v>
      </c>
      <c r="CS542" s="426">
        <v>182</v>
      </c>
      <c r="CT542" s="426">
        <v>161</v>
      </c>
      <c r="CU542" s="426">
        <v>162</v>
      </c>
      <c r="CV542" s="426">
        <v>148</v>
      </c>
      <c r="CW542" s="426">
        <v>104</v>
      </c>
      <c r="CX542" s="426">
        <v>81</v>
      </c>
      <c r="CY542" s="426">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 x14ac:dyDescent="0.25">
      <c r="A543" s="52" t="s">
        <v>448</v>
      </c>
      <c r="B543" s="2" t="s">
        <v>401</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26">
        <v>619</v>
      </c>
      <c r="N543" s="426">
        <v>646</v>
      </c>
      <c r="O543" s="426">
        <v>687</v>
      </c>
      <c r="P543" s="426">
        <v>784</v>
      </c>
      <c r="Q543" s="426">
        <v>753</v>
      </c>
      <c r="R543" s="426">
        <v>777</v>
      </c>
      <c r="S543" s="426">
        <v>790</v>
      </c>
      <c r="T543" s="426">
        <v>826</v>
      </c>
      <c r="U543" s="426">
        <v>843</v>
      </c>
      <c r="V543" s="426">
        <v>797</v>
      </c>
      <c r="W543" s="426">
        <v>875</v>
      </c>
      <c r="X543" s="426">
        <v>871</v>
      </c>
      <c r="Y543" s="426">
        <v>888</v>
      </c>
      <c r="Z543" s="426">
        <v>838</v>
      </c>
      <c r="AA543" s="426">
        <v>799</v>
      </c>
      <c r="AB543" s="426">
        <v>768</v>
      </c>
      <c r="AC543" s="426">
        <v>711</v>
      </c>
      <c r="AD543" s="426">
        <v>803</v>
      </c>
      <c r="AE543" s="426">
        <v>754</v>
      </c>
      <c r="AF543" s="426">
        <v>643</v>
      </c>
      <c r="AG543" s="426">
        <v>672</v>
      </c>
      <c r="AH543" s="426">
        <v>677</v>
      </c>
      <c r="AI543" s="426">
        <v>793</v>
      </c>
      <c r="AJ543" s="426">
        <v>749</v>
      </c>
      <c r="AK543" s="426">
        <v>782</v>
      </c>
      <c r="AL543" s="426">
        <v>802</v>
      </c>
      <c r="AM543" s="426">
        <v>820</v>
      </c>
      <c r="AN543" s="426">
        <v>738</v>
      </c>
      <c r="AO543" s="426">
        <v>744</v>
      </c>
      <c r="AP543" s="426">
        <v>854</v>
      </c>
      <c r="AQ543" s="426">
        <v>793</v>
      </c>
      <c r="AR543" s="426">
        <v>791</v>
      </c>
      <c r="AS543" s="426">
        <v>777</v>
      </c>
      <c r="AT543" s="426">
        <v>774</v>
      </c>
      <c r="AU543" s="426">
        <v>835</v>
      </c>
      <c r="AV543" s="426">
        <v>787</v>
      </c>
      <c r="AW543" s="426">
        <v>797</v>
      </c>
      <c r="AX543" s="426">
        <v>803</v>
      </c>
      <c r="AY543" s="426">
        <v>773</v>
      </c>
      <c r="AZ543" s="426">
        <v>901</v>
      </c>
      <c r="BA543" s="426">
        <v>873</v>
      </c>
      <c r="BB543" s="426">
        <v>855</v>
      </c>
      <c r="BC543" s="426">
        <v>780</v>
      </c>
      <c r="BD543" s="426">
        <v>803</v>
      </c>
      <c r="BE543" s="426">
        <v>810</v>
      </c>
      <c r="BF543" s="426">
        <v>822</v>
      </c>
      <c r="BG543" s="426">
        <v>819</v>
      </c>
      <c r="BH543" s="426">
        <v>873</v>
      </c>
      <c r="BI543" s="426">
        <v>945</v>
      </c>
      <c r="BJ543" s="426">
        <v>869</v>
      </c>
      <c r="BK543" s="426">
        <v>846</v>
      </c>
      <c r="BL543" s="426">
        <v>885</v>
      </c>
      <c r="BM543" s="426">
        <v>912</v>
      </c>
      <c r="BN543" s="426">
        <v>982</v>
      </c>
      <c r="BO543" s="426">
        <v>841</v>
      </c>
      <c r="BP543" s="426">
        <v>918</v>
      </c>
      <c r="BQ543" s="426">
        <v>944</v>
      </c>
      <c r="BR543" s="426">
        <v>918</v>
      </c>
      <c r="BS543" s="426">
        <v>933</v>
      </c>
      <c r="BT543" s="426">
        <v>920</v>
      </c>
      <c r="BU543" s="426">
        <v>871</v>
      </c>
      <c r="BV543" s="426">
        <v>850</v>
      </c>
      <c r="BW543" s="426">
        <v>813</v>
      </c>
      <c r="BX543" s="426">
        <v>816</v>
      </c>
      <c r="BY543" s="426">
        <v>776</v>
      </c>
      <c r="BZ543" s="426">
        <v>768</v>
      </c>
      <c r="CA543" s="426">
        <v>786</v>
      </c>
      <c r="CB543" s="426">
        <v>821</v>
      </c>
      <c r="CC543" s="426">
        <v>719</v>
      </c>
      <c r="CD543" s="426">
        <v>703</v>
      </c>
      <c r="CE543" s="426">
        <v>694</v>
      </c>
      <c r="CF543" s="426">
        <v>713</v>
      </c>
      <c r="CG543" s="426">
        <v>749</v>
      </c>
      <c r="CH543" s="426">
        <v>840</v>
      </c>
      <c r="CI543" s="426">
        <v>579</v>
      </c>
      <c r="CJ543" s="426">
        <v>592</v>
      </c>
      <c r="CK543" s="426">
        <v>627</v>
      </c>
      <c r="CL543" s="426">
        <v>526</v>
      </c>
      <c r="CM543" s="426">
        <v>456</v>
      </c>
      <c r="CN543" s="426">
        <v>420</v>
      </c>
      <c r="CO543" s="426">
        <v>391</v>
      </c>
      <c r="CP543" s="426">
        <v>370</v>
      </c>
      <c r="CQ543" s="426">
        <v>345</v>
      </c>
      <c r="CR543" s="426">
        <v>304</v>
      </c>
      <c r="CS543" s="426">
        <v>255</v>
      </c>
      <c r="CT543" s="426">
        <v>218</v>
      </c>
      <c r="CU543" s="426">
        <v>213</v>
      </c>
      <c r="CV543" s="426">
        <v>187</v>
      </c>
      <c r="CW543" s="426">
        <v>156</v>
      </c>
      <c r="CX543" s="426">
        <v>122</v>
      </c>
      <c r="CY543" s="426">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 x14ac:dyDescent="0.25">
      <c r="A544" s="52" t="s">
        <v>448</v>
      </c>
      <c r="B544" s="2" t="s">
        <v>420</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26">
        <v>718</v>
      </c>
      <c r="N544" s="426">
        <v>713</v>
      </c>
      <c r="O544" s="426">
        <v>739</v>
      </c>
      <c r="P544" s="426">
        <v>822</v>
      </c>
      <c r="Q544" s="426">
        <v>808</v>
      </c>
      <c r="R544" s="426">
        <v>793</v>
      </c>
      <c r="S544" s="426">
        <v>764</v>
      </c>
      <c r="T544" s="426">
        <v>871</v>
      </c>
      <c r="U544" s="426">
        <v>863</v>
      </c>
      <c r="V544" s="426">
        <v>917</v>
      </c>
      <c r="W544" s="426">
        <v>932</v>
      </c>
      <c r="X544" s="426">
        <v>916</v>
      </c>
      <c r="Y544" s="426">
        <v>858</v>
      </c>
      <c r="Z544" s="426">
        <v>884</v>
      </c>
      <c r="AA544" s="426">
        <v>866</v>
      </c>
      <c r="AB544" s="426">
        <v>851</v>
      </c>
      <c r="AC544" s="426">
        <v>792</v>
      </c>
      <c r="AD544" s="426">
        <v>756</v>
      </c>
      <c r="AE544" s="426">
        <v>750</v>
      </c>
      <c r="AF544" s="426">
        <v>717</v>
      </c>
      <c r="AG544" s="426">
        <v>692</v>
      </c>
      <c r="AH544" s="426">
        <v>716</v>
      </c>
      <c r="AI544" s="426">
        <v>771</v>
      </c>
      <c r="AJ544" s="426">
        <v>810</v>
      </c>
      <c r="AK544" s="426">
        <v>837</v>
      </c>
      <c r="AL544" s="426">
        <v>806</v>
      </c>
      <c r="AM544" s="426">
        <v>820</v>
      </c>
      <c r="AN544" s="426">
        <v>881</v>
      </c>
      <c r="AO544" s="426">
        <v>810</v>
      </c>
      <c r="AP544" s="426">
        <v>915</v>
      </c>
      <c r="AQ544" s="426">
        <v>845</v>
      </c>
      <c r="AR544" s="426">
        <v>911</v>
      </c>
      <c r="AS544" s="426">
        <v>916</v>
      </c>
      <c r="AT544" s="426">
        <v>852</v>
      </c>
      <c r="AU544" s="426">
        <v>836</v>
      </c>
      <c r="AV544" s="426">
        <v>951</v>
      </c>
      <c r="AW544" s="426">
        <v>838</v>
      </c>
      <c r="AX544" s="426">
        <v>896</v>
      </c>
      <c r="AY544" s="426">
        <v>850</v>
      </c>
      <c r="AZ544" s="426">
        <v>977</v>
      </c>
      <c r="BA544" s="426">
        <v>894</v>
      </c>
      <c r="BB544" s="426">
        <v>855</v>
      </c>
      <c r="BC544" s="426">
        <v>693</v>
      </c>
      <c r="BD544" s="426">
        <v>768</v>
      </c>
      <c r="BE544" s="426">
        <v>782</v>
      </c>
      <c r="BF544" s="426">
        <v>851</v>
      </c>
      <c r="BG544" s="426">
        <v>813</v>
      </c>
      <c r="BH544" s="426">
        <v>920</v>
      </c>
      <c r="BI544" s="426">
        <v>1020</v>
      </c>
      <c r="BJ544" s="426">
        <v>999</v>
      </c>
      <c r="BK544" s="426">
        <v>971</v>
      </c>
      <c r="BL544" s="426">
        <v>956</v>
      </c>
      <c r="BM544" s="426">
        <v>929</v>
      </c>
      <c r="BN544" s="426">
        <v>891</v>
      </c>
      <c r="BO544" s="426">
        <v>976</v>
      </c>
      <c r="BP544" s="426">
        <v>1000</v>
      </c>
      <c r="BQ544" s="426">
        <v>990</v>
      </c>
      <c r="BR544" s="426">
        <v>958</v>
      </c>
      <c r="BS544" s="426">
        <v>932</v>
      </c>
      <c r="BT544" s="426">
        <v>894</v>
      </c>
      <c r="BU544" s="426">
        <v>853</v>
      </c>
      <c r="BV544" s="426">
        <v>757</v>
      </c>
      <c r="BW544" s="426">
        <v>815</v>
      </c>
      <c r="BX544" s="426">
        <v>813</v>
      </c>
      <c r="BY544" s="426">
        <v>803</v>
      </c>
      <c r="BZ544" s="426">
        <v>734</v>
      </c>
      <c r="CA544" s="426">
        <v>762</v>
      </c>
      <c r="CB544" s="426">
        <v>767</v>
      </c>
      <c r="CC544" s="426">
        <v>726</v>
      </c>
      <c r="CD544" s="426">
        <v>706</v>
      </c>
      <c r="CE544" s="426">
        <v>708</v>
      </c>
      <c r="CF544" s="426">
        <v>765</v>
      </c>
      <c r="CG544" s="426">
        <v>780</v>
      </c>
      <c r="CH544" s="426">
        <v>836</v>
      </c>
      <c r="CI544" s="426">
        <v>631</v>
      </c>
      <c r="CJ544" s="426">
        <v>585</v>
      </c>
      <c r="CK544" s="426">
        <v>573</v>
      </c>
      <c r="CL544" s="426">
        <v>585</v>
      </c>
      <c r="CM544" s="426">
        <v>476</v>
      </c>
      <c r="CN544" s="426">
        <v>420</v>
      </c>
      <c r="CO544" s="426">
        <v>392</v>
      </c>
      <c r="CP544" s="426">
        <v>365</v>
      </c>
      <c r="CQ544" s="426">
        <v>354</v>
      </c>
      <c r="CR544" s="426">
        <v>293</v>
      </c>
      <c r="CS544" s="426">
        <v>274</v>
      </c>
      <c r="CT544" s="426">
        <v>239</v>
      </c>
      <c r="CU544" s="426">
        <v>188</v>
      </c>
      <c r="CV544" s="426">
        <v>194</v>
      </c>
      <c r="CW544" s="426">
        <v>157</v>
      </c>
      <c r="CX544" s="426">
        <v>147</v>
      </c>
      <c r="CY544" s="426">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2" customFormat="1" x14ac:dyDescent="0.25">
      <c r="A545" s="178"/>
      <c r="B545" s="188"/>
      <c r="C545" s="178"/>
      <c r="D545" s="180">
        <f>SUM(D523:D544)</f>
        <v>1240703</v>
      </c>
      <c r="E545" s="180">
        <f t="shared" ref="E545:L545" si="210">SUM(E523:E544)</f>
        <v>1299011</v>
      </c>
      <c r="F545" s="180">
        <f t="shared" si="210"/>
        <v>3169586</v>
      </c>
      <c r="G545" s="180">
        <f t="shared" si="210"/>
        <v>1563524</v>
      </c>
      <c r="H545" s="180">
        <f t="shared" si="210"/>
        <v>1606062</v>
      </c>
      <c r="I545" s="180">
        <f t="shared" si="210"/>
        <v>1240703</v>
      </c>
      <c r="J545" s="180">
        <f t="shared" si="210"/>
        <v>1299011</v>
      </c>
      <c r="K545" s="180">
        <f t="shared" si="210"/>
        <v>322821</v>
      </c>
      <c r="L545" s="180">
        <f t="shared" si="210"/>
        <v>307051</v>
      </c>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c r="FU545" s="181"/>
      <c r="FV545" s="181"/>
      <c r="FW545" s="181"/>
      <c r="FX545" s="181"/>
      <c r="FY545" s="181"/>
      <c r="FZ545" s="181"/>
      <c r="GA545" s="181"/>
      <c r="GB545" s="181"/>
      <c r="GC545" s="181"/>
      <c r="GD545" s="181"/>
      <c r="GE545" s="181"/>
      <c r="GF545" s="181"/>
      <c r="GG545" s="181"/>
      <c r="GH545" s="181"/>
      <c r="GI545" s="181"/>
      <c r="GJ545" s="181"/>
      <c r="GK545" s="181"/>
      <c r="GL545" s="180"/>
    </row>
    <row r="546" spans="1:194" s="2" customFormat="1" x14ac:dyDescent="0.25">
      <c r="A546" s="52" t="s">
        <v>449</v>
      </c>
      <c r="B546" s="2" t="s">
        <v>369</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25">
      <c r="A547" s="52" t="s">
        <v>449</v>
      </c>
      <c r="B547" s="2" t="s">
        <v>392</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25">
      <c r="A548" s="52" t="s">
        <v>449</v>
      </c>
      <c r="B548" s="2" t="s">
        <v>393</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25">
      <c r="A549" s="52" t="s">
        <v>449</v>
      </c>
      <c r="B549" s="2" t="s">
        <v>370</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25">
      <c r="A550" s="52" t="s">
        <v>449</v>
      </c>
      <c r="B550" s="2" t="s">
        <v>371</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25">
      <c r="A551" s="52" t="s">
        <v>449</v>
      </c>
      <c r="B551" s="2" t="s">
        <v>394</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25">
      <c r="A552" s="52" t="s">
        <v>449</v>
      </c>
      <c r="B552" s="2" t="s">
        <v>373</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25">
      <c r="A553" s="52" t="s">
        <v>449</v>
      </c>
      <c r="B553" s="2" t="s">
        <v>375</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25">
      <c r="A554" s="52" t="s">
        <v>449</v>
      </c>
      <c r="B554" s="2" t="s">
        <v>376</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25">
      <c r="A555" s="52" t="s">
        <v>449</v>
      </c>
      <c r="B555" s="2" t="s">
        <v>377</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25">
      <c r="A556" s="52" t="s">
        <v>449</v>
      </c>
      <c r="B556" s="2" t="s">
        <v>378</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2" customFormat="1" x14ac:dyDescent="0.25">
      <c r="A557" s="178"/>
      <c r="B557" s="189"/>
      <c r="C557" s="178"/>
      <c r="D557" s="181">
        <f>SUM(D546:D556)</f>
        <v>707833</v>
      </c>
      <c r="E557" s="181">
        <f>SUM(E546:E556)</f>
        <v>746569</v>
      </c>
      <c r="F557" s="181">
        <f>SUM(F546:F556)</f>
        <v>1895510</v>
      </c>
      <c r="G557" s="181">
        <f>SUM(G546:G556)</f>
        <v>934155</v>
      </c>
      <c r="H557" s="181">
        <f>SUM(H546:H556)</f>
        <v>961355</v>
      </c>
      <c r="I557" s="180"/>
      <c r="J557" s="180"/>
      <c r="K557" s="181"/>
      <c r="L557" s="180"/>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0"/>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c r="FU557" s="181"/>
      <c r="FV557" s="181"/>
      <c r="FW557" s="181"/>
      <c r="FX557" s="181"/>
      <c r="FY557" s="181"/>
      <c r="FZ557" s="181"/>
      <c r="GA557" s="181"/>
      <c r="GB557" s="181"/>
      <c r="GC557" s="181"/>
      <c r="GD557" s="181"/>
      <c r="GE557" s="181"/>
      <c r="GF557" s="181"/>
      <c r="GG557" s="181"/>
      <c r="GH557" s="181"/>
      <c r="GI557" s="181"/>
      <c r="GJ557" s="181"/>
      <c r="GK557" s="181"/>
      <c r="GL557" s="180"/>
    </row>
    <row r="558" spans="1:194" x14ac:dyDescent="0.25">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5">
      <c r="C559" s="36" t="s">
        <v>709</v>
      </c>
      <c r="D559" s="454" t="s">
        <v>710</v>
      </c>
      <c r="E559" s="454" t="s">
        <v>711</v>
      </c>
      <c r="F559" s="454" t="s">
        <v>712</v>
      </c>
      <c r="G559" s="454" t="s">
        <v>713</v>
      </c>
      <c r="H559" s="454" t="s">
        <v>714</v>
      </c>
      <c r="I559" s="454" t="s">
        <v>715</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5">
      <c r="C560" s="36" t="s">
        <v>716</v>
      </c>
      <c r="D560" s="921" t="s">
        <v>717</v>
      </c>
      <c r="E560" s="922"/>
      <c r="F560" s="922"/>
      <c r="G560" s="922"/>
      <c r="H560" s="922"/>
      <c r="I560" s="923"/>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5">
      <c r="B561" s="22">
        <v>0</v>
      </c>
      <c r="C561" s="453" t="s">
        <v>726</v>
      </c>
      <c r="D561" s="561"/>
      <c r="E561" s="561"/>
      <c r="F561" s="561"/>
      <c r="G561" s="561"/>
      <c r="H561" s="561"/>
      <c r="I561" s="561"/>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5">
      <c r="B562" s="22">
        <v>1</v>
      </c>
      <c r="C562" s="453" t="s">
        <v>730</v>
      </c>
      <c r="D562" s="561">
        <v>1.0084713674792447</v>
      </c>
      <c r="E562" s="561">
        <v>1.012558766876926</v>
      </c>
      <c r="F562" s="561">
        <v>1.0164706229364109</v>
      </c>
      <c r="G562" s="561">
        <v>1.0201553531133736</v>
      </c>
      <c r="H562" s="561">
        <v>1.0235742483952912</v>
      </c>
      <c r="I562" s="561">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5">
      <c r="B563" s="22">
        <v>2</v>
      </c>
      <c r="C563" s="453" t="s">
        <v>724</v>
      </c>
      <c r="D563" s="561">
        <v>0.97911366120419119</v>
      </c>
      <c r="E563" s="561">
        <v>0.96505936183655627</v>
      </c>
      <c r="F563" s="561">
        <v>0.94901616112315001</v>
      </c>
      <c r="G563" s="561">
        <v>0.93508333165134838</v>
      </c>
      <c r="H563" s="561">
        <v>0.9222712546323395</v>
      </c>
      <c r="I563" s="561">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5">
      <c r="B564" s="22">
        <v>3</v>
      </c>
      <c r="C564" s="453" t="s">
        <v>757</v>
      </c>
      <c r="D564" s="561">
        <v>1.0501308817348203</v>
      </c>
      <c r="E564" s="561">
        <v>1.0744077400525671</v>
      </c>
      <c r="F564" s="561">
        <v>1.0955667624449938</v>
      </c>
      <c r="G564" s="561">
        <v>1.1079906380704687</v>
      </c>
      <c r="H564" s="561">
        <v>1.1107920201570887</v>
      </c>
      <c r="I564" s="561">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5">
      <c r="B565" s="22">
        <v>4</v>
      </c>
      <c r="C565" s="453" t="s">
        <v>718</v>
      </c>
      <c r="D565" s="561">
        <v>1.0021244015688702</v>
      </c>
      <c r="E565" s="561">
        <v>1.0004900238876309</v>
      </c>
      <c r="F565" s="561">
        <v>0.99650095160224417</v>
      </c>
      <c r="G565" s="561">
        <v>0.99110812543288473</v>
      </c>
      <c r="H565" s="561">
        <v>0.9833550643960518</v>
      </c>
      <c r="I565" s="561">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5">
      <c r="B566" s="22">
        <v>5</v>
      </c>
      <c r="C566" s="453" t="s">
        <v>725</v>
      </c>
      <c r="D566" s="561">
        <v>0.99814913154892626</v>
      </c>
      <c r="E566" s="561">
        <v>0.99606252583011812</v>
      </c>
      <c r="F566" s="561">
        <v>0.99474491881213067</v>
      </c>
      <c r="G566" s="561">
        <v>0.99345811966553155</v>
      </c>
      <c r="H566" s="561">
        <v>0.99277041951420775</v>
      </c>
      <c r="I566" s="561">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5">
      <c r="B567" s="22">
        <v>6</v>
      </c>
      <c r="C567" s="453" t="s">
        <v>719</v>
      </c>
      <c r="D567" s="561">
        <v>1.0101978885143685</v>
      </c>
      <c r="E567" s="561">
        <v>1.0158417431734368</v>
      </c>
      <c r="F567" s="561">
        <v>1.0219028338714957</v>
      </c>
      <c r="G567" s="561">
        <v>1.0280568686265446</v>
      </c>
      <c r="H567" s="561">
        <v>1.0345147935582482</v>
      </c>
      <c r="I567" s="561">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5">
      <c r="B568" s="22">
        <v>7</v>
      </c>
      <c r="C568" s="453" t="s">
        <v>720</v>
      </c>
      <c r="D568" s="561">
        <v>1.0179895480811041</v>
      </c>
      <c r="E568" s="561">
        <v>1.0270245103407745</v>
      </c>
      <c r="F568" s="561">
        <v>1.035680022619258</v>
      </c>
      <c r="G568" s="561">
        <v>1.044587575347828</v>
      </c>
      <c r="H568" s="561">
        <v>1.0533108586534927</v>
      </c>
      <c r="I568" s="561">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5">
      <c r="B569" s="22">
        <v>8</v>
      </c>
      <c r="C569" s="453" t="s">
        <v>722</v>
      </c>
      <c r="D569" s="561">
        <v>1.025459585029741</v>
      </c>
      <c r="E569" s="561">
        <v>1.0362883746720766</v>
      </c>
      <c r="F569" s="561">
        <v>1.0456150301831861</v>
      </c>
      <c r="G569" s="561">
        <v>1.0541139681739078</v>
      </c>
      <c r="H569" s="561">
        <v>1.0617518973784201</v>
      </c>
      <c r="I569" s="561">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5">
      <c r="B570" s="22">
        <v>9</v>
      </c>
      <c r="C570" s="453" t="s">
        <v>721</v>
      </c>
      <c r="D570" s="561">
        <v>1.0176309601745992</v>
      </c>
      <c r="E570" s="561">
        <v>1.026721384011922</v>
      </c>
      <c r="F570" s="561">
        <v>1.0353097334700412</v>
      </c>
      <c r="G570" s="561">
        <v>1.0443529299521672</v>
      </c>
      <c r="H570" s="561">
        <v>1.0531269671200225</v>
      </c>
      <c r="I570" s="561">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5">
      <c r="B571" s="22">
        <v>10</v>
      </c>
      <c r="C571" s="453" t="s">
        <v>723</v>
      </c>
      <c r="D571" s="561">
        <v>1.0262012632924804</v>
      </c>
      <c r="E571" s="561">
        <v>1.0377419172898725</v>
      </c>
      <c r="F571" s="561">
        <v>1.0474318943272938</v>
      </c>
      <c r="G571" s="561">
        <v>1.0562455260408008</v>
      </c>
      <c r="H571" s="561">
        <v>1.0640586503393024</v>
      </c>
      <c r="I571" s="561">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5">
      <c r="B572" s="22">
        <v>11</v>
      </c>
      <c r="C572" s="453" t="s">
        <v>754</v>
      </c>
      <c r="D572" s="561">
        <v>1.0178171842817774</v>
      </c>
      <c r="E572" s="561">
        <v>1.0268788054668254</v>
      </c>
      <c r="F572" s="561">
        <v>1.0355020343395345</v>
      </c>
      <c r="G572" s="561">
        <v>1.0444747874619096</v>
      </c>
      <c r="H572" s="561">
        <v>1.0532224668176333</v>
      </c>
      <c r="I572" s="561">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5">
      <c r="B573" s="22">
        <v>12</v>
      </c>
      <c r="C573" s="453" t="s">
        <v>755</v>
      </c>
      <c r="D573" s="561">
        <v>1.0258121374506908</v>
      </c>
      <c r="E573" s="561">
        <v>1.0369793076474678</v>
      </c>
      <c r="F573" s="561">
        <v>1.0464786659194905</v>
      </c>
      <c r="G573" s="561">
        <v>1.0551271917293508</v>
      </c>
      <c r="H573" s="561">
        <v>1.0628483988963264</v>
      </c>
      <c r="I573" s="561">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5">
      <c r="B574" s="22">
        <v>13</v>
      </c>
      <c r="C574" s="453" t="s">
        <v>756</v>
      </c>
      <c r="D574" s="561">
        <v>1.0365941840145607</v>
      </c>
      <c r="E574" s="561">
        <v>1.0572178180655467</v>
      </c>
      <c r="F574" s="561">
        <v>1.0785254514512732</v>
      </c>
      <c r="G574" s="561">
        <v>1.0997637625585324</v>
      </c>
      <c r="H574" s="561">
        <v>1.1201767945027068</v>
      </c>
      <c r="I574" s="561">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5">
      <c r="B575" s="22">
        <v>14</v>
      </c>
      <c r="C575" s="453" t="s">
        <v>758</v>
      </c>
      <c r="D575" s="561">
        <v>1.0078587000810717</v>
      </c>
      <c r="E575" s="561">
        <v>1.0115906567364388</v>
      </c>
      <c r="F575" s="561">
        <v>1.0151771324716494</v>
      </c>
      <c r="G575" s="561">
        <v>1.0185646395951737</v>
      </c>
      <c r="H575" s="561">
        <v>1.0217137974440724</v>
      </c>
      <c r="I575" s="561">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5">
      <c r="B576" s="22">
        <v>15</v>
      </c>
      <c r="C576" s="453"/>
      <c r="D576" s="561"/>
      <c r="E576" s="561"/>
      <c r="F576" s="561"/>
      <c r="G576" s="561"/>
      <c r="H576" s="561"/>
      <c r="I576" s="561"/>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5">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5">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5">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5">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5">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5">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5">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5">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5">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5">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5">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5">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5">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5">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5">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5">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5">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5">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5">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5">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5">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5">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5">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5">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5">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5">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5">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5">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5">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5">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5">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5">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5">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5">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5">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5">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5">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5">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5">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5">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5">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5">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5">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5">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5">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5">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5">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5">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5">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5">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5">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5">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5">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5">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5">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5">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5">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5">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5">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5">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5">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5">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5">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5">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5">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5">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5">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5">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5">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5">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5">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5">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5">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5">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5">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5">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5">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5">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5">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5">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5">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5">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5">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5">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5">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5">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5">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5">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5">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5">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5">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5">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5">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5">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5">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5">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5">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5">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5">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5">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5">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5">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5">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5">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5">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5">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5">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5">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5">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5">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5">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5">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5">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5">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5">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5">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5">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5">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5">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5">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5">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5">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5">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5">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5">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5">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5">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5">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5">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5">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5">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5">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5">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5">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5">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5">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5">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5">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5">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5">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5">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5">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5">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5">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5">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5">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5">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5">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5">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5">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5">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5">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5">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5">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5">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5">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5">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5">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5">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5">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5">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5">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5">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5">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5">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5">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5">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5">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5">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5">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5">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5">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5">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5">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5">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5">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5">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5">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5">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5">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5">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5">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5">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5">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5">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5">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5">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5">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5">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5">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5">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5">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5">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5">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5">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5">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5">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5">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5">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5">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5">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5">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5">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5">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5">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5">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5">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5">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5">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5">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5">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5">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5">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5">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5">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5">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5">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5">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5">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5">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5">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5">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5">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5">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5">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5">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5">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5">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5">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5">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5">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5">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5">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5">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5">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5">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5">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5">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5">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5">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5">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5">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5">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5">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5">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5">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5">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5">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5">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5">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5">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5">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5">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5">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5">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5">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5">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5">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5">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5">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5">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5">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5">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5">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5">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5">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5">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5">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5">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5">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5">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5">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5">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5">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5">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5">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5">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5">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5">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5">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5">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5">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5">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5">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5">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5">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5">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5">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5">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5">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5">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5">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5">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5">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5">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5">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5">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5">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5">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5">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5">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5">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5">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5">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5">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5">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5">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5">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5">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5">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5">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5">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5">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5">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5">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5">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5">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5">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5">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5">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5">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5">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5">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5">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5">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5">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5">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5">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5">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5">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5">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5">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5">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5">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5">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5">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5">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5">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5">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5">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5">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5">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5">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5">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5">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5">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5">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5">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5">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5">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5">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5">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5">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5">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5">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5">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5">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5">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5">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5">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64"/>
  <sheetViews>
    <sheetView showGridLines="0" topLeftCell="A31" zoomScale="80" zoomScaleNormal="80" workbookViewId="0">
      <selection activeCell="B43" sqref="B43"/>
    </sheetView>
  </sheetViews>
  <sheetFormatPr defaultColWidth="9.109375" defaultRowHeight="13.8" x14ac:dyDescent="0.25"/>
  <cols>
    <col min="1" max="1" width="69.109375" style="2" customWidth="1"/>
    <col min="2" max="2" width="19.44140625" style="2" customWidth="1"/>
    <col min="3" max="5" width="15.88671875" style="2" customWidth="1"/>
    <col min="6" max="6" width="3.6640625" style="2" customWidth="1"/>
    <col min="7" max="10" width="16.88671875" style="2" customWidth="1"/>
    <col min="11" max="11" width="3.6640625" style="2" customWidth="1"/>
    <col min="12" max="12" width="83.88671875" style="2" customWidth="1"/>
    <col min="13" max="13" width="3.6640625" style="2" customWidth="1"/>
    <col min="14" max="16384" width="9.109375" style="2"/>
  </cols>
  <sheetData>
    <row r="1" spans="1:14" ht="30" customHeight="1" x14ac:dyDescent="0.25">
      <c r="A1" s="207" t="s">
        <v>922</v>
      </c>
      <c r="B1" s="709"/>
      <c r="C1" s="710"/>
      <c r="D1" s="710"/>
      <c r="E1" s="711"/>
      <c r="F1" s="370" t="s">
        <v>3</v>
      </c>
      <c r="G1" s="370" t="s">
        <v>3</v>
      </c>
      <c r="H1" s="370" t="s">
        <v>3</v>
      </c>
      <c r="I1" s="370" t="s">
        <v>3</v>
      </c>
      <c r="J1" s="370" t="s">
        <v>3</v>
      </c>
      <c r="K1" s="370" t="s">
        <v>3</v>
      </c>
      <c r="L1" s="370" t="s">
        <v>3</v>
      </c>
    </row>
    <row r="2" spans="1:14" ht="30" customHeight="1" x14ac:dyDescent="0.25">
      <c r="A2" s="236" t="s">
        <v>12</v>
      </c>
      <c r="B2" s="409" t="s">
        <v>3</v>
      </c>
      <c r="C2" s="410" t="s">
        <v>3</v>
      </c>
      <c r="D2" s="410" t="s">
        <v>3</v>
      </c>
      <c r="E2" s="370" t="s">
        <v>3</v>
      </c>
      <c r="F2" s="368" t="s">
        <v>3</v>
      </c>
      <c r="G2" s="368" t="s">
        <v>3</v>
      </c>
      <c r="H2" s="368" t="s">
        <v>3</v>
      </c>
      <c r="I2" s="368" t="s">
        <v>3</v>
      </c>
      <c r="J2" s="368" t="s">
        <v>3</v>
      </c>
      <c r="K2" s="368" t="s">
        <v>3</v>
      </c>
      <c r="L2" s="368" t="s">
        <v>3</v>
      </c>
    </row>
    <row r="3" spans="1:14" ht="21.75" customHeight="1" x14ac:dyDescent="0.25">
      <c r="A3" s="466" t="s">
        <v>731</v>
      </c>
      <c r="B3" s="410"/>
      <c r="C3" s="410"/>
      <c r="D3" s="410"/>
      <c r="E3" s="370"/>
      <c r="F3" s="368"/>
      <c r="G3" s="368"/>
      <c r="H3" s="368"/>
    </row>
    <row r="4" spans="1:14" ht="18" customHeight="1" x14ac:dyDescent="0.3">
      <c r="A4" s="726" t="s">
        <v>843</v>
      </c>
      <c r="B4" s="375"/>
      <c r="C4" s="375"/>
      <c r="D4" s="375"/>
      <c r="E4" s="370"/>
      <c r="F4" s="368"/>
      <c r="G4" s="368"/>
      <c r="H4" s="368"/>
    </row>
    <row r="5" spans="1:14" ht="18" customHeight="1" thickBot="1" x14ac:dyDescent="0.35">
      <c r="A5" s="467"/>
      <c r="B5" s="375"/>
      <c r="C5" s="375"/>
      <c r="D5" s="375"/>
      <c r="E5" s="370"/>
      <c r="F5" s="368"/>
      <c r="G5" s="368"/>
      <c r="H5" s="368"/>
    </row>
    <row r="6" spans="1:14" ht="30" customHeight="1" x14ac:dyDescent="0.25">
      <c r="A6" s="237" t="s">
        <v>484</v>
      </c>
      <c r="B6" s="615">
        <v>1</v>
      </c>
      <c r="C6" s="235" t="s">
        <v>3</v>
      </c>
      <c r="D6" s="368" t="s">
        <v>3</v>
      </c>
      <c r="E6" s="368" t="s">
        <v>3</v>
      </c>
      <c r="F6" s="368" t="s">
        <v>3</v>
      </c>
      <c r="G6" s="368" t="s">
        <v>3</v>
      </c>
      <c r="H6" s="368" t="s">
        <v>3</v>
      </c>
      <c r="I6" s="368" t="s">
        <v>3</v>
      </c>
      <c r="J6" s="368" t="s">
        <v>3</v>
      </c>
      <c r="K6" s="368" t="s">
        <v>3</v>
      </c>
      <c r="L6" s="368" t="s">
        <v>3</v>
      </c>
    </row>
    <row r="7" spans="1:14" ht="30" customHeight="1" x14ac:dyDescent="0.25">
      <c r="A7" s="238" t="s">
        <v>485</v>
      </c>
      <c r="B7" s="616" t="s">
        <v>265</v>
      </c>
      <c r="C7" s="235" t="s">
        <v>3</v>
      </c>
      <c r="D7" s="368" t="s">
        <v>3</v>
      </c>
      <c r="E7" s="368" t="s">
        <v>3</v>
      </c>
      <c r="F7" s="368" t="s">
        <v>3</v>
      </c>
      <c r="G7" s="368" t="s">
        <v>3</v>
      </c>
      <c r="H7" s="368" t="s">
        <v>3</v>
      </c>
      <c r="I7" s="368" t="s">
        <v>3</v>
      </c>
      <c r="J7" s="368" t="s">
        <v>3</v>
      </c>
      <c r="K7" s="368" t="s">
        <v>3</v>
      </c>
      <c r="L7" s="368" t="s">
        <v>3</v>
      </c>
    </row>
    <row r="8" spans="1:14" ht="30" customHeight="1" x14ac:dyDescent="0.25">
      <c r="A8" s="238" t="s">
        <v>4</v>
      </c>
      <c r="B8" s="616" t="s">
        <v>14</v>
      </c>
      <c r="C8" s="235" t="s">
        <v>3</v>
      </c>
      <c r="D8" s="368" t="s">
        <v>3</v>
      </c>
      <c r="E8" s="368" t="s">
        <v>3</v>
      </c>
      <c r="F8" s="368" t="s">
        <v>3</v>
      </c>
      <c r="G8" s="368" t="s">
        <v>3</v>
      </c>
      <c r="H8" s="368" t="s">
        <v>3</v>
      </c>
      <c r="I8" s="368" t="s">
        <v>3</v>
      </c>
      <c r="J8" s="368" t="s">
        <v>3</v>
      </c>
      <c r="K8" s="368" t="s">
        <v>3</v>
      </c>
      <c r="L8" s="368" t="s">
        <v>3</v>
      </c>
    </row>
    <row r="9" spans="1:14" ht="30" customHeight="1" thickBot="1" x14ac:dyDescent="0.3">
      <c r="A9" s="558" t="s">
        <v>547</v>
      </c>
      <c r="B9" s="617"/>
      <c r="C9" s="235" t="s">
        <v>3</v>
      </c>
      <c r="D9" s="368" t="s">
        <v>3</v>
      </c>
      <c r="E9" s="368" t="s">
        <v>3</v>
      </c>
      <c r="F9" s="368" t="s">
        <v>3</v>
      </c>
      <c r="G9" s="368" t="s">
        <v>3</v>
      </c>
      <c r="H9" s="368" t="s">
        <v>3</v>
      </c>
      <c r="I9" s="368" t="s">
        <v>3</v>
      </c>
      <c r="J9" s="368" t="s">
        <v>3</v>
      </c>
      <c r="K9" s="368" t="s">
        <v>3</v>
      </c>
      <c r="L9" s="368" t="s">
        <v>3</v>
      </c>
    </row>
    <row r="10" spans="1:14" ht="30" customHeight="1" thickBot="1" x14ac:dyDescent="0.3">
      <c r="A10" s="558" t="s">
        <v>732</v>
      </c>
      <c r="B10" s="617"/>
      <c r="C10" s="235"/>
      <c r="D10" s="368"/>
      <c r="E10" s="368"/>
      <c r="F10" s="368"/>
      <c r="G10" s="368"/>
      <c r="H10" s="368"/>
    </row>
    <row r="11" spans="1:14" ht="14.1" customHeight="1" thickBot="1" x14ac:dyDescent="0.3">
      <c r="A11" s="371" t="s">
        <v>3</v>
      </c>
      <c r="B11" s="372" t="s">
        <v>3</v>
      </c>
      <c r="C11" s="235" t="s">
        <v>3</v>
      </c>
      <c r="D11" s="368" t="s">
        <v>3</v>
      </c>
      <c r="E11" s="368" t="s">
        <v>3</v>
      </c>
      <c r="F11" s="368" t="s">
        <v>3</v>
      </c>
      <c r="G11" s="368" t="s">
        <v>3</v>
      </c>
      <c r="H11" s="368" t="s">
        <v>3</v>
      </c>
      <c r="I11" s="368" t="s">
        <v>3</v>
      </c>
      <c r="J11" s="368" t="s">
        <v>3</v>
      </c>
      <c r="K11" s="368" t="s">
        <v>3</v>
      </c>
      <c r="L11" s="368" t="s">
        <v>3</v>
      </c>
    </row>
    <row r="12" spans="1:14" ht="75" customHeight="1" x14ac:dyDescent="0.3">
      <c r="A12" s="239"/>
      <c r="B12" s="429" t="s">
        <v>563</v>
      </c>
      <c r="C12" s="429" t="s">
        <v>563</v>
      </c>
      <c r="D12" s="430" t="s">
        <v>708</v>
      </c>
      <c r="E12" s="431" t="s">
        <v>708</v>
      </c>
      <c r="F12" s="24"/>
      <c r="G12" s="432" t="s">
        <v>471</v>
      </c>
      <c r="H12" s="433" t="s">
        <v>471</v>
      </c>
      <c r="I12" s="432" t="s">
        <v>564</v>
      </c>
      <c r="J12" s="434" t="s">
        <v>564</v>
      </c>
      <c r="K12" s="428" t="s">
        <v>3</v>
      </c>
      <c r="L12" s="435" t="s">
        <v>430</v>
      </c>
    </row>
    <row r="13" spans="1:14" s="206" customFormat="1" ht="30" customHeight="1" x14ac:dyDescent="0.25">
      <c r="A13" s="472" t="s">
        <v>938</v>
      </c>
      <c r="B13" s="212" t="s">
        <v>470</v>
      </c>
      <c r="C13" s="213" t="s">
        <v>472</v>
      </c>
      <c r="D13" s="212" t="s">
        <v>470</v>
      </c>
      <c r="E13" s="213" t="s">
        <v>472</v>
      </c>
      <c r="G13" s="214" t="s">
        <v>470</v>
      </c>
      <c r="H13" s="213" t="s">
        <v>472</v>
      </c>
      <c r="I13" s="214" t="s">
        <v>470</v>
      </c>
      <c r="J13" s="213" t="s">
        <v>472</v>
      </c>
      <c r="K13" s="368" t="s">
        <v>3</v>
      </c>
      <c r="L13" s="367" t="s">
        <v>3</v>
      </c>
    </row>
    <row r="14" spans="1:14" s="206" customFormat="1" ht="30" customHeight="1" x14ac:dyDescent="0.3">
      <c r="A14" s="628" t="s">
        <v>800</v>
      </c>
      <c r="B14" s="473"/>
      <c r="C14" s="474">
        <f>IF(OR(B10&gt;"",'Population selection'!J23="",),B10,'Population selection'!J14)</f>
        <v>44456850</v>
      </c>
      <c r="D14" s="475"/>
      <c r="E14" s="474">
        <f>C14</f>
        <v>44456850</v>
      </c>
      <c r="G14" s="476"/>
      <c r="H14" s="474">
        <f>C14</f>
        <v>44456850</v>
      </c>
      <c r="I14" s="476"/>
      <c r="J14" s="474">
        <f>E14</f>
        <v>44456850</v>
      </c>
      <c r="K14" s="367" t="s">
        <v>3</v>
      </c>
      <c r="L14" s="720" t="s">
        <v>727</v>
      </c>
      <c r="M14" s="718"/>
      <c r="N14" s="719"/>
    </row>
    <row r="15" spans="1:14" s="206" customFormat="1" ht="30" customHeight="1" x14ac:dyDescent="0.3">
      <c r="A15" s="204" t="s">
        <v>842</v>
      </c>
      <c r="B15" s="477"/>
      <c r="C15" s="474">
        <f>IF(OR(B10&gt;"",'Population selection'!J23="",),B10*'Resource impact over time'!G10,'Population selection'!J14*('Resource impact over time'!G10))</f>
        <v>46263200</v>
      </c>
      <c r="E15" s="474">
        <f>C15</f>
        <v>46263200</v>
      </c>
      <c r="G15" s="400"/>
      <c r="H15" s="474">
        <f>C15</f>
        <v>46263200</v>
      </c>
      <c r="I15" s="476"/>
      <c r="J15" s="478">
        <f>E15</f>
        <v>46263200</v>
      </c>
      <c r="K15" s="367" t="s">
        <v>3</v>
      </c>
      <c r="L15" s="367" t="s">
        <v>3</v>
      </c>
    </row>
    <row r="16" spans="1:14" s="206" customFormat="1" ht="68.25" customHeight="1" x14ac:dyDescent="0.3">
      <c r="A16" s="204" t="s">
        <v>798</v>
      </c>
      <c r="B16" s="559">
        <v>0.114</v>
      </c>
      <c r="C16" s="474">
        <f>C15*B16</f>
        <v>5274004.8</v>
      </c>
      <c r="D16" s="559">
        <v>0.114</v>
      </c>
      <c r="E16" s="474">
        <f>E15*D16</f>
        <v>5274004.8</v>
      </c>
      <c r="G16" s="479">
        <v>0.114</v>
      </c>
      <c r="H16" s="474">
        <f>H15*G16</f>
        <v>5274004.8</v>
      </c>
      <c r="I16" s="621">
        <v>0.114</v>
      </c>
      <c r="J16" s="474">
        <f>J15*I16</f>
        <v>5274004.8</v>
      </c>
      <c r="K16" s="367" t="s">
        <v>3</v>
      </c>
      <c r="L16" s="927" t="s">
        <v>923</v>
      </c>
      <c r="M16" s="928"/>
      <c r="N16" s="712"/>
    </row>
    <row r="17" spans="1:14" s="206" customFormat="1" ht="35.25" customHeight="1" x14ac:dyDescent="0.3">
      <c r="A17" s="204" t="s">
        <v>799</v>
      </c>
      <c r="B17" s="559">
        <v>0.23200000000000001</v>
      </c>
      <c r="C17" s="474">
        <f>C16*B17</f>
        <v>1223569.1136</v>
      </c>
      <c r="D17" s="559">
        <v>0.23200000000000001</v>
      </c>
      <c r="E17" s="474">
        <f>E16*D17</f>
        <v>1223569.1136</v>
      </c>
      <c r="G17" s="479">
        <v>0.23200000000000001</v>
      </c>
      <c r="H17" s="474">
        <f>H16*G17</f>
        <v>1223569.1136</v>
      </c>
      <c r="I17" s="621">
        <v>0.23200000000000001</v>
      </c>
      <c r="J17" s="474">
        <f>J16*I17</f>
        <v>1223569.1136</v>
      </c>
      <c r="K17" s="367" t="s">
        <v>3</v>
      </c>
      <c r="L17" s="929" t="s">
        <v>837</v>
      </c>
      <c r="M17" s="930"/>
      <c r="N17" s="931"/>
    </row>
    <row r="18" spans="1:14" s="206" customFormat="1" ht="111" customHeight="1" x14ac:dyDescent="0.3">
      <c r="A18" s="204" t="s">
        <v>862</v>
      </c>
      <c r="B18" s="559">
        <v>0.03</v>
      </c>
      <c r="C18" s="474">
        <f>C17*B18</f>
        <v>36707.073407999997</v>
      </c>
      <c r="D18" s="559">
        <v>0.03</v>
      </c>
      <c r="E18" s="474">
        <f>E17*D18</f>
        <v>36707.073407999997</v>
      </c>
      <c r="G18" s="479">
        <v>0.03</v>
      </c>
      <c r="H18" s="474">
        <f>H17*G18</f>
        <v>36707.073407999997</v>
      </c>
      <c r="I18" s="621">
        <v>0.03</v>
      </c>
      <c r="J18" s="474">
        <f>J17*I18</f>
        <v>36707.073407999997</v>
      </c>
      <c r="K18" s="367"/>
      <c r="L18" s="933" t="s">
        <v>864</v>
      </c>
      <c r="M18" s="925"/>
      <c r="N18" s="926"/>
    </row>
    <row r="19" spans="1:14" s="206" customFormat="1" ht="46.5" customHeight="1" x14ac:dyDescent="0.3">
      <c r="A19" s="204" t="s">
        <v>863</v>
      </c>
      <c r="B19" s="559">
        <v>0.13</v>
      </c>
      <c r="C19" s="474">
        <f>C18*B19</f>
        <v>4771.9195430399996</v>
      </c>
      <c r="D19" s="559">
        <v>0.13</v>
      </c>
      <c r="E19" s="474">
        <f>E18*D19</f>
        <v>4771.9195430399996</v>
      </c>
      <c r="G19" s="479">
        <v>0.13</v>
      </c>
      <c r="H19" s="474">
        <f>H18*G19</f>
        <v>4771.9195430399996</v>
      </c>
      <c r="I19" s="621">
        <v>0.13</v>
      </c>
      <c r="J19" s="474">
        <f>J18*I19</f>
        <v>4771.9195430399996</v>
      </c>
      <c r="K19" s="367"/>
      <c r="L19" s="933" t="s">
        <v>838</v>
      </c>
      <c r="M19" s="925"/>
      <c r="N19" s="926"/>
    </row>
    <row r="20" spans="1:14" s="206" customFormat="1" ht="30" customHeight="1" x14ac:dyDescent="0.3">
      <c r="A20" s="533" t="s">
        <v>935</v>
      </c>
      <c r="B20" s="621"/>
      <c r="C20" s="627">
        <f>C19</f>
        <v>4771.9195430399996</v>
      </c>
      <c r="D20" s="622"/>
      <c r="E20" s="627">
        <f>E19</f>
        <v>4771.9195430399996</v>
      </c>
      <c r="G20" s="479"/>
      <c r="H20" s="627">
        <f>H19</f>
        <v>4771.9195430399996</v>
      </c>
      <c r="I20" s="622"/>
      <c r="J20" s="627">
        <f>J19</f>
        <v>4771.9195430399996</v>
      </c>
      <c r="K20" s="367"/>
      <c r="L20" s="918"/>
    </row>
    <row r="21" spans="1:14" s="206" customFormat="1" ht="18.600000000000001" customHeight="1" thickBot="1" x14ac:dyDescent="0.35">
      <c r="A21" s="629"/>
      <c r="B21" s="477"/>
      <c r="C21" s="630"/>
      <c r="D21" s="477"/>
      <c r="E21" s="630"/>
      <c r="G21" s="477"/>
      <c r="H21" s="630"/>
      <c r="I21" s="477"/>
      <c r="J21" s="630"/>
      <c r="K21" s="367"/>
      <c r="L21" s="537"/>
    </row>
    <row r="22" spans="1:14" s="206" customFormat="1" ht="30" customHeight="1" x14ac:dyDescent="0.3">
      <c r="A22" s="468" t="s">
        <v>939</v>
      </c>
      <c r="B22" s="469" t="s">
        <v>470</v>
      </c>
      <c r="C22" s="470" t="s">
        <v>472</v>
      </c>
      <c r="D22" s="469" t="s">
        <v>470</v>
      </c>
      <c r="E22" s="470" t="s">
        <v>472</v>
      </c>
      <c r="G22" s="471" t="s">
        <v>470</v>
      </c>
      <c r="H22" s="470" t="s">
        <v>472</v>
      </c>
      <c r="I22" s="471" t="s">
        <v>470</v>
      </c>
      <c r="J22" s="470" t="s">
        <v>472</v>
      </c>
      <c r="K22" s="367" t="s">
        <v>3</v>
      </c>
    </row>
    <row r="23" spans="1:14" s="206" customFormat="1" ht="30" customHeight="1" x14ac:dyDescent="0.3">
      <c r="A23" s="204" t="str">
        <f>A15</f>
        <v>Adult population forecast at 2027/28</v>
      </c>
      <c r="B23" s="623"/>
      <c r="C23" s="626">
        <f>C15</f>
        <v>46263200</v>
      </c>
      <c r="D23" s="624"/>
      <c r="E23" s="626">
        <f>E15</f>
        <v>46263200</v>
      </c>
      <c r="G23" s="625"/>
      <c r="H23" s="626">
        <f>H15</f>
        <v>46263200</v>
      </c>
      <c r="I23" s="624"/>
      <c r="J23" s="626">
        <f>J15</f>
        <v>46263200</v>
      </c>
      <c r="K23" s="367"/>
      <c r="L23" s="537"/>
    </row>
    <row r="24" spans="1:14" s="206" customFormat="1" ht="42.9" customHeight="1" x14ac:dyDescent="0.3">
      <c r="A24" s="204" t="s">
        <v>798</v>
      </c>
      <c r="B24" s="559">
        <v>0.114</v>
      </c>
      <c r="C24" s="626">
        <f>C23*B24</f>
        <v>5274004.8</v>
      </c>
      <c r="D24" s="559">
        <v>0.114</v>
      </c>
      <c r="E24" s="626">
        <f>E23*D24</f>
        <v>5274004.8</v>
      </c>
      <c r="G24" s="479">
        <v>0.114</v>
      </c>
      <c r="H24" s="626">
        <f>H23*G24</f>
        <v>5274004.8</v>
      </c>
      <c r="I24" s="621">
        <v>0.114</v>
      </c>
      <c r="J24" s="626">
        <f>J23*I24</f>
        <v>5274004.8</v>
      </c>
      <c r="K24" s="367"/>
      <c r="L24" s="927" t="s">
        <v>924</v>
      </c>
      <c r="M24" s="928"/>
      <c r="N24" s="712"/>
    </row>
    <row r="25" spans="1:14" s="206" customFormat="1" ht="30" customHeight="1" x14ac:dyDescent="0.3">
      <c r="A25" s="204" t="s">
        <v>802</v>
      </c>
      <c r="B25" s="559">
        <v>0.45600000000000002</v>
      </c>
      <c r="C25" s="474">
        <f>C24*B25</f>
        <v>2404946.1888000001</v>
      </c>
      <c r="D25" s="559">
        <v>0.45600000000000002</v>
      </c>
      <c r="E25" s="474">
        <f>E24*D25</f>
        <v>2404946.1888000001</v>
      </c>
      <c r="G25" s="479">
        <v>0.45600000000000002</v>
      </c>
      <c r="H25" s="474">
        <f>H24*G25</f>
        <v>2404946.1888000001</v>
      </c>
      <c r="I25" s="621">
        <v>0.45600000000000002</v>
      </c>
      <c r="J25" s="474">
        <f>J24*I25</f>
        <v>2404946.1888000001</v>
      </c>
      <c r="K25" s="367"/>
      <c r="L25" s="713" t="s">
        <v>839</v>
      </c>
      <c r="M25" s="714"/>
      <c r="N25" s="712"/>
    </row>
    <row r="26" spans="1:14" s="206" customFormat="1" ht="46.5" customHeight="1" x14ac:dyDescent="0.3">
      <c r="A26" s="204" t="s">
        <v>801</v>
      </c>
      <c r="B26" s="559">
        <v>0.2</v>
      </c>
      <c r="C26" s="474">
        <f>C25*B26</f>
        <v>480989.23776000005</v>
      </c>
      <c r="D26" s="559">
        <v>0.2</v>
      </c>
      <c r="E26" s="474">
        <f>E25*D26</f>
        <v>480989.23776000005</v>
      </c>
      <c r="G26" s="479">
        <v>0.2</v>
      </c>
      <c r="H26" s="474">
        <f>H25*G26</f>
        <v>480989.23776000005</v>
      </c>
      <c r="I26" s="621">
        <v>0.2</v>
      </c>
      <c r="J26" s="474">
        <f>J25*I26</f>
        <v>480989.23776000005</v>
      </c>
      <c r="K26" s="367"/>
      <c r="L26" s="933" t="s">
        <v>838</v>
      </c>
      <c r="M26" s="925"/>
      <c r="N26" s="926"/>
    </row>
    <row r="27" spans="1:14" s="206" customFormat="1" ht="48" customHeight="1" x14ac:dyDescent="0.3">
      <c r="A27" s="204" t="s">
        <v>866</v>
      </c>
      <c r="B27" s="559">
        <v>0.34</v>
      </c>
      <c r="C27" s="474">
        <f>C26*B27</f>
        <v>163536.34083840004</v>
      </c>
      <c r="D27" s="559">
        <v>0.34</v>
      </c>
      <c r="E27" s="474">
        <f>E26*D27</f>
        <v>163536.34083840004</v>
      </c>
      <c r="G27" s="479">
        <v>0.34</v>
      </c>
      <c r="H27" s="474">
        <f>H26*G27</f>
        <v>163536.34083840004</v>
      </c>
      <c r="I27" s="621">
        <v>0.34</v>
      </c>
      <c r="J27" s="474">
        <f>J26*I27</f>
        <v>163536.34083840004</v>
      </c>
      <c r="K27" s="367"/>
      <c r="L27" s="933" t="s">
        <v>838</v>
      </c>
      <c r="M27" s="925"/>
      <c r="N27" s="926"/>
    </row>
    <row r="28" spans="1:14" s="206" customFormat="1" ht="20.399999999999999" customHeight="1" x14ac:dyDescent="0.3">
      <c r="A28" s="677" t="s">
        <v>733</v>
      </c>
      <c r="B28" s="678"/>
      <c r="C28" s="679">
        <f>C27</f>
        <v>163536.34083840004</v>
      </c>
      <c r="D28" s="680"/>
      <c r="E28" s="679">
        <f>E27</f>
        <v>163536.34083840004</v>
      </c>
      <c r="F28" s="481"/>
      <c r="G28" s="681"/>
      <c r="H28" s="679">
        <f>H27</f>
        <v>163536.34083840004</v>
      </c>
      <c r="I28" s="680"/>
      <c r="J28" s="679">
        <f>J27</f>
        <v>163536.34083840004</v>
      </c>
      <c r="K28" s="367" t="s">
        <v>3</v>
      </c>
      <c r="L28" s="715"/>
    </row>
    <row r="29" spans="1:14" s="206" customFormat="1" ht="46.5" customHeight="1" thickBot="1" x14ac:dyDescent="0.35">
      <c r="A29" s="543" t="s">
        <v>859</v>
      </c>
      <c r="B29" s="560">
        <v>9.1999999999999998E-2</v>
      </c>
      <c r="C29" s="631">
        <f>C28*B29</f>
        <v>15045.343357132802</v>
      </c>
      <c r="D29" s="632">
        <v>9.1999999999999998E-2</v>
      </c>
      <c r="E29" s="480">
        <f>E28*D29</f>
        <v>15045.343357132802</v>
      </c>
      <c r="G29" s="487">
        <v>9.1999999999999998E-2</v>
      </c>
      <c r="H29" s="631">
        <f>H28*G29</f>
        <v>15045.343357132802</v>
      </c>
      <c r="I29" s="487">
        <v>9.1999999999999998E-2</v>
      </c>
      <c r="J29" s="480">
        <f>J28*I29</f>
        <v>15045.343357132802</v>
      </c>
      <c r="K29" s="367"/>
      <c r="L29" s="932" t="s">
        <v>855</v>
      </c>
      <c r="M29" s="925"/>
      <c r="N29" s="926"/>
    </row>
    <row r="30" spans="1:14" ht="14.4" thickBot="1" x14ac:dyDescent="0.3">
      <c r="A30" s="368" t="s">
        <v>3</v>
      </c>
      <c r="B30" s="368" t="s">
        <v>3</v>
      </c>
      <c r="C30" s="71"/>
      <c r="D30" s="368" t="s">
        <v>3</v>
      </c>
      <c r="E30" s="368" t="s">
        <v>3</v>
      </c>
      <c r="F30" s="368" t="s">
        <v>3</v>
      </c>
      <c r="G30" s="368" t="s">
        <v>3</v>
      </c>
      <c r="H30" s="368" t="s">
        <v>3</v>
      </c>
      <c r="I30" s="368" t="s">
        <v>3</v>
      </c>
      <c r="J30" s="368" t="s">
        <v>3</v>
      </c>
      <c r="K30" s="368" t="s">
        <v>3</v>
      </c>
      <c r="L30" s="367" t="s">
        <v>3</v>
      </c>
    </row>
    <row r="31" spans="1:14" ht="91.2" customHeight="1" x14ac:dyDescent="0.25">
      <c r="A31" s="708" t="s">
        <v>865</v>
      </c>
      <c r="B31" s="469" t="s">
        <v>470</v>
      </c>
      <c r="C31" s="470" t="s">
        <v>472</v>
      </c>
      <c r="D31" s="469" t="s">
        <v>470</v>
      </c>
      <c r="E31" s="470" t="s">
        <v>472</v>
      </c>
      <c r="F31" s="206"/>
      <c r="G31" s="471" t="s">
        <v>470</v>
      </c>
      <c r="H31" s="470" t="s">
        <v>472</v>
      </c>
      <c r="I31" s="471" t="s">
        <v>470</v>
      </c>
      <c r="J31" s="470" t="s">
        <v>472</v>
      </c>
      <c r="K31" s="368" t="s">
        <v>3</v>
      </c>
      <c r="L31" s="367"/>
    </row>
    <row r="32" spans="1:14" s="206" customFormat="1" ht="24" customHeight="1" x14ac:dyDescent="0.3">
      <c r="A32" s="533" t="s">
        <v>867</v>
      </c>
      <c r="B32" s="745"/>
      <c r="C32" s="627">
        <f>C20</f>
        <v>4771.9195430399996</v>
      </c>
      <c r="D32" s="746"/>
      <c r="E32" s="627">
        <f>E20</f>
        <v>4771.9195430399996</v>
      </c>
      <c r="G32" s="479"/>
      <c r="H32" s="627">
        <f>H20</f>
        <v>4771.9195430399996</v>
      </c>
      <c r="I32" s="746"/>
      <c r="J32" s="627">
        <f>J20</f>
        <v>4771.9195430399996</v>
      </c>
      <c r="K32" s="367"/>
      <c r="L32" s="749"/>
      <c r="M32" s="725"/>
      <c r="N32" s="725"/>
    </row>
    <row r="33" spans="1:14" s="206" customFormat="1" ht="24" customHeight="1" x14ac:dyDescent="0.3">
      <c r="A33" s="204" t="s">
        <v>909</v>
      </c>
      <c r="B33" s="744">
        <v>0</v>
      </c>
      <c r="C33" s="474">
        <f t="shared" ref="C33:C35" si="0">$C$20*B33</f>
        <v>0</v>
      </c>
      <c r="D33" s="744">
        <v>0</v>
      </c>
      <c r="E33" s="474">
        <f>$E$20*D33</f>
        <v>0</v>
      </c>
      <c r="G33" s="479">
        <v>0</v>
      </c>
      <c r="H33" s="474">
        <f>$H$20*G33</f>
        <v>0</v>
      </c>
      <c r="I33" s="479">
        <v>0</v>
      </c>
      <c r="J33" s="474">
        <f>$J$20*I33</f>
        <v>0</v>
      </c>
      <c r="K33" s="367"/>
      <c r="L33" s="747" t="s">
        <v>879</v>
      </c>
      <c r="M33" s="718"/>
      <c r="N33" s="719"/>
    </row>
    <row r="34" spans="1:14" s="206" customFormat="1" ht="24" customHeight="1" x14ac:dyDescent="0.3">
      <c r="A34" s="204" t="s">
        <v>910</v>
      </c>
      <c r="B34" s="744">
        <v>0</v>
      </c>
      <c r="C34" s="474">
        <f t="shared" si="0"/>
        <v>0</v>
      </c>
      <c r="D34" s="744">
        <v>0</v>
      </c>
      <c r="E34" s="474">
        <f>$E$20*D34</f>
        <v>0</v>
      </c>
      <c r="G34" s="479">
        <v>0</v>
      </c>
      <c r="H34" s="474">
        <f>$H$20*G34</f>
        <v>0</v>
      </c>
      <c r="I34" s="479">
        <v>0</v>
      </c>
      <c r="J34" s="474">
        <f>$J$20*I34</f>
        <v>0</v>
      </c>
      <c r="K34" s="367"/>
      <c r="L34" s="747" t="s">
        <v>879</v>
      </c>
      <c r="M34" s="718"/>
      <c r="N34" s="719"/>
    </row>
    <row r="35" spans="1:14" s="206" customFormat="1" ht="24" customHeight="1" x14ac:dyDescent="0.3">
      <c r="A35" s="204" t="s">
        <v>911</v>
      </c>
      <c r="B35" s="744">
        <v>0</v>
      </c>
      <c r="C35" s="474">
        <f t="shared" si="0"/>
        <v>0</v>
      </c>
      <c r="D35" s="744">
        <v>0</v>
      </c>
      <c r="E35" s="474">
        <f t="shared" ref="E35:E38" si="1">$E$20*D35</f>
        <v>0</v>
      </c>
      <c r="G35" s="479">
        <v>0</v>
      </c>
      <c r="H35" s="474">
        <f t="shared" ref="H35:H38" si="2">$H$20*G35</f>
        <v>0</v>
      </c>
      <c r="I35" s="479">
        <v>0</v>
      </c>
      <c r="J35" s="474">
        <f t="shared" ref="J35:J38" si="3">$J$20*I35</f>
        <v>0</v>
      </c>
      <c r="K35" s="367"/>
      <c r="L35" s="747" t="s">
        <v>879</v>
      </c>
      <c r="M35" s="718"/>
      <c r="N35" s="719"/>
    </row>
    <row r="36" spans="1:14" s="206" customFormat="1" ht="24" customHeight="1" x14ac:dyDescent="0.3">
      <c r="A36" s="204" t="s">
        <v>912</v>
      </c>
      <c r="B36" s="744">
        <v>0</v>
      </c>
      <c r="C36" s="474">
        <f>$C$20*B36</f>
        <v>0</v>
      </c>
      <c r="D36" s="744">
        <v>0</v>
      </c>
      <c r="E36" s="474">
        <f t="shared" si="1"/>
        <v>0</v>
      </c>
      <c r="G36" s="479">
        <v>0</v>
      </c>
      <c r="H36" s="474">
        <f t="shared" si="2"/>
        <v>0</v>
      </c>
      <c r="I36" s="479">
        <v>0</v>
      </c>
      <c r="J36" s="474">
        <f t="shared" si="3"/>
        <v>0</v>
      </c>
      <c r="K36" s="367"/>
      <c r="L36" s="747" t="s">
        <v>879</v>
      </c>
      <c r="M36" s="718"/>
      <c r="N36" s="719"/>
    </row>
    <row r="37" spans="1:14" s="206" customFormat="1" ht="24" customHeight="1" x14ac:dyDescent="0.3">
      <c r="A37" s="204" t="s">
        <v>913</v>
      </c>
      <c r="B37" s="744">
        <v>0</v>
      </c>
      <c r="C37" s="474">
        <f>$C$20*B37</f>
        <v>0</v>
      </c>
      <c r="D37" s="744">
        <v>0</v>
      </c>
      <c r="E37" s="474">
        <f t="shared" si="1"/>
        <v>0</v>
      </c>
      <c r="G37" s="479">
        <v>0</v>
      </c>
      <c r="H37" s="474">
        <f t="shared" si="2"/>
        <v>0</v>
      </c>
      <c r="I37" s="479">
        <v>0</v>
      </c>
      <c r="J37" s="474">
        <f t="shared" si="3"/>
        <v>0</v>
      </c>
      <c r="K37" s="367"/>
      <c r="L37" s="747" t="s">
        <v>879</v>
      </c>
      <c r="M37" s="718"/>
      <c r="N37" s="719"/>
    </row>
    <row r="38" spans="1:14" s="206" customFormat="1" ht="24.6" customHeight="1" x14ac:dyDescent="0.3">
      <c r="A38" s="204" t="s">
        <v>868</v>
      </c>
      <c r="B38" s="744">
        <v>0</v>
      </c>
      <c r="C38" s="474">
        <f>$C$20*B38</f>
        <v>0</v>
      </c>
      <c r="D38" s="744">
        <v>0</v>
      </c>
      <c r="E38" s="474">
        <f t="shared" si="1"/>
        <v>0</v>
      </c>
      <c r="G38" s="479">
        <v>0</v>
      </c>
      <c r="H38" s="474">
        <f t="shared" si="2"/>
        <v>0</v>
      </c>
      <c r="I38" s="479">
        <v>0</v>
      </c>
      <c r="J38" s="474">
        <f t="shared" si="3"/>
        <v>0</v>
      </c>
      <c r="K38" s="367"/>
      <c r="L38" s="747" t="s">
        <v>879</v>
      </c>
      <c r="M38" s="718"/>
      <c r="N38" s="719"/>
    </row>
    <row r="39" spans="1:14" s="206" customFormat="1" ht="21.9" customHeight="1" x14ac:dyDescent="0.3">
      <c r="A39" s="533" t="s">
        <v>940</v>
      </c>
      <c r="B39" s="745">
        <f>SUM(B33:B38)</f>
        <v>0</v>
      </c>
      <c r="C39" s="627">
        <f>SUM(C33:C38)</f>
        <v>0</v>
      </c>
      <c r="D39" s="745">
        <f>SUM(D33:D38)</f>
        <v>0</v>
      </c>
      <c r="E39" s="627">
        <f>SUM(E33:E38)</f>
        <v>0</v>
      </c>
      <c r="G39" s="479">
        <f>SUM(G33:G38)</f>
        <v>0</v>
      </c>
      <c r="H39" s="627">
        <f>SUM(H33:H38)</f>
        <v>0</v>
      </c>
      <c r="I39" s="746">
        <f>SUM(I33:I38)</f>
        <v>0</v>
      </c>
      <c r="J39" s="627">
        <f>SUM(J33:J38)</f>
        <v>0</v>
      </c>
      <c r="K39" s="367"/>
      <c r="L39" s="747" t="s">
        <v>878</v>
      </c>
      <c r="M39" s="718"/>
      <c r="N39" s="719"/>
    </row>
    <row r="40" spans="1:14" s="206" customFormat="1" ht="30" customHeight="1" x14ac:dyDescent="0.3">
      <c r="A40" s="533" t="s">
        <v>880</v>
      </c>
      <c r="B40" s="621"/>
      <c r="C40" s="627">
        <f>C29</f>
        <v>15045.343357132802</v>
      </c>
      <c r="D40" s="622"/>
      <c r="E40" s="627">
        <f>E29</f>
        <v>15045.343357132802</v>
      </c>
      <c r="G40" s="479"/>
      <c r="H40" s="627">
        <f>H29</f>
        <v>15045.343357132802</v>
      </c>
      <c r="I40" s="479"/>
      <c r="J40" s="627">
        <f>J29</f>
        <v>15045.343357132802</v>
      </c>
      <c r="K40" s="367" t="s">
        <v>3</v>
      </c>
      <c r="L40" s="367"/>
    </row>
    <row r="41" spans="1:14" s="206" customFormat="1" ht="22.5" customHeight="1" x14ac:dyDescent="0.3">
      <c r="A41" s="204" t="s">
        <v>910</v>
      </c>
      <c r="B41" s="559">
        <v>0</v>
      </c>
      <c r="C41" s="474">
        <f>$C$40*B41</f>
        <v>0</v>
      </c>
      <c r="D41" s="559">
        <v>0</v>
      </c>
      <c r="E41" s="474">
        <f>$E$40*D41</f>
        <v>0</v>
      </c>
      <c r="G41" s="479">
        <v>0</v>
      </c>
      <c r="H41" s="474">
        <f>$H$40*G41</f>
        <v>0</v>
      </c>
      <c r="I41" s="621">
        <v>0</v>
      </c>
      <c r="J41" s="474">
        <f>$J$40*I41</f>
        <v>0</v>
      </c>
      <c r="K41" s="367" t="s">
        <v>3</v>
      </c>
      <c r="L41" s="721" t="s">
        <v>929</v>
      </c>
      <c r="M41" s="724"/>
      <c r="N41" s="723"/>
    </row>
    <row r="42" spans="1:14" s="206" customFormat="1" ht="26.1" customHeight="1" x14ac:dyDescent="0.3">
      <c r="A42" s="204" t="s">
        <v>911</v>
      </c>
      <c r="B42" s="559">
        <v>0</v>
      </c>
      <c r="C42" s="474">
        <f t="shared" ref="C42:C45" si="4">$C$40*B42</f>
        <v>0</v>
      </c>
      <c r="D42" s="559">
        <v>0</v>
      </c>
      <c r="E42" s="474">
        <f>$E$40*D42</f>
        <v>0</v>
      </c>
      <c r="G42" s="479">
        <v>0</v>
      </c>
      <c r="H42" s="474">
        <f t="shared" ref="H42:H45" si="5">$H$40*G42</f>
        <v>0</v>
      </c>
      <c r="I42" s="621">
        <v>0</v>
      </c>
      <c r="J42" s="474">
        <f t="shared" ref="J42:J45" si="6">$J$40*I42</f>
        <v>0</v>
      </c>
      <c r="K42" s="367" t="s">
        <v>3</v>
      </c>
      <c r="L42" s="924" t="s">
        <v>926</v>
      </c>
      <c r="M42" s="925"/>
      <c r="N42" s="926"/>
    </row>
    <row r="43" spans="1:14" s="206" customFormat="1" ht="24" customHeight="1" x14ac:dyDescent="0.3">
      <c r="A43" s="204" t="s">
        <v>912</v>
      </c>
      <c r="B43" s="559">
        <v>0</v>
      </c>
      <c r="C43" s="474">
        <f t="shared" si="4"/>
        <v>0</v>
      </c>
      <c r="D43" s="559">
        <v>0</v>
      </c>
      <c r="E43" s="474">
        <f>$E$40*D43</f>
        <v>0</v>
      </c>
      <c r="G43" s="479">
        <v>0</v>
      </c>
      <c r="H43" s="474">
        <f t="shared" si="5"/>
        <v>0</v>
      </c>
      <c r="I43" s="621">
        <v>0</v>
      </c>
      <c r="J43" s="474">
        <f t="shared" si="6"/>
        <v>0</v>
      </c>
      <c r="K43" s="367" t="s">
        <v>3</v>
      </c>
      <c r="L43" s="722" t="s">
        <v>927</v>
      </c>
      <c r="M43" s="718"/>
      <c r="N43" s="719"/>
    </row>
    <row r="44" spans="1:14" s="206" customFormat="1" ht="27" customHeight="1" x14ac:dyDescent="0.3">
      <c r="A44" s="486" t="s">
        <v>913</v>
      </c>
      <c r="B44" s="559">
        <v>0</v>
      </c>
      <c r="C44" s="474">
        <f t="shared" si="4"/>
        <v>0</v>
      </c>
      <c r="D44" s="559">
        <v>0</v>
      </c>
      <c r="E44" s="474">
        <f>$E$40*D44</f>
        <v>0</v>
      </c>
      <c r="G44" s="479">
        <v>0</v>
      </c>
      <c r="H44" s="474">
        <f t="shared" si="5"/>
        <v>0</v>
      </c>
      <c r="I44" s="621">
        <v>0</v>
      </c>
      <c r="J44" s="474">
        <f t="shared" si="6"/>
        <v>0</v>
      </c>
      <c r="K44" s="367" t="s">
        <v>3</v>
      </c>
      <c r="L44" s="722" t="s">
        <v>927</v>
      </c>
      <c r="M44" s="718"/>
      <c r="N44" s="719"/>
    </row>
    <row r="45" spans="1:14" s="206" customFormat="1" ht="26.4" customHeight="1" x14ac:dyDescent="0.3">
      <c r="A45" s="486" t="s">
        <v>914</v>
      </c>
      <c r="B45" s="559">
        <v>0</v>
      </c>
      <c r="C45" s="474">
        <f t="shared" si="4"/>
        <v>0</v>
      </c>
      <c r="D45" s="559">
        <v>0</v>
      </c>
      <c r="E45" s="474">
        <f>$E$40*D45</f>
        <v>0</v>
      </c>
      <c r="F45" s="652"/>
      <c r="G45" s="479">
        <v>0</v>
      </c>
      <c r="H45" s="474">
        <f t="shared" si="5"/>
        <v>0</v>
      </c>
      <c r="I45" s="621">
        <v>0</v>
      </c>
      <c r="J45" s="474">
        <f t="shared" si="6"/>
        <v>0</v>
      </c>
      <c r="K45" s="367" t="s">
        <v>3</v>
      </c>
      <c r="L45" s="722" t="s">
        <v>928</v>
      </c>
      <c r="M45" s="725"/>
      <c r="N45" s="475"/>
    </row>
    <row r="46" spans="1:14" s="206" customFormat="1" ht="26.1" customHeight="1" x14ac:dyDescent="0.3">
      <c r="A46" s="533" t="s">
        <v>940</v>
      </c>
      <c r="B46" s="746">
        <f>SUM(B41:B45)</f>
        <v>0</v>
      </c>
      <c r="C46" s="627">
        <f>SUM(C41:C45)</f>
        <v>0</v>
      </c>
      <c r="D46" s="746">
        <f>SUM(D41:D45)</f>
        <v>0</v>
      </c>
      <c r="E46" s="627">
        <f>SUM(E41:E45)</f>
        <v>0</v>
      </c>
      <c r="G46" s="479">
        <v>0</v>
      </c>
      <c r="H46" s="627">
        <f>SUM(H41:H45)</f>
        <v>0</v>
      </c>
      <c r="I46" s="621">
        <v>0</v>
      </c>
      <c r="J46" s="627">
        <f>SUM(J41:J45)</f>
        <v>0</v>
      </c>
      <c r="K46" s="367"/>
      <c r="L46" s="722"/>
      <c r="M46" s="725"/>
      <c r="N46" s="475"/>
    </row>
    <row r="47" spans="1:14" s="206" customFormat="1" ht="25.5" customHeight="1" thickBot="1" x14ac:dyDescent="0.35">
      <c r="A47" s="786" t="s">
        <v>826</v>
      </c>
      <c r="B47" s="717"/>
      <c r="C47" s="485">
        <f>C46+C39</f>
        <v>0</v>
      </c>
      <c r="D47" s="717"/>
      <c r="E47" s="485">
        <f>E46+E39</f>
        <v>0</v>
      </c>
      <c r="F47" s="653"/>
      <c r="G47" s="487"/>
      <c r="H47" s="485">
        <f>H46+H39</f>
        <v>0</v>
      </c>
      <c r="I47" s="778"/>
      <c r="J47" s="485">
        <f>J46+J39</f>
        <v>0</v>
      </c>
      <c r="L47" s="747" t="s">
        <v>878</v>
      </c>
      <c r="M47" s="718"/>
      <c r="N47" s="719"/>
    </row>
    <row r="48" spans="1:14" x14ac:dyDescent="0.25">
      <c r="C48" s="73"/>
      <c r="E48" s="73"/>
    </row>
    <row r="50" spans="3:12" ht="14.4" thickBot="1" x14ac:dyDescent="0.3">
      <c r="C50" s="73"/>
    </row>
    <row r="51" spans="3:12" x14ac:dyDescent="0.25">
      <c r="E51" s="73"/>
      <c r="L51" s="482" t="s">
        <v>354</v>
      </c>
    </row>
    <row r="52" spans="3:12" ht="39.6" x14ac:dyDescent="0.25">
      <c r="L52" s="191" t="s">
        <v>704</v>
      </c>
    </row>
    <row r="53" spans="3:12" x14ac:dyDescent="0.25">
      <c r="L53" s="192" t="s">
        <v>380</v>
      </c>
    </row>
    <row r="54" spans="3:12" x14ac:dyDescent="0.25">
      <c r="L54" s="192"/>
    </row>
    <row r="55" spans="3:12" ht="26.4" x14ac:dyDescent="0.25">
      <c r="L55" s="209" t="s">
        <v>705</v>
      </c>
    </row>
    <row r="56" spans="3:12" ht="26.4" x14ac:dyDescent="0.25">
      <c r="L56" s="192" t="s">
        <v>381</v>
      </c>
    </row>
    <row r="57" spans="3:12" x14ac:dyDescent="0.25">
      <c r="L57" s="210"/>
    </row>
    <row r="58" spans="3:12" ht="26.4" x14ac:dyDescent="0.25">
      <c r="L58" s="193" t="s">
        <v>706</v>
      </c>
    </row>
    <row r="59" spans="3:12" x14ac:dyDescent="0.25">
      <c r="L59" s="231" t="s">
        <v>442</v>
      </c>
    </row>
    <row r="60" spans="3:12" x14ac:dyDescent="0.25">
      <c r="L60" s="483"/>
    </row>
    <row r="61" spans="3:12" ht="26.4" x14ac:dyDescent="0.25">
      <c r="L61" s="211" t="s">
        <v>707</v>
      </c>
    </row>
    <row r="62" spans="3:12" ht="26.4" x14ac:dyDescent="0.25">
      <c r="L62" s="192" t="s">
        <v>424</v>
      </c>
    </row>
    <row r="63" spans="3:12" x14ac:dyDescent="0.25">
      <c r="L63" s="190"/>
    </row>
    <row r="64" spans="3:12" ht="14.4" thickBot="1" x14ac:dyDescent="0.3">
      <c r="L64" s="484"/>
    </row>
  </sheetData>
  <sheetProtection algorithmName="SHA-512" hashValue="kWirvBRhvoS5sOEPyHQEv/2eLW/Gwrosv4XDsVdyD1xBmYgQh74xC+Uoj7Of6eHXfcJ8lIpvusCnPZnbHw4hpg==" saltValue="T074i0RfnMK4hChOWAZdWg==" spinCount="100000" sheet="1" objects="1" scenarios="1"/>
  <protectedRanges>
    <protectedRange sqref="B6:B10" name="Range1"/>
    <protectedRange sqref="A9:A10" name="Range2"/>
    <protectedRange sqref="B16:B20" name="Range3"/>
    <protectedRange sqref="D16:D20" name="Range4"/>
    <protectedRange sqref="B24:B29" name="Range5"/>
    <protectedRange sqref="D24:D29" name="Range6"/>
    <protectedRange sqref="G33:G38 I33:I38 B33:B39 D33:D39 B41:B46 D41:D46 G41:G46 I41:I46" name="Range7"/>
  </protectedRanges>
  <dataConsolidate/>
  <mergeCells count="9">
    <mergeCell ref="L42:N42"/>
    <mergeCell ref="L16:M16"/>
    <mergeCell ref="L17:N17"/>
    <mergeCell ref="L24:M24"/>
    <mergeCell ref="L29:N29"/>
    <mergeCell ref="L27:N27"/>
    <mergeCell ref="L26:N26"/>
    <mergeCell ref="L19:N19"/>
    <mergeCell ref="L18:N18"/>
  </mergeCells>
  <dataValidations disablePrompts="1" count="1">
    <dataValidation type="list" allowBlank="1" showInputMessage="1" showErrorMessage="1" sqref="B7" xr:uid="{00000000-0002-0000-0600-000000000000}">
      <formula1>ORGTYPE</formula1>
    </dataValidation>
  </dataValidations>
  <hyperlinks>
    <hyperlink ref="L53" r:id="rId1" xr:uid="{7A7B870A-FF22-43F3-B903-5C32B42B4F2E}"/>
    <hyperlink ref="L56" r:id="rId2" xr:uid="{78CA2500-D599-4851-8EF0-E0894E7EEF72}"/>
    <hyperlink ref="L62" r:id="rId3" xr:uid="{19E8760E-2B0C-4433-BA85-096E43EBB016}"/>
    <hyperlink ref="L59" r:id="rId4" xr:uid="{05FC76C9-BA11-4A53-A949-854ABFCF0296}"/>
    <hyperlink ref="L16" r:id="rId5" display="https://journals.sagepub.com/doi/10.1046/j.1468-2982.2003.00568.x" xr:uid="{7F81DFAB-E544-49F2-ABF3-70773C338509}"/>
    <hyperlink ref="L24" r:id="rId6" display="https://journals.sagepub.com/doi/10.1046/j.1468-2982.2003.00568.x" xr:uid="{264A95FC-8597-4F5E-B946-E6D74A05C970}"/>
  </hyperlinks>
  <pageMargins left="0.31496062992125984" right="0.31496062992125984" top="0.74803149606299213" bottom="0.74803149606299213" header="0.31496062992125984" footer="0.31496062992125984"/>
  <pageSetup paperSize="9" scale="48" fitToHeight="2" orientation="landscape" r:id="rId7"/>
  <ignoredErrors>
    <ignoredError sqref="C17" evalError="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88"/>
  <sheetViews>
    <sheetView showGridLines="0" zoomScale="90" zoomScaleNormal="90" workbookViewId="0">
      <selection activeCell="B17" sqref="B17"/>
    </sheetView>
  </sheetViews>
  <sheetFormatPr defaultColWidth="9.109375" defaultRowHeight="13.2" x14ac:dyDescent="0.25"/>
  <cols>
    <col min="1" max="1" width="39.5546875" style="4" customWidth="1"/>
    <col min="2" max="2" width="29.88671875" style="4" bestFit="1" customWidth="1"/>
    <col min="3" max="3" width="14.88671875" style="4" customWidth="1"/>
    <col min="4" max="4" width="16.6640625" style="4" customWidth="1"/>
    <col min="5" max="5" width="20.109375" style="4" customWidth="1"/>
    <col min="6" max="6" width="15.33203125" style="4" customWidth="1"/>
    <col min="7" max="7" width="16.33203125" style="4" customWidth="1"/>
    <col min="8" max="8" width="14.109375" style="4" customWidth="1"/>
    <col min="9" max="9" width="15.44140625" style="4" customWidth="1"/>
    <col min="10" max="10" width="13.33203125" style="4" customWidth="1"/>
    <col min="11" max="11" width="13.6640625" style="4" customWidth="1"/>
    <col min="12" max="12" width="12.6640625" style="4" customWidth="1"/>
    <col min="13" max="14" width="2.88671875" style="4" customWidth="1"/>
    <col min="15" max="16384" width="9.109375" style="4"/>
  </cols>
  <sheetData>
    <row r="1" spans="1:13" ht="30" customHeight="1" x14ac:dyDescent="0.25">
      <c r="A1" s="557" t="str">
        <f>'Assumptions input'!A1</f>
        <v>Rimegepant for preventing migraine</v>
      </c>
      <c r="B1" s="194"/>
      <c r="C1" s="373" t="s">
        <v>3</v>
      </c>
      <c r="D1" s="373" t="s">
        <v>3</v>
      </c>
      <c r="E1" s="373" t="s">
        <v>3</v>
      </c>
      <c r="F1" s="373" t="s">
        <v>3</v>
      </c>
      <c r="G1" s="373" t="s">
        <v>3</v>
      </c>
      <c r="H1" s="373" t="s">
        <v>3</v>
      </c>
      <c r="I1" s="373" t="s">
        <v>3</v>
      </c>
      <c r="J1" s="374" t="s">
        <v>3</v>
      </c>
      <c r="K1" s="374"/>
      <c r="L1" s="374"/>
      <c r="M1" s="374" t="s">
        <v>3</v>
      </c>
    </row>
    <row r="2" spans="1:13" ht="26.25" customHeight="1" x14ac:dyDescent="0.4">
      <c r="A2" s="498" t="s">
        <v>275</v>
      </c>
      <c r="B2" s="499"/>
      <c r="C2" s="373" t="s">
        <v>3</v>
      </c>
      <c r="D2" s="373" t="s">
        <v>3</v>
      </c>
      <c r="E2" s="373" t="s">
        <v>3</v>
      </c>
      <c r="F2" s="373" t="s">
        <v>3</v>
      </c>
      <c r="G2" s="373" t="s">
        <v>3</v>
      </c>
      <c r="H2" s="373" t="s">
        <v>3</v>
      </c>
      <c r="I2" s="373" t="s">
        <v>3</v>
      </c>
      <c r="J2" s="374" t="s">
        <v>3</v>
      </c>
      <c r="K2" s="374"/>
      <c r="L2" s="374"/>
      <c r="M2" s="374" t="s">
        <v>3</v>
      </c>
    </row>
    <row r="3" spans="1:13" ht="26.25" customHeight="1" x14ac:dyDescent="0.4">
      <c r="A3" s="732"/>
      <c r="B3" s="733"/>
      <c r="C3" s="373"/>
      <c r="D3" s="373"/>
      <c r="E3" s="373"/>
      <c r="F3" s="373"/>
      <c r="G3" s="373"/>
      <c r="H3" s="373"/>
      <c r="I3" s="373"/>
      <c r="J3" s="374"/>
      <c r="K3" s="374"/>
      <c r="L3" s="374"/>
      <c r="M3" s="374"/>
    </row>
    <row r="4" spans="1:13" ht="17.399999999999999" customHeight="1" x14ac:dyDescent="0.3">
      <c r="A4" s="651" t="s">
        <v>860</v>
      </c>
      <c r="B4" s="376"/>
      <c r="C4" s="376"/>
      <c r="D4" s="376"/>
      <c r="E4" s="373"/>
      <c r="F4" s="373"/>
      <c r="G4" s="373"/>
      <c r="H4" s="373"/>
      <c r="I4" s="373"/>
      <c r="J4" s="374"/>
      <c r="K4" s="374"/>
      <c r="L4" s="374"/>
      <c r="M4" s="374"/>
    </row>
    <row r="5" spans="1:13" ht="21" customHeight="1" x14ac:dyDescent="0.3">
      <c r="A5" s="734" t="s">
        <v>869</v>
      </c>
      <c r="B5"/>
      <c r="C5"/>
      <c r="D5"/>
      <c r="E5"/>
      <c r="F5"/>
      <c r="G5"/>
      <c r="H5"/>
      <c r="I5" s="591"/>
      <c r="J5"/>
      <c r="K5"/>
      <c r="L5"/>
      <c r="M5" s="374"/>
    </row>
    <row r="6" spans="1:13" ht="59.4" customHeight="1" x14ac:dyDescent="0.3">
      <c r="A6" s="643" t="s">
        <v>861</v>
      </c>
      <c r="B6" s="735" t="s">
        <v>792</v>
      </c>
      <c r="C6" s="735" t="s">
        <v>933</v>
      </c>
      <c r="D6" s="735" t="s">
        <v>883</v>
      </c>
      <c r="E6" s="633" t="s">
        <v>932</v>
      </c>
      <c r="F6" s="633" t="s">
        <v>934</v>
      </c>
      <c r="G6" s="633" t="s">
        <v>807</v>
      </c>
      <c r="H6" s="633" t="s">
        <v>821</v>
      </c>
      <c r="I6" s="735" t="s">
        <v>901</v>
      </c>
      <c r="J6" s="742"/>
      <c r="K6" s="742"/>
      <c r="L6" s="742"/>
      <c r="M6" s="374"/>
    </row>
    <row r="7" spans="1:13" ht="33" customHeight="1" x14ac:dyDescent="0.3">
      <c r="A7" s="741" t="s">
        <v>900</v>
      </c>
      <c r="B7" s="736">
        <v>75</v>
      </c>
      <c r="C7" s="737">
        <f>28/2</f>
        <v>14</v>
      </c>
      <c r="D7" s="885">
        <f>(7*12)/28</f>
        <v>3</v>
      </c>
      <c r="E7" s="920">
        <f>ROUNDUP((C7*D7)/8,0)</f>
        <v>6</v>
      </c>
      <c r="F7" s="644">
        <v>103.2</v>
      </c>
      <c r="G7" s="637">
        <v>0.2</v>
      </c>
      <c r="H7" s="743">
        <f>E7*F7</f>
        <v>619.20000000000005</v>
      </c>
      <c r="I7" s="743">
        <f t="shared" ref="I7:I8" si="0">H7*(100%+G7)</f>
        <v>743.04000000000008</v>
      </c>
      <c r="J7" s="165"/>
      <c r="K7" s="738"/>
      <c r="L7" s="738"/>
      <c r="M7" s="374"/>
    </row>
    <row r="8" spans="1:13" ht="30.6" customHeight="1" x14ac:dyDescent="0.3">
      <c r="A8" s="741" t="s">
        <v>882</v>
      </c>
      <c r="B8" s="736">
        <v>75</v>
      </c>
      <c r="C8" s="737">
        <f>28/2</f>
        <v>14</v>
      </c>
      <c r="D8" s="885">
        <f>(7*32.6)/28</f>
        <v>8.15</v>
      </c>
      <c r="E8" s="920">
        <f>ROUNDUP((C8*D8)/8,0)</f>
        <v>15</v>
      </c>
      <c r="F8" s="644">
        <v>103.2</v>
      </c>
      <c r="G8" s="637">
        <v>0.2</v>
      </c>
      <c r="H8" s="743">
        <f>E8*F8</f>
        <v>1548</v>
      </c>
      <c r="I8" s="743">
        <f t="shared" si="0"/>
        <v>1857.6</v>
      </c>
      <c r="J8" s="165"/>
      <c r="K8" s="738"/>
      <c r="L8" s="738"/>
      <c r="M8" s="374"/>
    </row>
    <row r="9" spans="1:13" ht="21" customHeight="1" x14ac:dyDescent="0.3">
      <c r="A9" s="697" t="s">
        <v>936</v>
      </c>
      <c r="B9" s="638"/>
      <c r="C9" s="638" t="s">
        <v>3</v>
      </c>
      <c r="D9" s="638" t="s">
        <v>3</v>
      </c>
      <c r="E9" s="638" t="s">
        <v>3</v>
      </c>
      <c r="F9" s="154"/>
      <c r="G9" s="638" t="s">
        <v>3</v>
      </c>
      <c r="H9" s="739">
        <f>SUM(H7:H8)</f>
        <v>2167.1999999999998</v>
      </c>
      <c r="I9" s="739">
        <f>SUM(I7:I8)</f>
        <v>2600.64</v>
      </c>
      <c r="J9" s="753"/>
      <c r="K9" s="694"/>
      <c r="L9" s="694"/>
      <c r="M9" s="374"/>
    </row>
    <row r="10" spans="1:13" ht="21" customHeight="1" x14ac:dyDescent="0.3">
      <c r="A10" s="697" t="s">
        <v>898</v>
      </c>
      <c r="B10" s="638"/>
      <c r="C10" s="638"/>
      <c r="D10" s="641"/>
      <c r="E10" s="641"/>
      <c r="F10" s="154"/>
      <c r="G10" s="641"/>
      <c r="H10" s="154"/>
      <c r="I10" s="639"/>
      <c r="J10" s="753"/>
      <c r="K10" s="738"/>
      <c r="L10" s="740"/>
      <c r="M10" s="374"/>
    </row>
    <row r="11" spans="1:13" ht="21" customHeight="1" x14ac:dyDescent="0.3">
      <c r="A11" s="697" t="s">
        <v>930</v>
      </c>
      <c r="B11" s="638"/>
      <c r="C11" s="641"/>
      <c r="D11" s="641"/>
      <c r="E11" s="641"/>
      <c r="F11" s="154"/>
      <c r="G11" s="641"/>
      <c r="H11" s="154"/>
      <c r="I11" s="639"/>
      <c r="J11" s="753"/>
      <c r="K11" s="738"/>
      <c r="L11" s="740"/>
      <c r="M11" s="374"/>
    </row>
    <row r="12" spans="1:13" ht="21" customHeight="1" x14ac:dyDescent="0.3">
      <c r="A12" s="640" t="s">
        <v>458</v>
      </c>
      <c r="B12" s="641"/>
      <c r="C12" s="641"/>
      <c r="D12" s="641"/>
      <c r="E12" s="641"/>
      <c r="F12" s="641"/>
      <c r="G12" s="641"/>
      <c r="H12" s="641"/>
      <c r="I12" s="165"/>
      <c r="J12" s="753"/>
      <c r="K12" s="738"/>
      <c r="L12" s="694"/>
      <c r="M12" s="374"/>
    </row>
    <row r="13" spans="1:13" ht="40.5" customHeight="1" x14ac:dyDescent="0.3">
      <c r="A13" s="936" t="s">
        <v>810</v>
      </c>
      <c r="B13" s="937"/>
      <c r="C13" s="937"/>
      <c r="D13" s="937"/>
      <c r="E13" s="938"/>
      <c r="F13" s="633" t="s">
        <v>814</v>
      </c>
      <c r="G13" s="633" t="s">
        <v>815</v>
      </c>
      <c r="H13" s="735" t="s">
        <v>902</v>
      </c>
      <c r="I13" s="742"/>
      <c r="J13" s="753"/>
      <c r="K13" s="738"/>
      <c r="L13" s="694"/>
      <c r="M13" s="374"/>
    </row>
    <row r="14" spans="1:13" ht="34.5" customHeight="1" x14ac:dyDescent="0.3">
      <c r="A14" s="936" t="s">
        <v>942</v>
      </c>
      <c r="B14" s="937"/>
      <c r="C14" s="937"/>
      <c r="D14" s="937"/>
      <c r="E14" s="938"/>
      <c r="F14" s="644">
        <v>0</v>
      </c>
      <c r="G14" s="728"/>
      <c r="H14" s="872">
        <f>IF(F7="","£0",G14*F14)</f>
        <v>0</v>
      </c>
      <c r="I14" s="620"/>
      <c r="J14" s="753"/>
      <c r="K14" s="738"/>
      <c r="L14" s="694"/>
      <c r="M14" s="374"/>
    </row>
    <row r="15" spans="1:13" ht="21" customHeight="1" x14ac:dyDescent="0.3">
      <c r="A15" s="942" t="s">
        <v>941</v>
      </c>
      <c r="B15" s="935"/>
      <c r="C15" s="935"/>
      <c r="D15" s="935"/>
      <c r="E15" s="935"/>
      <c r="F15" s="935"/>
      <c r="G15" s="935"/>
      <c r="H15" s="935"/>
      <c r="I15" s="662"/>
      <c r="J15" s="753"/>
      <c r="K15" s="738"/>
      <c r="L15" s="694"/>
      <c r="M15" s="374"/>
    </row>
    <row r="16" spans="1:13" s="5" customFormat="1" ht="14.4" x14ac:dyDescent="0.3">
      <c r="A16" s="375" t="s">
        <v>3</v>
      </c>
      <c r="B16" s="376" t="s">
        <v>3</v>
      </c>
      <c r="C16" s="376" t="s">
        <v>3</v>
      </c>
      <c r="D16" s="376" t="s">
        <v>3</v>
      </c>
      <c r="E16" s="373" t="s">
        <v>3</v>
      </c>
      <c r="F16" s="373" t="s">
        <v>3</v>
      </c>
      <c r="G16" s="373" t="s">
        <v>3</v>
      </c>
      <c r="H16" s="153"/>
      <c r="I16" s="373" t="s">
        <v>3</v>
      </c>
      <c r="J16" s="374" t="s">
        <v>3</v>
      </c>
      <c r="K16" s="374"/>
      <c r="L16" s="374"/>
      <c r="M16" s="374" t="s">
        <v>3</v>
      </c>
    </row>
    <row r="17" spans="1:13" s="5" customFormat="1" ht="14.4" x14ac:dyDescent="0.3">
      <c r="A17" s="651" t="s">
        <v>887</v>
      </c>
      <c r="B17" s="376"/>
      <c r="C17" s="376"/>
      <c r="D17" s="376"/>
      <c r="E17" s="373"/>
      <c r="F17" s="373"/>
      <c r="G17" s="373"/>
      <c r="H17" s="153"/>
      <c r="I17" s="373"/>
      <c r="J17" s="374"/>
      <c r="K17" s="154"/>
      <c r="L17" s="374"/>
      <c r="M17" s="374"/>
    </row>
    <row r="18" spans="1:13" s="5" customFormat="1" ht="14.4" x14ac:dyDescent="0.3">
      <c r="A18" s="651"/>
      <c r="B18" s="376"/>
      <c r="C18" s="376"/>
      <c r="D18" s="376"/>
      <c r="E18" s="373"/>
      <c r="F18" s="373"/>
      <c r="G18" s="373"/>
      <c r="H18" s="153"/>
      <c r="I18" s="373"/>
      <c r="J18" s="374"/>
      <c r="K18" s="374"/>
      <c r="L18" s="374"/>
      <c r="M18" s="374"/>
    </row>
    <row r="19" spans="1:13" s="5" customFormat="1" ht="14.4" x14ac:dyDescent="0.3">
      <c r="A19" s="651" t="s">
        <v>813</v>
      </c>
      <c r="B19" s="376"/>
      <c r="C19" s="376"/>
      <c r="D19" s="376"/>
      <c r="E19" s="373"/>
      <c r="F19" s="373"/>
      <c r="G19" s="373"/>
      <c r="H19" s="373"/>
      <c r="I19" s="373"/>
      <c r="J19" s="374"/>
      <c r="K19" s="374"/>
      <c r="L19" s="374"/>
      <c r="M19" s="374"/>
    </row>
    <row r="20" spans="1:13" s="5" customFormat="1" ht="43.2" x14ac:dyDescent="0.3">
      <c r="A20" s="643" t="s">
        <v>804</v>
      </c>
      <c r="B20" s="633" t="s">
        <v>792</v>
      </c>
      <c r="C20" s="633" t="s">
        <v>805</v>
      </c>
      <c r="D20" s="633" t="s">
        <v>916</v>
      </c>
      <c r="E20" s="633" t="s">
        <v>931</v>
      </c>
      <c r="F20" s="633" t="s">
        <v>821</v>
      </c>
      <c r="G20" s="633" t="s">
        <v>807</v>
      </c>
      <c r="H20" s="735" t="s">
        <v>903</v>
      </c>
      <c r="I20" s="742"/>
      <c r="J20" s="742"/>
      <c r="K20" s="374"/>
      <c r="L20" s="374"/>
      <c r="M20" s="374"/>
    </row>
    <row r="21" spans="1:13" s="5" customFormat="1" ht="28.8" x14ac:dyDescent="0.3">
      <c r="A21" s="634" t="s">
        <v>809</v>
      </c>
      <c r="B21" s="635">
        <v>100</v>
      </c>
      <c r="C21" s="635">
        <v>1</v>
      </c>
      <c r="D21" s="728">
        <f>(365.25/7)/12</f>
        <v>4.3482142857142856</v>
      </c>
      <c r="E21" s="644"/>
      <c r="F21" s="644">
        <f>D21*E21</f>
        <v>0</v>
      </c>
      <c r="G21" s="637">
        <v>0.2</v>
      </c>
      <c r="H21" s="881">
        <f>F21*(100%+G21)</f>
        <v>0</v>
      </c>
      <c r="I21" s="6"/>
      <c r="J21" s="570"/>
      <c r="K21" s="374"/>
      <c r="L21" s="374"/>
      <c r="M21" s="374"/>
    </row>
    <row r="22" spans="1:13" s="5" customFormat="1" ht="14.4" x14ac:dyDescent="0.3">
      <c r="A22" s="662"/>
      <c r="B22" s="641"/>
      <c r="C22" s="641"/>
      <c r="D22" s="649"/>
      <c r="E22" s="648"/>
      <c r="F22" s="648"/>
      <c r="G22" s="756"/>
      <c r="H22" s="911"/>
      <c r="I22" s="6"/>
      <c r="J22" s="570"/>
      <c r="K22" s="374"/>
      <c r="L22" s="374"/>
      <c r="M22" s="374"/>
    </row>
    <row r="23" spans="1:13" s="5" customFormat="1" ht="33.9" customHeight="1" x14ac:dyDescent="0.3">
      <c r="A23" s="942" t="s">
        <v>917</v>
      </c>
      <c r="B23" s="935"/>
      <c r="C23" s="935"/>
      <c r="D23" s="935"/>
      <c r="E23" s="935"/>
      <c r="F23" s="935"/>
      <c r="G23" s="935"/>
      <c r="H23" s="935"/>
      <c r="I23" s="6"/>
      <c r="J23" s="570"/>
      <c r="K23" s="374"/>
      <c r="L23" s="374"/>
      <c r="M23" s="374"/>
    </row>
    <row r="24" spans="1:13" s="5" customFormat="1" ht="14.4" x14ac:dyDescent="0.3">
      <c r="A24" s="919" t="s">
        <v>915</v>
      </c>
      <c r="B24" s="641"/>
      <c r="C24" s="641"/>
      <c r="D24" s="649"/>
      <c r="E24" s="648"/>
      <c r="F24" s="648"/>
      <c r="G24" s="756"/>
      <c r="H24" s="911"/>
      <c r="I24" s="6"/>
      <c r="J24" s="570"/>
      <c r="K24" s="374"/>
      <c r="L24" s="374"/>
      <c r="M24" s="374"/>
    </row>
    <row r="25" spans="1:13" s="5" customFormat="1" ht="14.4" x14ac:dyDescent="0.3">
      <c r="A25" s="375"/>
      <c r="B25" s="638"/>
      <c r="C25" s="638"/>
      <c r="D25" s="638"/>
      <c r="E25" s="638"/>
      <c r="F25" s="638"/>
      <c r="G25" s="638"/>
      <c r="H25" s="639"/>
      <c r="I25" s="374"/>
      <c r="J25" s="374"/>
      <c r="K25" s="374"/>
      <c r="L25" s="374"/>
      <c r="M25" s="374"/>
    </row>
    <row r="26" spans="1:13" s="5" customFormat="1" ht="14.4" x14ac:dyDescent="0.3">
      <c r="A26" s="640" t="s">
        <v>458</v>
      </c>
      <c r="B26" s="641"/>
      <c r="C26" s="641"/>
      <c r="D26" s="641"/>
      <c r="E26" s="641"/>
      <c r="F26" s="641"/>
      <c r="G26" s="641"/>
      <c r="H26" s="641"/>
      <c r="I26" s="374"/>
      <c r="J26" s="374"/>
      <c r="K26" s="374"/>
      <c r="L26" s="374"/>
      <c r="M26" s="374"/>
    </row>
    <row r="27" spans="1:13" s="5" customFormat="1" ht="28.8" x14ac:dyDescent="0.3">
      <c r="A27" s="936" t="s">
        <v>810</v>
      </c>
      <c r="B27" s="937"/>
      <c r="C27" s="937"/>
      <c r="D27" s="937"/>
      <c r="E27" s="938"/>
      <c r="F27" s="633" t="s">
        <v>811</v>
      </c>
      <c r="G27" s="633" t="s">
        <v>904</v>
      </c>
      <c r="H27" s="735" t="s">
        <v>890</v>
      </c>
      <c r="I27" s="742"/>
      <c r="J27" s="742"/>
      <c r="K27" s="374"/>
      <c r="L27" s="374"/>
      <c r="M27" s="374"/>
    </row>
    <row r="28" spans="1:13" s="5" customFormat="1" ht="14.4" customHeight="1" x14ac:dyDescent="0.3">
      <c r="A28" s="936" t="s">
        <v>840</v>
      </c>
      <c r="B28" s="937"/>
      <c r="C28" s="937"/>
      <c r="D28" s="937"/>
      <c r="E28" s="938"/>
      <c r="F28" s="644">
        <v>226.05</v>
      </c>
      <c r="G28" s="728">
        <f>D21</f>
        <v>4.3482142857142856</v>
      </c>
      <c r="H28" s="883" t="str">
        <f>IF(E21="","0",G28*F28)</f>
        <v>0</v>
      </c>
      <c r="I28" s="639"/>
      <c r="J28" s="573"/>
      <c r="K28" s="374"/>
      <c r="L28" s="374"/>
      <c r="M28" s="374"/>
    </row>
    <row r="29" spans="1:13" s="5" customFormat="1" ht="14.4" x14ac:dyDescent="0.3">
      <c r="A29" s="651"/>
      <c r="B29" s="376"/>
      <c r="C29" s="376"/>
      <c r="D29" s="376"/>
      <c r="E29" s="373"/>
      <c r="F29" s="373"/>
      <c r="G29" s="373"/>
      <c r="H29" s="373"/>
      <c r="I29" s="373"/>
      <c r="J29" s="374"/>
      <c r="K29" s="374"/>
      <c r="L29" s="374"/>
      <c r="M29" s="374"/>
    </row>
    <row r="30" spans="1:13" s="889" customFormat="1" ht="14.4" x14ac:dyDescent="0.3">
      <c r="A30" s="705"/>
      <c r="B30" s="901"/>
      <c r="C30" s="888"/>
      <c r="D30" s="888"/>
      <c r="E30" s="888"/>
      <c r="F30" s="888"/>
      <c r="G30" s="888"/>
      <c r="H30" s="888"/>
      <c r="I30" s="641"/>
      <c r="J30" s="641"/>
      <c r="K30" s="641"/>
      <c r="L30" s="641"/>
      <c r="M30" s="641"/>
    </row>
    <row r="31" spans="1:13" s="889" customFormat="1" ht="14.4" x14ac:dyDescent="0.3">
      <c r="A31" s="705"/>
      <c r="B31" s="888"/>
      <c r="C31" s="888"/>
      <c r="D31" s="888"/>
      <c r="E31" s="888"/>
      <c r="F31" s="888"/>
      <c r="G31" s="888"/>
      <c r="H31" s="888"/>
      <c r="I31" s="641"/>
      <c r="J31" s="641"/>
      <c r="K31" s="641"/>
      <c r="L31" s="641"/>
      <c r="M31" s="641"/>
    </row>
    <row r="32" spans="1:13" s="889" customFormat="1" ht="14.4" x14ac:dyDescent="0.3">
      <c r="A32" s="593" t="s">
        <v>870</v>
      </c>
      <c r="B32" s="890"/>
      <c r="C32" s="890"/>
      <c r="D32" s="890"/>
      <c r="E32" s="890"/>
      <c r="F32" s="890"/>
      <c r="G32" s="890"/>
      <c r="H32" s="890"/>
      <c r="I32" s="890"/>
      <c r="J32" s="891"/>
      <c r="K32" s="892"/>
      <c r="L32" s="641"/>
      <c r="M32" s="641"/>
    </row>
    <row r="33" spans="1:13" s="889" customFormat="1" ht="57.6" x14ac:dyDescent="0.3">
      <c r="A33" s="902"/>
      <c r="B33" s="641"/>
      <c r="C33" s="903" t="s">
        <v>792</v>
      </c>
      <c r="D33" s="903" t="s">
        <v>793</v>
      </c>
      <c r="E33" s="903" t="s">
        <v>794</v>
      </c>
      <c r="F33" s="903" t="s">
        <v>918</v>
      </c>
      <c r="G33" s="904" t="s">
        <v>891</v>
      </c>
      <c r="H33" s="633" t="s">
        <v>806</v>
      </c>
      <c r="I33" s="633" t="s">
        <v>807</v>
      </c>
      <c r="J33" s="633" t="s">
        <v>889</v>
      </c>
      <c r="K33" s="641"/>
      <c r="L33" s="641"/>
      <c r="M33" s="641"/>
    </row>
    <row r="34" spans="1:13" s="889" customFormat="1" ht="14.4" x14ac:dyDescent="0.3">
      <c r="A34" s="905" t="s">
        <v>795</v>
      </c>
      <c r="B34" s="906"/>
      <c r="C34" s="635">
        <v>140</v>
      </c>
      <c r="D34" s="635">
        <v>1</v>
      </c>
      <c r="E34" s="907">
        <f>D34*C34</f>
        <v>140</v>
      </c>
      <c r="F34" s="644"/>
      <c r="G34" s="908">
        <f>365/28</f>
        <v>13.035714285714286</v>
      </c>
      <c r="H34" s="873">
        <f>G34*F34*D34</f>
        <v>0</v>
      </c>
      <c r="I34" s="893">
        <v>0</v>
      </c>
      <c r="J34" s="881">
        <f>H34*(100%+I34)</f>
        <v>0</v>
      </c>
      <c r="K34" s="641"/>
      <c r="L34" s="641"/>
      <c r="M34" s="641"/>
    </row>
    <row r="35" spans="1:13" s="889" customFormat="1" ht="38.4" customHeight="1" x14ac:dyDescent="0.3">
      <c r="A35" s="942" t="s">
        <v>897</v>
      </c>
      <c r="B35" s="935"/>
      <c r="C35" s="935"/>
      <c r="D35" s="935"/>
      <c r="E35" s="935"/>
      <c r="F35" s="935"/>
      <c r="G35" s="935"/>
      <c r="H35" s="935"/>
      <c r="I35" s="662"/>
      <c r="J35" s="742"/>
      <c r="K35" s="742"/>
      <c r="L35" s="641"/>
      <c r="M35" s="641"/>
    </row>
    <row r="36" spans="1:13" s="889" customFormat="1" ht="14.4" x14ac:dyDescent="0.3">
      <c r="A36" s="935" t="s">
        <v>885</v>
      </c>
      <c r="B36" s="935"/>
      <c r="C36" s="935"/>
      <c r="D36" s="935"/>
      <c r="E36" s="935"/>
      <c r="F36" s="909"/>
      <c r="G36" s="910"/>
      <c r="H36" s="910"/>
      <c r="I36" s="910"/>
      <c r="J36" s="894"/>
      <c r="K36" s="648"/>
      <c r="L36" s="641"/>
      <c r="M36" s="641"/>
    </row>
    <row r="37" spans="1:13" s="889" customFormat="1" ht="18.600000000000001" customHeight="1" x14ac:dyDescent="0.3">
      <c r="A37" s="935" t="s">
        <v>884</v>
      </c>
      <c r="B37" s="935"/>
      <c r="C37" s="935"/>
      <c r="D37" s="935"/>
      <c r="E37" s="935"/>
      <c r="F37" s="641"/>
      <c r="G37" s="911"/>
      <c r="H37" s="911"/>
      <c r="I37" s="911"/>
      <c r="J37" s="641"/>
      <c r="K37" s="641"/>
      <c r="L37" s="641"/>
      <c r="M37" s="641"/>
    </row>
    <row r="38" spans="1:13" s="889" customFormat="1" ht="14.4" x14ac:dyDescent="0.3">
      <c r="A38" s="912"/>
      <c r="B38" s="912"/>
      <c r="C38" s="912"/>
      <c r="D38" s="912"/>
      <c r="E38" s="912"/>
      <c r="F38" s="641"/>
      <c r="G38" s="911"/>
      <c r="H38" s="911"/>
      <c r="I38" s="911"/>
      <c r="J38" s="641"/>
      <c r="K38" s="641"/>
      <c r="L38" s="641"/>
      <c r="M38" s="641"/>
    </row>
    <row r="39" spans="1:13" s="889" customFormat="1" ht="14.4" x14ac:dyDescent="0.3">
      <c r="A39" s="640" t="s">
        <v>458</v>
      </c>
      <c r="B39" s="641"/>
      <c r="C39" s="641"/>
      <c r="D39" s="641"/>
      <c r="E39" s="641"/>
      <c r="F39" s="641"/>
      <c r="G39" s="641"/>
      <c r="H39" s="641"/>
      <c r="I39" s="911"/>
      <c r="J39" s="641"/>
      <c r="K39" s="641"/>
      <c r="L39" s="641"/>
      <c r="M39" s="641"/>
    </row>
    <row r="40" spans="1:13" s="889" customFormat="1" ht="28.8" x14ac:dyDescent="0.3">
      <c r="A40" s="936" t="s">
        <v>810</v>
      </c>
      <c r="B40" s="937"/>
      <c r="C40" s="937"/>
      <c r="D40" s="937"/>
      <c r="E40" s="938"/>
      <c r="F40" s="633" t="s">
        <v>814</v>
      </c>
      <c r="G40" s="633" t="s">
        <v>905</v>
      </c>
      <c r="H40" s="633" t="s">
        <v>888</v>
      </c>
      <c r="I40" s="874"/>
      <c r="J40" s="641"/>
      <c r="K40" s="641"/>
      <c r="L40" s="641"/>
      <c r="M40" s="641"/>
    </row>
    <row r="41" spans="1:13" s="889" customFormat="1" ht="14.4" customHeight="1" x14ac:dyDescent="0.3">
      <c r="A41" s="936" t="s">
        <v>841</v>
      </c>
      <c r="B41" s="937"/>
      <c r="C41" s="937"/>
      <c r="D41" s="937"/>
      <c r="E41" s="938"/>
      <c r="F41" s="644">
        <v>50</v>
      </c>
      <c r="G41" s="636">
        <v>13</v>
      </c>
      <c r="H41" s="731" t="str">
        <f>IF(F34="","£0",G41*F41)</f>
        <v>£0</v>
      </c>
      <c r="I41" s="913"/>
      <c r="J41" s="641"/>
      <c r="K41" s="641"/>
      <c r="L41" s="641"/>
      <c r="M41" s="641"/>
    </row>
    <row r="42" spans="1:13" s="889" customFormat="1" ht="14.4" x14ac:dyDescent="0.3">
      <c r="A42" s="912"/>
      <c r="B42" s="912"/>
      <c r="C42" s="912"/>
      <c r="D42" s="912"/>
      <c r="E42" s="912"/>
      <c r="F42" s="641"/>
      <c r="G42" s="911"/>
      <c r="H42" s="911"/>
      <c r="I42" s="911"/>
      <c r="J42" s="641"/>
      <c r="K42" s="641"/>
      <c r="L42" s="641"/>
      <c r="M42" s="641"/>
    </row>
    <row r="43" spans="1:13" s="889" customFormat="1" ht="14.4" x14ac:dyDescent="0.3">
      <c r="A43" s="750" t="s">
        <v>871</v>
      </c>
      <c r="B43" s="888"/>
      <c r="C43" s="888"/>
      <c r="D43" s="888"/>
      <c r="E43" s="888"/>
      <c r="F43" s="888"/>
      <c r="G43" s="888"/>
      <c r="H43" s="888"/>
      <c r="I43" s="888"/>
      <c r="J43" s="641"/>
      <c r="K43" s="641"/>
      <c r="L43" s="641"/>
      <c r="M43" s="641"/>
    </row>
    <row r="44" spans="1:13" s="889" customFormat="1" ht="14.4" x14ac:dyDescent="0.3">
      <c r="A44" s="645" t="s">
        <v>816</v>
      </c>
      <c r="B44"/>
      <c r="C44"/>
      <c r="D44"/>
      <c r="E44"/>
      <c r="F44"/>
      <c r="G44"/>
      <c r="H44"/>
      <c r="I44" s="888"/>
      <c r="J44" s="641"/>
      <c r="K44" s="641"/>
      <c r="L44" s="641"/>
      <c r="M44" s="641"/>
    </row>
    <row r="45" spans="1:13" s="889" customFormat="1" ht="63" customHeight="1" x14ac:dyDescent="0.3">
      <c r="A45" s="643" t="s">
        <v>804</v>
      </c>
      <c r="B45" s="633" t="s">
        <v>792</v>
      </c>
      <c r="C45" s="633" t="s">
        <v>831</v>
      </c>
      <c r="D45" s="633" t="s">
        <v>906</v>
      </c>
      <c r="E45" s="633" t="s">
        <v>919</v>
      </c>
      <c r="F45" s="633" t="s">
        <v>821</v>
      </c>
      <c r="G45" s="633" t="s">
        <v>807</v>
      </c>
      <c r="H45" s="633" t="s">
        <v>822</v>
      </c>
      <c r="I45" s="888"/>
      <c r="J45" s="641"/>
      <c r="K45" s="641"/>
      <c r="L45" s="641"/>
      <c r="M45" s="641"/>
    </row>
    <row r="46" spans="1:13" s="889" customFormat="1" ht="14.4" x14ac:dyDescent="0.3">
      <c r="A46" s="634" t="s">
        <v>817</v>
      </c>
      <c r="B46" s="635">
        <v>140</v>
      </c>
      <c r="C46" s="635">
        <v>2</v>
      </c>
      <c r="D46" s="884">
        <v>1</v>
      </c>
      <c r="E46" s="644"/>
      <c r="F46" s="642">
        <f>C46*D46*E46</f>
        <v>0</v>
      </c>
      <c r="G46" s="687">
        <v>0</v>
      </c>
      <c r="H46" s="882">
        <f>F46*(100%+G46)</f>
        <v>0</v>
      </c>
      <c r="I46" s="888"/>
      <c r="J46" s="641"/>
      <c r="K46" s="641"/>
      <c r="L46" s="641"/>
      <c r="M46" s="641"/>
    </row>
    <row r="47" spans="1:13" s="889" customFormat="1" ht="14.4" x14ac:dyDescent="0.3">
      <c r="A47" s="634" t="s">
        <v>818</v>
      </c>
      <c r="B47" s="635">
        <v>120</v>
      </c>
      <c r="C47" s="635">
        <v>1</v>
      </c>
      <c r="D47" s="884">
        <v>10</v>
      </c>
      <c r="E47" s="644"/>
      <c r="F47" s="642">
        <f>C47*D47*E47</f>
        <v>0</v>
      </c>
      <c r="G47" s="687">
        <v>0</v>
      </c>
      <c r="H47" s="882">
        <f>F47*(100%+G47)</f>
        <v>0</v>
      </c>
      <c r="I47" s="888"/>
      <c r="J47" s="641"/>
      <c r="K47" s="641"/>
      <c r="L47" s="641"/>
      <c r="M47" s="641"/>
    </row>
    <row r="48" spans="1:13" s="889" customFormat="1" ht="14.4" x14ac:dyDescent="0.3">
      <c r="A48" s="662"/>
      <c r="B48" s="641"/>
      <c r="C48" s="641"/>
      <c r="D48" s="875"/>
      <c r="E48" s="876"/>
      <c r="F48" s="876"/>
      <c r="G48" s="895"/>
      <c r="H48" s="739">
        <f>SUM(H46:H47)</f>
        <v>0</v>
      </c>
      <c r="I48" s="888"/>
      <c r="J48" s="641"/>
      <c r="K48" s="641"/>
      <c r="L48" s="641"/>
      <c r="M48" s="641"/>
    </row>
    <row r="49" spans="1:13" s="889" customFormat="1" ht="33.75" customHeight="1" x14ac:dyDescent="0.3">
      <c r="A49" s="941" t="s">
        <v>937</v>
      </c>
      <c r="B49" s="935"/>
      <c r="C49" s="935"/>
      <c r="D49" s="935"/>
      <c r="E49" s="935"/>
      <c r="F49" s="935"/>
      <c r="G49" s="935"/>
      <c r="H49" s="742"/>
      <c r="I49" s="896"/>
      <c r="J49" s="641"/>
      <c r="K49" s="641"/>
      <c r="L49" s="641"/>
      <c r="M49" s="641"/>
    </row>
    <row r="50" spans="1:13" s="889" customFormat="1" ht="14.4" x14ac:dyDescent="0.3">
      <c r="A50" s="897" t="s">
        <v>886</v>
      </c>
      <c r="B50"/>
      <c r="C50"/>
      <c r="D50"/>
      <c r="E50" s="898"/>
      <c r="F50" s="648"/>
      <c r="G50" s="894"/>
      <c r="H50" s="648"/>
      <c r="I50" s="888"/>
      <c r="J50" s="641"/>
      <c r="K50" s="641"/>
      <c r="L50" s="641"/>
      <c r="M50" s="641"/>
    </row>
    <row r="51" spans="1:13" s="889" customFormat="1" ht="14.4" x14ac:dyDescent="0.3">
      <c r="A51"/>
      <c r="B51"/>
      <c r="C51"/>
      <c r="D51"/>
      <c r="E51"/>
      <c r="F51"/>
      <c r="G51"/>
      <c r="H51"/>
      <c r="I51" s="888"/>
      <c r="J51" s="641"/>
      <c r="K51" s="641"/>
      <c r="L51" s="641"/>
      <c r="M51" s="641"/>
    </row>
    <row r="52" spans="1:13" s="889" customFormat="1" ht="14.4" x14ac:dyDescent="0.3">
      <c r="A52"/>
      <c r="B52"/>
      <c r="C52"/>
      <c r="D52"/>
      <c r="E52"/>
      <c r="F52"/>
      <c r="G52"/>
      <c r="H52"/>
      <c r="I52" s="888"/>
      <c r="J52" s="641"/>
      <c r="K52" s="641"/>
      <c r="L52" s="641"/>
      <c r="M52" s="641"/>
    </row>
    <row r="53" spans="1:13" s="889" customFormat="1" ht="14.4" x14ac:dyDescent="0.3">
      <c r="A53" s="640" t="s">
        <v>458</v>
      </c>
      <c r="B53" s="641"/>
      <c r="C53" s="641"/>
      <c r="D53" s="641"/>
      <c r="E53" s="641"/>
      <c r="F53" s="641"/>
      <c r="G53" s="641"/>
      <c r="H53" s="641"/>
      <c r="I53" s="888"/>
      <c r="J53" s="641"/>
      <c r="K53" s="641"/>
      <c r="L53" s="641"/>
      <c r="M53" s="641"/>
    </row>
    <row r="54" spans="1:13" s="889" customFormat="1" ht="28.8" x14ac:dyDescent="0.3">
      <c r="A54" s="936" t="s">
        <v>810</v>
      </c>
      <c r="B54" s="937"/>
      <c r="C54" s="937"/>
      <c r="D54" s="937"/>
      <c r="E54" s="938"/>
      <c r="F54" s="633" t="s">
        <v>814</v>
      </c>
      <c r="G54" s="633" t="s">
        <v>815</v>
      </c>
      <c r="H54" s="633" t="s">
        <v>812</v>
      </c>
      <c r="I54" s="874"/>
      <c r="J54" s="641"/>
      <c r="K54" s="641"/>
      <c r="L54" s="641"/>
      <c r="M54" s="641"/>
    </row>
    <row r="55" spans="1:13" s="889" customFormat="1" ht="14.4" customHeight="1" x14ac:dyDescent="0.3">
      <c r="A55" s="936" t="s">
        <v>841</v>
      </c>
      <c r="B55" s="937"/>
      <c r="C55" s="937"/>
      <c r="D55" s="937"/>
      <c r="E55" s="938"/>
      <c r="F55" s="644">
        <v>50</v>
      </c>
      <c r="G55" s="636">
        <f>D47+D46</f>
        <v>11</v>
      </c>
      <c r="H55" s="880">
        <f>F55*G55</f>
        <v>550</v>
      </c>
      <c r="I55" s="913"/>
      <c r="J55" s="911"/>
      <c r="K55" s="641"/>
      <c r="L55" s="641"/>
      <c r="M55" s="641"/>
    </row>
    <row r="56" spans="1:13" s="889" customFormat="1" ht="14.4" customHeight="1" x14ac:dyDescent="0.3">
      <c r="A56" s="647"/>
      <c r="B56" s="886"/>
      <c r="C56" s="886"/>
      <c r="D56" s="886"/>
      <c r="E56" s="886"/>
      <c r="F56" s="648"/>
      <c r="G56" s="649"/>
      <c r="H56" s="648"/>
      <c r="I56" s="753"/>
      <c r="J56" s="911"/>
      <c r="K56" s="641"/>
      <c r="L56" s="641"/>
      <c r="M56" s="641"/>
    </row>
    <row r="57" spans="1:13" s="889" customFormat="1" ht="14.4" customHeight="1" x14ac:dyDescent="0.3">
      <c r="A57" s="650" t="s">
        <v>872</v>
      </c>
      <c r="B57" s="886"/>
      <c r="C57" s="886"/>
      <c r="D57" s="886"/>
      <c r="E57" s="886"/>
      <c r="F57" s="648"/>
      <c r="G57" s="649"/>
      <c r="H57" s="648"/>
      <c r="I57" s="753"/>
      <c r="J57" s="911"/>
      <c r="K57" s="641"/>
      <c r="L57" s="641"/>
      <c r="M57" s="641"/>
    </row>
    <row r="58" spans="1:13" s="889" customFormat="1" ht="14.4" x14ac:dyDescent="0.3">
      <c r="A58" s="645" t="s">
        <v>740</v>
      </c>
      <c r="B58"/>
      <c r="C58"/>
      <c r="D58"/>
      <c r="E58"/>
      <c r="F58"/>
      <c r="G58"/>
      <c r="H58"/>
      <c r="I58" s="753"/>
      <c r="J58" s="911"/>
      <c r="K58" s="641"/>
      <c r="L58" s="641"/>
      <c r="M58" s="641"/>
    </row>
    <row r="59" spans="1:13" s="889" customFormat="1" ht="62.4" customHeight="1" x14ac:dyDescent="0.3">
      <c r="A59" s="633" t="s">
        <v>804</v>
      </c>
      <c r="B59" s="633" t="s">
        <v>792</v>
      </c>
      <c r="C59" s="633" t="s">
        <v>831</v>
      </c>
      <c r="D59" s="633" t="s">
        <v>894</v>
      </c>
      <c r="E59" s="633" t="s">
        <v>920</v>
      </c>
      <c r="F59" s="633" t="s">
        <v>893</v>
      </c>
      <c r="G59" s="633" t="s">
        <v>807</v>
      </c>
      <c r="H59" s="633" t="s">
        <v>808</v>
      </c>
      <c r="I59" s="753"/>
      <c r="J59" s="911"/>
      <c r="K59" s="641"/>
      <c r="L59" s="641"/>
      <c r="M59" s="641"/>
    </row>
    <row r="60" spans="1:13" s="889" customFormat="1" ht="14.4" x14ac:dyDescent="0.3">
      <c r="A60" s="634" t="s">
        <v>819</v>
      </c>
      <c r="B60" s="635">
        <v>225</v>
      </c>
      <c r="C60" s="635">
        <v>1</v>
      </c>
      <c r="D60" s="646">
        <v>12</v>
      </c>
      <c r="E60" s="644"/>
      <c r="F60" s="642">
        <f>D60*E60</f>
        <v>0</v>
      </c>
      <c r="G60" s="687">
        <v>0</v>
      </c>
      <c r="H60" s="882">
        <f>F60*(100%+G60)</f>
        <v>0</v>
      </c>
      <c r="I60" s="914"/>
      <c r="J60" s="753"/>
      <c r="K60" s="641"/>
      <c r="L60" s="641"/>
      <c r="M60" s="641"/>
    </row>
    <row r="61" spans="1:13" s="889" customFormat="1" ht="14.4" x14ac:dyDescent="0.3">
      <c r="A61" s="905" t="s">
        <v>796</v>
      </c>
      <c r="B61" s="635">
        <v>675</v>
      </c>
      <c r="C61" s="635">
        <f>B61/225</f>
        <v>3</v>
      </c>
      <c r="D61" s="635">
        <v>4</v>
      </c>
      <c r="E61" s="644"/>
      <c r="F61" s="642">
        <f>C61*D61*E61</f>
        <v>0</v>
      </c>
      <c r="G61" s="687">
        <v>0</v>
      </c>
      <c r="H61" s="882">
        <f>F61*(100%+G61)</f>
        <v>0</v>
      </c>
      <c r="I61" s="899"/>
      <c r="J61" s="899"/>
      <c r="K61" s="641"/>
      <c r="L61" s="641"/>
      <c r="M61" s="641"/>
    </row>
    <row r="62" spans="1:13" s="889" customFormat="1" ht="14.4" x14ac:dyDescent="0.3">
      <c r="A62" s="939"/>
      <c r="B62" s="940"/>
      <c r="C62" s="888" t="s">
        <v>3</v>
      </c>
      <c r="D62" s="915"/>
      <c r="E62" s="748"/>
      <c r="F62" s="877"/>
      <c r="G62" s="877"/>
      <c r="H62" s="877"/>
      <c r="I62" s="641"/>
      <c r="J62" s="641"/>
      <c r="K62" s="641"/>
      <c r="L62" s="641"/>
      <c r="M62" s="641"/>
    </row>
    <row r="63" spans="1:13" s="889" customFormat="1" ht="33" customHeight="1" x14ac:dyDescent="0.3">
      <c r="A63" s="941" t="s">
        <v>892</v>
      </c>
      <c r="B63" s="935"/>
      <c r="C63" s="935"/>
      <c r="D63" s="935"/>
      <c r="E63" s="935"/>
      <c r="F63" s="935"/>
      <c r="G63" s="935"/>
      <c r="H63" s="648"/>
      <c r="I63" s="641"/>
      <c r="J63" s="641"/>
      <c r="K63" s="641"/>
      <c r="L63" s="641"/>
      <c r="M63" s="641"/>
    </row>
    <row r="64" spans="1:13" s="889" customFormat="1" ht="14.4" x14ac:dyDescent="0.3">
      <c r="A64" s="901" t="s">
        <v>896</v>
      </c>
      <c r="B64" s="888"/>
      <c r="C64" s="888"/>
      <c r="D64"/>
      <c r="E64" s="898"/>
      <c r="F64" s="648"/>
      <c r="G64" s="894"/>
      <c r="H64" s="648"/>
      <c r="I64" s="641"/>
      <c r="J64" s="641"/>
      <c r="K64" s="641"/>
      <c r="L64" s="641"/>
      <c r="M64" s="641"/>
    </row>
    <row r="65" spans="1:13" s="889" customFormat="1" ht="14.4" x14ac:dyDescent="0.3">
      <c r="A65" s="897" t="s">
        <v>895</v>
      </c>
      <c r="B65" s="888"/>
      <c r="C65" s="888"/>
      <c r="D65"/>
      <c r="E65" s="898"/>
      <c r="F65" s="648"/>
      <c r="G65" s="894"/>
      <c r="H65" s="648"/>
      <c r="I65" s="641"/>
      <c r="J65" s="641"/>
      <c r="K65" s="641"/>
      <c r="L65" s="641"/>
      <c r="M65" s="641"/>
    </row>
    <row r="66" spans="1:13" s="889" customFormat="1" ht="14.4" x14ac:dyDescent="0.3">
      <c r="A66" s="888"/>
      <c r="B66" s="888"/>
      <c r="C66" s="888"/>
      <c r="D66" s="888"/>
      <c r="E66" s="888"/>
      <c r="F66" s="888"/>
      <c r="G66" s="888"/>
      <c r="H66" s="888"/>
      <c r="I66" s="641"/>
      <c r="J66" s="641"/>
      <c r="K66" s="641"/>
      <c r="L66" s="641"/>
      <c r="M66" s="641"/>
    </row>
    <row r="67" spans="1:13" s="889" customFormat="1" ht="14.4" x14ac:dyDescent="0.3">
      <c r="A67" s="640" t="s">
        <v>458</v>
      </c>
      <c r="B67" s="641"/>
      <c r="C67" s="641"/>
      <c r="D67" s="641"/>
      <c r="E67" s="641"/>
      <c r="F67" s="641"/>
      <c r="G67" s="641"/>
      <c r="H67" s="641"/>
      <c r="I67" s="641"/>
      <c r="J67" s="641"/>
      <c r="K67" s="641"/>
      <c r="L67" s="641"/>
      <c r="M67" s="641"/>
    </row>
    <row r="68" spans="1:13" s="889" customFormat="1" ht="28.8" x14ac:dyDescent="0.3">
      <c r="A68" s="936" t="s">
        <v>810</v>
      </c>
      <c r="B68" s="937"/>
      <c r="C68" s="937"/>
      <c r="D68" s="937"/>
      <c r="E68" s="938"/>
      <c r="F68" s="633" t="s">
        <v>814</v>
      </c>
      <c r="G68" s="633" t="s">
        <v>815</v>
      </c>
      <c r="H68" s="633" t="s">
        <v>812</v>
      </c>
      <c r="I68" s="874"/>
      <c r="J68" s="641"/>
      <c r="K68" s="641"/>
      <c r="L68" s="641"/>
      <c r="M68" s="641"/>
    </row>
    <row r="69" spans="1:13" s="889" customFormat="1" ht="14.4" customHeight="1" x14ac:dyDescent="0.3">
      <c r="A69" s="936" t="s">
        <v>841</v>
      </c>
      <c r="B69" s="937"/>
      <c r="C69" s="937"/>
      <c r="D69" s="937"/>
      <c r="E69" s="938"/>
      <c r="F69" s="644">
        <v>50</v>
      </c>
      <c r="G69" s="728">
        <v>12</v>
      </c>
      <c r="H69" s="880" t="str">
        <f>IF(E60="","£0",G69*F69)</f>
        <v>£0</v>
      </c>
      <c r="I69" s="913"/>
      <c r="J69" s="641"/>
      <c r="K69" s="641"/>
      <c r="L69" s="641"/>
      <c r="M69" s="641"/>
    </row>
    <row r="70" spans="1:13" s="889" customFormat="1" ht="14.4" customHeight="1" x14ac:dyDescent="0.3">
      <c r="A70" s="647"/>
      <c r="B70" s="886"/>
      <c r="C70" s="886"/>
      <c r="D70" s="886"/>
      <c r="E70" s="886"/>
      <c r="F70" s="648"/>
      <c r="G70" s="649"/>
      <c r="H70" s="648"/>
      <c r="I70" s="641"/>
      <c r="J70" s="641"/>
      <c r="K70" s="641"/>
      <c r="L70" s="641"/>
      <c r="M70" s="641"/>
    </row>
    <row r="71" spans="1:13" s="889" customFormat="1" ht="14.4" x14ac:dyDescent="0.3">
      <c r="A71" s="888"/>
      <c r="B71" s="888"/>
      <c r="C71" s="888"/>
      <c r="D71" s="888"/>
      <c r="E71" s="888"/>
      <c r="F71" s="888"/>
      <c r="G71" s="888"/>
      <c r="H71" s="888"/>
      <c r="I71" s="641"/>
      <c r="J71" s="641"/>
      <c r="K71" s="641"/>
      <c r="L71" s="641"/>
      <c r="M71" s="641"/>
    </row>
    <row r="72" spans="1:13" s="889" customFormat="1" ht="14.4" x14ac:dyDescent="0.3">
      <c r="A72" s="887" t="s">
        <v>873</v>
      </c>
      <c r="B72" s="888"/>
      <c r="C72" s="888"/>
      <c r="D72" s="888"/>
      <c r="E72" s="888"/>
      <c r="F72" s="888"/>
      <c r="G72" s="888"/>
      <c r="H72" s="888"/>
      <c r="I72" s="641"/>
      <c r="J72" s="641"/>
      <c r="K72" s="641"/>
      <c r="L72" s="641"/>
      <c r="M72" s="641"/>
    </row>
    <row r="73" spans="1:13" s="889" customFormat="1" ht="14.4" x14ac:dyDescent="0.3">
      <c r="A73" s="645" t="s">
        <v>740</v>
      </c>
      <c r="B73"/>
      <c r="C73"/>
      <c r="D73"/>
      <c r="E73"/>
      <c r="F73"/>
      <c r="G73"/>
      <c r="H73"/>
      <c r="I73" s="641"/>
      <c r="J73" s="641"/>
      <c r="K73" s="641"/>
      <c r="L73" s="641"/>
      <c r="M73" s="641"/>
    </row>
    <row r="74" spans="1:13" s="889" customFormat="1" ht="43.2" x14ac:dyDescent="0.3">
      <c r="A74" s="633" t="s">
        <v>804</v>
      </c>
      <c r="B74" s="633" t="s">
        <v>820</v>
      </c>
      <c r="C74" s="633" t="s">
        <v>805</v>
      </c>
      <c r="D74" s="633" t="s">
        <v>907</v>
      </c>
      <c r="E74" s="633" t="s">
        <v>921</v>
      </c>
      <c r="F74" s="633" t="s">
        <v>821</v>
      </c>
      <c r="G74" s="633" t="s">
        <v>807</v>
      </c>
      <c r="H74" s="633" t="s">
        <v>822</v>
      </c>
      <c r="I74" s="874"/>
      <c r="J74" s="742"/>
      <c r="K74" s="641"/>
      <c r="L74" s="641"/>
      <c r="M74" s="641"/>
    </row>
    <row r="75" spans="1:13" s="889" customFormat="1" ht="28.8" x14ac:dyDescent="0.3">
      <c r="A75" s="634" t="s">
        <v>823</v>
      </c>
      <c r="B75" s="635">
        <v>200</v>
      </c>
      <c r="C75" s="727">
        <v>1</v>
      </c>
      <c r="D75" s="728">
        <f>52/12</f>
        <v>4.333333333333333</v>
      </c>
      <c r="E75" s="644"/>
      <c r="F75" s="642">
        <f>D75*E75*C75</f>
        <v>0</v>
      </c>
      <c r="G75" s="687">
        <v>0.2</v>
      </c>
      <c r="H75" s="882">
        <f>F75*(100%+G75)</f>
        <v>0</v>
      </c>
      <c r="I75" s="916"/>
      <c r="J75" s="648"/>
      <c r="K75" s="648"/>
      <c r="L75" s="641"/>
      <c r="M75" s="641"/>
    </row>
    <row r="76" spans="1:13" s="889" customFormat="1" ht="14.4" x14ac:dyDescent="0.3">
      <c r="A76"/>
      <c r="B76"/>
      <c r="C76"/>
      <c r="D76"/>
      <c r="E76"/>
      <c r="F76"/>
      <c r="G76"/>
      <c r="H76"/>
      <c r="I76" s="641"/>
      <c r="J76" s="641"/>
      <c r="K76" s="641"/>
      <c r="L76" s="641"/>
      <c r="M76" s="641"/>
    </row>
    <row r="77" spans="1:13" s="889" customFormat="1" ht="14.4" x14ac:dyDescent="0.3">
      <c r="A77" s="640" t="s">
        <v>458</v>
      </c>
      <c r="B77" s="641"/>
      <c r="C77" s="641"/>
      <c r="D77" s="641"/>
      <c r="E77" s="641"/>
      <c r="F77" s="641"/>
      <c r="G77" s="641"/>
      <c r="H77" s="641"/>
      <c r="I77" s="641"/>
      <c r="J77" s="641"/>
      <c r="K77" s="641"/>
      <c r="L77" s="641"/>
      <c r="M77" s="641"/>
    </row>
    <row r="78" spans="1:13" s="889" customFormat="1" ht="28.8" x14ac:dyDescent="0.3">
      <c r="A78" s="936" t="s">
        <v>810</v>
      </c>
      <c r="B78" s="937"/>
      <c r="C78" s="937"/>
      <c r="D78" s="937"/>
      <c r="E78" s="938"/>
      <c r="F78" s="633" t="s">
        <v>811</v>
      </c>
      <c r="G78" s="633" t="s">
        <v>904</v>
      </c>
      <c r="H78" s="633" t="s">
        <v>908</v>
      </c>
      <c r="I78" s="874"/>
      <c r="J78" s="742"/>
      <c r="K78" s="641"/>
      <c r="L78" s="641"/>
      <c r="M78" s="641"/>
    </row>
    <row r="79" spans="1:13" s="889" customFormat="1" ht="14.4" customHeight="1" x14ac:dyDescent="0.3">
      <c r="A79" s="936" t="s">
        <v>840</v>
      </c>
      <c r="B79" s="937"/>
      <c r="C79" s="937"/>
      <c r="D79" s="937"/>
      <c r="E79" s="938"/>
      <c r="F79" s="644">
        <v>226.05</v>
      </c>
      <c r="G79" s="636">
        <f>D75</f>
        <v>4.333333333333333</v>
      </c>
      <c r="H79" s="731" t="str">
        <f>IF(E75="","£0",G79*F79)</f>
        <v>£0</v>
      </c>
      <c r="I79" s="916"/>
      <c r="J79" s="914"/>
      <c r="K79" s="641"/>
      <c r="L79" s="641"/>
      <c r="M79" s="641"/>
    </row>
    <row r="80" spans="1:13" s="889" customFormat="1" ht="14.4" x14ac:dyDescent="0.3">
      <c r="A80" s="888"/>
      <c r="B80" s="888"/>
      <c r="C80" s="888"/>
      <c r="D80" s="888"/>
      <c r="E80" s="888"/>
      <c r="F80" s="888"/>
      <c r="G80" s="888"/>
      <c r="H80" s="888"/>
      <c r="I80" s="641"/>
      <c r="J80" s="641"/>
      <c r="K80" s="641"/>
      <c r="L80" s="641"/>
      <c r="M80" s="641"/>
    </row>
    <row r="81" spans="1:13" s="889" customFormat="1" ht="14.4" x14ac:dyDescent="0.3">
      <c r="A81" s="917" t="s">
        <v>899</v>
      </c>
      <c r="B81" s="641"/>
      <c r="C81" s="641"/>
      <c r="D81" s="641"/>
      <c r="E81" s="641"/>
      <c r="F81" s="641"/>
      <c r="G81" s="641"/>
      <c r="H81" s="641"/>
      <c r="I81" s="641"/>
      <c r="J81" s="641"/>
      <c r="K81" s="641"/>
      <c r="L81" s="641"/>
      <c r="M81" s="641"/>
    </row>
    <row r="82" spans="1:13" s="889" customFormat="1" ht="14.4" x14ac:dyDescent="0.3">
      <c r="A82" s="900" t="s">
        <v>797</v>
      </c>
      <c r="B82" s="641"/>
      <c r="C82" s="641"/>
      <c r="D82" s="641"/>
      <c r="E82" s="641"/>
      <c r="F82" s="641"/>
      <c r="G82" s="641"/>
      <c r="H82" s="641"/>
      <c r="I82" s="641"/>
      <c r="J82" s="641"/>
      <c r="K82" s="641"/>
      <c r="L82" s="641"/>
      <c r="M82" s="641"/>
    </row>
    <row r="83" spans="1:13" s="889" customFormat="1" ht="14.4" x14ac:dyDescent="0.3">
      <c r="A83" s="900"/>
      <c r="B83" s="641"/>
      <c r="C83" s="641"/>
      <c r="D83" s="641"/>
      <c r="E83" s="641"/>
      <c r="F83" s="641"/>
      <c r="G83" s="641"/>
      <c r="H83" s="641"/>
      <c r="I83" s="641"/>
      <c r="J83" s="641"/>
      <c r="K83" s="641"/>
      <c r="L83" s="641"/>
      <c r="M83" s="641"/>
    </row>
    <row r="84" spans="1:13" s="889" customFormat="1" ht="14.4" x14ac:dyDescent="0.3">
      <c r="A84" s="754"/>
      <c r="B84" s="641"/>
      <c r="C84" s="641"/>
      <c r="D84" s="641"/>
      <c r="E84" s="641"/>
      <c r="F84" s="641"/>
      <c r="G84" s="641"/>
      <c r="H84" s="755"/>
      <c r="I84" s="911"/>
      <c r="J84" s="753"/>
      <c r="K84" s="641"/>
      <c r="L84" s="641"/>
      <c r="M84" s="641"/>
    </row>
    <row r="85" spans="1:13" ht="14.1" customHeight="1" x14ac:dyDescent="0.25">
      <c r="A85" s="934"/>
      <c r="B85" s="935"/>
      <c r="C85" s="935"/>
      <c r="D85" s="935"/>
      <c r="E85" s="935"/>
      <c r="F85" s="935"/>
      <c r="G85" s="935"/>
      <c r="H85" s="935"/>
      <c r="I85" s="165"/>
      <c r="J85" s="166"/>
      <c r="K85" s="6"/>
      <c r="L85" s="154"/>
      <c r="M85" s="154"/>
    </row>
    <row r="86" spans="1:13" ht="14.1" customHeight="1" x14ac:dyDescent="0.25">
      <c r="A86" s="935"/>
      <c r="B86" s="935"/>
      <c r="C86" s="935"/>
      <c r="D86" s="935"/>
      <c r="E86" s="935"/>
      <c r="F86" s="935"/>
      <c r="G86" s="935"/>
      <c r="H86" s="935"/>
      <c r="I86" s="165"/>
      <c r="J86" s="166"/>
      <c r="K86" s="6"/>
      <c r="L86" s="154"/>
      <c r="M86" s="154"/>
    </row>
    <row r="87" spans="1:13" ht="14.1" customHeight="1" x14ac:dyDescent="0.25">
      <c r="A87" s="935"/>
      <c r="B87" s="935"/>
      <c r="C87" s="935"/>
      <c r="D87" s="935"/>
      <c r="E87" s="935"/>
      <c r="F87" s="935"/>
      <c r="G87" s="935"/>
      <c r="H87" s="935"/>
      <c r="I87" s="165"/>
      <c r="J87" s="166"/>
      <c r="K87" s="6"/>
      <c r="L87" s="154"/>
      <c r="M87" s="154"/>
    </row>
    <row r="88" spans="1:13" ht="14.4" x14ac:dyDescent="0.3">
      <c r="A88" s="215"/>
      <c r="B88" s="6"/>
      <c r="C88" s="6"/>
      <c r="D88" s="6"/>
      <c r="E88" s="6"/>
      <c r="F88" s="6"/>
      <c r="G88" s="6"/>
      <c r="H88" s="6"/>
      <c r="I88" s="6"/>
      <c r="J88" s="6"/>
      <c r="K88" s="6"/>
      <c r="L88" s="154"/>
      <c r="M88" s="154"/>
    </row>
  </sheetData>
  <sheetProtection algorithmName="SHA-512" hashValue="EjW/Hbk+b6Mmp27nKTPPpsM6woH01NLRhvs7+6zNeBzQgXkw11OWEpR8tBnWgaUfSU5WWN+iVUvsrlzxSTuG8w==" saltValue="OhsHiSioRMHGtaj3VBKtmg==" spinCount="100000" sheet="1" objects="1" scenarios="1"/>
  <protectedRanges>
    <protectedRange sqref="F79" name="Range18"/>
    <protectedRange sqref="C75:E75" name="Range17"/>
    <protectedRange sqref="F69" name="Range16"/>
    <protectedRange sqref="E62:E65" name="Range15"/>
    <protectedRange sqref="F55" name="Range14"/>
    <protectedRange sqref="E50" name="Range12"/>
    <protectedRange sqref="D7:D8" name="Range19"/>
    <protectedRange sqref="F7:F8" name="Range20"/>
    <protectedRange sqref="H7:H8" name="Range21"/>
    <protectedRange sqref="I7:I8" name="Range22"/>
    <protectedRange sqref="F14:G14" name="Range23"/>
    <protectedRange sqref="D21:F21" name="Range24"/>
    <protectedRange sqref="H21" name="Range25"/>
    <protectedRange sqref="F28:H28" name="Range26"/>
    <protectedRange sqref="F34:G34" name="Range27"/>
    <protectedRange sqref="I34:J34" name="Range28"/>
    <protectedRange sqref="F41" name="Range29"/>
    <protectedRange sqref="D46:E47" name="Range30"/>
    <protectedRange sqref="G46:H47" name="Range31"/>
    <protectedRange sqref="F55" name="Range32"/>
    <protectedRange sqref="E60:E61" name="Range33"/>
    <protectedRange sqref="G60:H61" name="Range34"/>
    <protectedRange sqref="F69:G69" name="Range35"/>
    <protectedRange sqref="C75:E75" name="Range36"/>
    <protectedRange sqref="G75:H75" name="Range37"/>
    <protectedRange sqref="F79" name="Range38"/>
  </protectedRanges>
  <mergeCells count="21">
    <mergeCell ref="A63:G63"/>
    <mergeCell ref="A13:E13"/>
    <mergeCell ref="A14:E14"/>
    <mergeCell ref="A23:H23"/>
    <mergeCell ref="A15:H15"/>
    <mergeCell ref="A85:H87"/>
    <mergeCell ref="A27:E27"/>
    <mergeCell ref="A28:E28"/>
    <mergeCell ref="A40:E40"/>
    <mergeCell ref="A41:E41"/>
    <mergeCell ref="A54:E54"/>
    <mergeCell ref="A55:E55"/>
    <mergeCell ref="A68:E68"/>
    <mergeCell ref="A69:E69"/>
    <mergeCell ref="A78:E78"/>
    <mergeCell ref="A79:E79"/>
    <mergeCell ref="A36:E36"/>
    <mergeCell ref="A62:B62"/>
    <mergeCell ref="A49:G49"/>
    <mergeCell ref="A37:E37"/>
    <mergeCell ref="A35:H35"/>
  </mergeCells>
  <hyperlinks>
    <hyperlink ref="B1" location="'2. Guide'!A1" display="Back to guide" xr:uid="{00000000-0004-0000-0700-000000000000}"/>
    <hyperlink ref="A82" r:id="rId1" location="/content/bnf/_947782286?hspl=botulinum" xr:uid="{D538F57E-6586-4E10-A753-6D1BDC6E88D7}"/>
    <hyperlink ref="A50" r:id="rId2" display="https://www.ncbi.nlm.nih.gov/pmc/articles/PMC6234796/" xr:uid="{DBB3BB62-0DE8-45B5-97BD-973DD4743FA6}"/>
    <hyperlink ref="A65" r:id="rId3" display="https://www.ncbi.nlm.nih.gov/pmc/articles/PMC7682830/" xr:uid="{1D3C6286-3F33-41ED-8A85-17AFBD1CBB59}"/>
    <hyperlink ref="A24" r:id="rId4" display="https://www.nice.org.uk/guidance/ta871/evidence/committee-papers-pdf-11376326845" xr:uid="{428D772E-9438-4736-A1DB-105FE002A7A6}"/>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09375" defaultRowHeight="13.2" x14ac:dyDescent="0.25"/>
  <cols>
    <col min="1" max="1" width="40.6640625" style="4" customWidth="1"/>
    <col min="2" max="2" width="16" style="4" customWidth="1"/>
    <col min="3" max="3" width="16.88671875" style="4" bestFit="1" customWidth="1"/>
    <col min="4" max="4" width="26.33203125" style="4" bestFit="1" customWidth="1"/>
    <col min="5" max="5" width="30.6640625" style="4" customWidth="1"/>
    <col min="6" max="6" width="11.44140625" style="4" customWidth="1"/>
    <col min="7" max="7" width="9.109375" style="4"/>
    <col min="8" max="8" width="16.6640625" style="4" bestFit="1" customWidth="1"/>
    <col min="9" max="9" width="18" style="4" customWidth="1"/>
    <col min="10" max="10" width="12.6640625" style="4" customWidth="1"/>
    <col min="11" max="12" width="10.6640625" style="4" customWidth="1"/>
    <col min="13" max="13" width="12.6640625" style="4" customWidth="1"/>
    <col min="14" max="15" width="2.88671875" style="4" customWidth="1"/>
    <col min="16" max="16384" width="9.109375" style="4"/>
  </cols>
  <sheetData>
    <row r="1" spans="1:37" ht="30" customHeight="1" thickBot="1" x14ac:dyDescent="0.3">
      <c r="A1" s="557" t="str">
        <f>'Assumptions input'!A1</f>
        <v>Rimegepant for preventing migraine</v>
      </c>
      <c r="B1" s="194"/>
      <c r="C1" s="194"/>
      <c r="D1" s="194"/>
      <c r="E1" s="373" t="s">
        <v>3</v>
      </c>
      <c r="F1" s="373" t="s">
        <v>3</v>
      </c>
      <c r="G1" s="373" t="s">
        <v>3</v>
      </c>
      <c r="H1" s="373" t="s">
        <v>3</v>
      </c>
      <c r="I1" s="373" t="s">
        <v>3</v>
      </c>
      <c r="J1" s="373" t="s">
        <v>3</v>
      </c>
      <c r="K1" s="374" t="s">
        <v>3</v>
      </c>
      <c r="L1" s="374"/>
      <c r="M1" s="374"/>
      <c r="N1" s="374" t="s">
        <v>3</v>
      </c>
    </row>
    <row r="2" spans="1:37" ht="26.25" customHeight="1" thickBot="1" x14ac:dyDescent="0.45">
      <c r="A2" s="498" t="s">
        <v>275</v>
      </c>
      <c r="B2" s="499"/>
      <c r="C2" s="194"/>
      <c r="D2" s="194"/>
      <c r="E2" s="373" t="s">
        <v>3</v>
      </c>
      <c r="F2" s="373" t="s">
        <v>3</v>
      </c>
      <c r="G2" s="373" t="s">
        <v>3</v>
      </c>
      <c r="H2" s="373" t="s">
        <v>3</v>
      </c>
      <c r="I2" s="373" t="s">
        <v>3</v>
      </c>
      <c r="J2" s="373" t="s">
        <v>3</v>
      </c>
      <c r="K2" s="374" t="s">
        <v>3</v>
      </c>
      <c r="L2" s="374"/>
      <c r="M2" s="374"/>
      <c r="N2" s="374" t="s">
        <v>3</v>
      </c>
      <c r="P2" s="563" t="s">
        <v>763</v>
      </c>
      <c r="Q2" s="564"/>
      <c r="R2" s="564"/>
      <c r="S2" s="564"/>
      <c r="T2" s="564"/>
      <c r="U2" s="564"/>
      <c r="V2" s="564"/>
      <c r="W2" s="564"/>
      <c r="X2" s="564"/>
      <c r="Y2" s="564"/>
      <c r="Z2" s="564"/>
      <c r="AA2" s="564"/>
      <c r="AB2" s="565"/>
      <c r="AC2" s="565"/>
      <c r="AD2" s="565"/>
      <c r="AE2" s="565"/>
      <c r="AF2" s="565"/>
      <c r="AG2" s="565"/>
      <c r="AH2" s="565"/>
      <c r="AI2" s="565"/>
      <c r="AJ2" s="565"/>
      <c r="AK2" s="565"/>
    </row>
    <row r="3" spans="1:37" s="5" customFormat="1" ht="14.4" x14ac:dyDescent="0.3">
      <c r="A3" s="375" t="s">
        <v>3</v>
      </c>
      <c r="B3" s="376" t="s">
        <v>3</v>
      </c>
      <c r="C3" s="376"/>
      <c r="D3" s="376"/>
      <c r="E3" s="376" t="s">
        <v>3</v>
      </c>
      <c r="F3" s="376" t="s">
        <v>3</v>
      </c>
      <c r="G3" s="373" t="s">
        <v>3</v>
      </c>
      <c r="H3" s="373" t="s">
        <v>3</v>
      </c>
      <c r="I3" s="373" t="s">
        <v>3</v>
      </c>
      <c r="J3" s="373" t="s">
        <v>3</v>
      </c>
      <c r="K3" s="374" t="s">
        <v>3</v>
      </c>
      <c r="L3" s="374"/>
      <c r="M3" s="374"/>
      <c r="N3" s="374" t="s">
        <v>3</v>
      </c>
    </row>
    <row r="4" spans="1:37" s="5" customFormat="1" ht="14.4" x14ac:dyDescent="0.3">
      <c r="A4" s="591" t="s">
        <v>764</v>
      </c>
      <c r="B4" s="6"/>
      <c r="C4" s="6"/>
      <c r="D4" s="6"/>
      <c r="E4" s="6"/>
      <c r="F4" s="6"/>
      <c r="G4" s="6"/>
      <c r="H4" s="6"/>
      <c r="I4" s="6"/>
      <c r="J4" s="6"/>
      <c r="K4" s="6"/>
      <c r="L4" s="6"/>
      <c r="M4" s="6"/>
      <c r="N4" s="374" t="s">
        <v>3</v>
      </c>
      <c r="P4" s="507" t="s">
        <v>762</v>
      </c>
      <c r="Q4" s="508"/>
      <c r="R4" s="508"/>
      <c r="S4" s="508"/>
      <c r="T4" s="508"/>
      <c r="U4" s="508"/>
      <c r="V4" s="508"/>
      <c r="W4" s="508"/>
      <c r="X4" s="508"/>
      <c r="Y4" s="508"/>
      <c r="Z4" s="508"/>
      <c r="AA4" s="508"/>
      <c r="AB4" s="509"/>
    </row>
    <row r="5" spans="1:37" s="581" customFormat="1" ht="13.8" x14ac:dyDescent="0.3">
      <c r="A5" s="576" t="s">
        <v>765</v>
      </c>
      <c r="B5" s="585" t="s">
        <v>766</v>
      </c>
      <c r="C5" s="585" t="s">
        <v>770</v>
      </c>
      <c r="D5" s="585" t="s">
        <v>768</v>
      </c>
      <c r="E5" s="577" t="s">
        <v>767</v>
      </c>
      <c r="F5" s="578"/>
      <c r="G5" s="578"/>
      <c r="H5" s="578"/>
      <c r="I5" s="579"/>
      <c r="J5" s="578"/>
      <c r="K5" s="578"/>
      <c r="L5" s="578"/>
      <c r="M5" s="578"/>
      <c r="N5" s="580" t="s">
        <v>3</v>
      </c>
      <c r="P5" s="582" t="s">
        <v>748</v>
      </c>
      <c r="Q5" s="583"/>
      <c r="R5" s="583"/>
      <c r="S5" s="583"/>
      <c r="T5" s="583"/>
      <c r="U5" s="583"/>
      <c r="V5" s="583"/>
      <c r="W5" s="583"/>
      <c r="X5" s="583"/>
      <c r="Y5" s="583"/>
      <c r="Z5" s="583"/>
      <c r="AA5" s="583"/>
      <c r="AB5" s="584"/>
    </row>
    <row r="6" spans="1:37" s="5" customFormat="1" ht="13.8" x14ac:dyDescent="0.25">
      <c r="A6" s="586" t="s">
        <v>769</v>
      </c>
      <c r="B6" s="589"/>
      <c r="C6" s="555">
        <v>0.2</v>
      </c>
      <c r="D6" s="590">
        <f>B6*(1+C6)</f>
        <v>0</v>
      </c>
      <c r="E6" s="158"/>
      <c r="F6" s="154"/>
      <c r="G6" s="154"/>
      <c r="H6" s="569"/>
      <c r="I6" s="164"/>
      <c r="J6" s="570"/>
      <c r="K6" s="165"/>
      <c r="L6" s="571"/>
      <c r="M6" s="165"/>
      <c r="N6" s="374" t="s">
        <v>3</v>
      </c>
      <c r="P6" s="514" t="s">
        <v>475</v>
      </c>
      <c r="Q6" s="511"/>
      <c r="R6" s="511"/>
      <c r="S6" s="511"/>
      <c r="T6" s="511"/>
      <c r="U6" s="511"/>
      <c r="V6" s="511"/>
      <c r="W6" s="511"/>
      <c r="X6" s="511"/>
      <c r="Y6" s="511"/>
      <c r="Z6" s="511"/>
      <c r="AA6" s="511"/>
      <c r="AB6" s="512"/>
    </row>
    <row r="7" spans="1:37" s="5" customFormat="1" ht="13.8" x14ac:dyDescent="0.25">
      <c r="A7" s="586" t="s">
        <v>769</v>
      </c>
      <c r="B7" s="589"/>
      <c r="C7" s="555">
        <v>0.2</v>
      </c>
      <c r="D7" s="590">
        <f t="shared" ref="D7:D14" si="0">B7*(1+C7)</f>
        <v>0</v>
      </c>
      <c r="E7" s="158"/>
      <c r="F7" s="154"/>
      <c r="G7" s="154"/>
      <c r="H7" s="569"/>
      <c r="I7" s="164"/>
      <c r="J7" s="570"/>
      <c r="K7" s="165"/>
      <c r="L7" s="571"/>
      <c r="M7" s="165"/>
      <c r="N7" s="374" t="s">
        <v>3</v>
      </c>
      <c r="P7" s="510"/>
      <c r="Q7" s="513"/>
      <c r="R7" s="513"/>
      <c r="S7" s="513"/>
      <c r="T7" s="511"/>
      <c r="U7" s="511"/>
      <c r="V7" s="511"/>
      <c r="W7" s="511"/>
      <c r="X7" s="511"/>
      <c r="Y7" s="511"/>
      <c r="Z7" s="511"/>
      <c r="AA7" s="511"/>
      <c r="AB7" s="512"/>
    </row>
    <row r="8" spans="1:37" s="5" customFormat="1" ht="13.8" x14ac:dyDescent="0.25">
      <c r="A8" s="586" t="s">
        <v>769</v>
      </c>
      <c r="B8" s="589"/>
      <c r="C8" s="555">
        <v>0.2</v>
      </c>
      <c r="D8" s="590">
        <f t="shared" si="0"/>
        <v>0</v>
      </c>
      <c r="E8" s="587"/>
      <c r="F8" s="376"/>
      <c r="G8" s="374"/>
      <c r="H8" s="374"/>
      <c r="I8" s="374"/>
      <c r="J8" s="166"/>
      <c r="K8" s="166"/>
      <c r="L8" s="572"/>
      <c r="M8" s="166"/>
      <c r="N8" s="374" t="s">
        <v>3</v>
      </c>
      <c r="P8" s="510" t="s">
        <v>461</v>
      </c>
      <c r="Q8" s="511"/>
      <c r="R8" s="511"/>
      <c r="S8" s="511"/>
      <c r="T8" s="511"/>
      <c r="U8" s="511"/>
      <c r="V8" s="511"/>
      <c r="W8" s="511"/>
      <c r="X8" s="511"/>
      <c r="Y8" s="511"/>
      <c r="Z8" s="511"/>
      <c r="AA8" s="511"/>
      <c r="AB8" s="512"/>
    </row>
    <row r="9" spans="1:37" s="5" customFormat="1" ht="13.8" x14ac:dyDescent="0.25">
      <c r="A9" s="586" t="s">
        <v>769</v>
      </c>
      <c r="B9" s="589"/>
      <c r="C9" s="555">
        <v>0.2</v>
      </c>
      <c r="D9" s="590">
        <f t="shared" si="0"/>
        <v>0</v>
      </c>
      <c r="E9" s="587"/>
      <c r="F9" s="376"/>
      <c r="G9" s="374"/>
      <c r="H9" s="374"/>
      <c r="I9" s="374"/>
      <c r="J9" s="573"/>
      <c r="K9" s="166"/>
      <c r="L9" s="166"/>
      <c r="M9" s="166"/>
      <c r="N9" s="374"/>
      <c r="P9" s="514" t="s">
        <v>760</v>
      </c>
      <c r="Q9" s="511"/>
      <c r="R9" s="511"/>
      <c r="S9" s="511"/>
      <c r="T9" s="511"/>
      <c r="U9" s="511"/>
      <c r="V9" s="511"/>
      <c r="W9" s="511"/>
      <c r="X9" s="511"/>
      <c r="Y9" s="511"/>
      <c r="Z9" s="511"/>
      <c r="AA9" s="511"/>
      <c r="AB9" s="512"/>
    </row>
    <row r="10" spans="1:37" s="5" customFormat="1" ht="14.4" x14ac:dyDescent="0.3">
      <c r="A10" s="586" t="s">
        <v>769</v>
      </c>
      <c r="B10" s="589"/>
      <c r="C10" s="555">
        <v>0.2</v>
      </c>
      <c r="D10" s="590">
        <f t="shared" si="0"/>
        <v>0</v>
      </c>
      <c r="E10" s="158"/>
      <c r="F10" s="154"/>
      <c r="G10" s="154"/>
      <c r="H10" s="568"/>
      <c r="I10" s="568"/>
      <c r="J10" s="567"/>
      <c r="K10" s="567"/>
      <c r="L10" s="567"/>
      <c r="M10" s="567"/>
      <c r="N10" s="374" t="s">
        <v>3</v>
      </c>
      <c r="P10" s="515" t="s">
        <v>462</v>
      </c>
      <c r="Q10" s="511"/>
      <c r="R10" s="511"/>
      <c r="S10" s="511"/>
      <c r="T10" s="511"/>
      <c r="U10" s="511"/>
      <c r="V10" s="511"/>
      <c r="W10" s="511"/>
      <c r="X10" s="511"/>
      <c r="Y10" s="511"/>
      <c r="Z10" s="511"/>
      <c r="AA10" s="511"/>
      <c r="AB10" s="512"/>
    </row>
    <row r="11" spans="1:37" s="5" customFormat="1" ht="16.5" customHeight="1" x14ac:dyDescent="0.25">
      <c r="A11" s="586" t="s">
        <v>769</v>
      </c>
      <c r="B11" s="589"/>
      <c r="C11" s="555">
        <v>0.2</v>
      </c>
      <c r="D11" s="590">
        <f t="shared" si="0"/>
        <v>0</v>
      </c>
      <c r="E11" s="158"/>
      <c r="F11" s="154"/>
      <c r="G11" s="154"/>
      <c r="H11" s="164"/>
      <c r="I11" s="164"/>
      <c r="J11" s="165"/>
      <c r="K11" s="165"/>
      <c r="L11" s="571"/>
      <c r="M11" s="165"/>
      <c r="N11" s="374" t="s">
        <v>3</v>
      </c>
      <c r="P11" s="514"/>
      <c r="Q11" s="511"/>
      <c r="R11" s="511"/>
      <c r="S11" s="511"/>
      <c r="T11" s="511"/>
      <c r="U11" s="511"/>
      <c r="V11" s="511"/>
      <c r="W11" s="511"/>
      <c r="X11" s="511"/>
      <c r="Y11" s="511"/>
      <c r="Z11" s="511"/>
      <c r="AA11" s="511"/>
      <c r="AB11" s="512"/>
    </row>
    <row r="12" spans="1:37" s="11" customFormat="1" ht="17.25" customHeight="1" x14ac:dyDescent="0.25">
      <c r="A12" s="586" t="s">
        <v>769</v>
      </c>
      <c r="B12" s="589"/>
      <c r="C12" s="555">
        <v>0.2</v>
      </c>
      <c r="D12" s="590">
        <f t="shared" si="0"/>
        <v>0</v>
      </c>
      <c r="E12" s="158"/>
      <c r="F12" s="154"/>
      <c r="G12" s="154"/>
      <c r="H12" s="164"/>
      <c r="I12" s="164"/>
      <c r="J12" s="165"/>
      <c r="K12" s="165"/>
      <c r="L12" s="571"/>
      <c r="M12" s="165"/>
      <c r="N12" s="374" t="s">
        <v>3</v>
      </c>
      <c r="P12" s="516" t="s">
        <v>761</v>
      </c>
      <c r="Q12" s="511"/>
      <c r="R12" s="511"/>
      <c r="S12" s="511"/>
      <c r="T12" s="511"/>
      <c r="U12" s="511"/>
      <c r="V12" s="511"/>
      <c r="W12" s="511"/>
      <c r="X12" s="511"/>
      <c r="Y12" s="511"/>
      <c r="Z12" s="511"/>
      <c r="AA12" s="511"/>
      <c r="AB12" s="512"/>
    </row>
    <row r="13" spans="1:37" s="5" customFormat="1" ht="14.4" x14ac:dyDescent="0.3">
      <c r="A13" s="586" t="s">
        <v>769</v>
      </c>
      <c r="B13" s="589"/>
      <c r="C13" s="555">
        <v>0.2</v>
      </c>
      <c r="D13" s="590">
        <f t="shared" si="0"/>
        <v>0</v>
      </c>
      <c r="E13" s="588"/>
      <c r="F13" s="374"/>
      <c r="G13" s="374"/>
      <c r="H13" s="374"/>
      <c r="I13" s="164"/>
      <c r="J13" s="494"/>
      <c r="K13" s="494"/>
      <c r="L13" s="572"/>
      <c r="M13" s="166"/>
      <c r="N13" s="374" t="s">
        <v>3</v>
      </c>
      <c r="P13" s="515" t="s">
        <v>463</v>
      </c>
      <c r="Q13" s="517"/>
      <c r="R13" s="517"/>
      <c r="S13" s="517"/>
      <c r="T13" s="517"/>
      <c r="U13" s="517"/>
      <c r="V13" s="517"/>
      <c r="W13" s="517"/>
      <c r="X13" s="517"/>
      <c r="Y13" s="517"/>
      <c r="Z13" s="517"/>
      <c r="AA13" s="517"/>
      <c r="AB13" s="518"/>
    </row>
    <row r="14" spans="1:37" s="5" customFormat="1" ht="13.8" x14ac:dyDescent="0.25">
      <c r="A14" s="586" t="s">
        <v>769</v>
      </c>
      <c r="B14" s="589"/>
      <c r="C14" s="555">
        <v>0.2</v>
      </c>
      <c r="D14" s="590">
        <f t="shared" si="0"/>
        <v>0</v>
      </c>
      <c r="E14" s="588"/>
      <c r="F14" s="374"/>
      <c r="G14" s="374"/>
      <c r="H14" s="154"/>
      <c r="I14" s="164"/>
      <c r="J14" s="494"/>
      <c r="K14" s="494"/>
      <c r="L14" s="572"/>
      <c r="M14" s="166"/>
      <c r="N14" s="374" t="s">
        <v>3</v>
      </c>
      <c r="P14" s="514"/>
      <c r="Q14" s="511"/>
      <c r="R14" s="511"/>
      <c r="S14" s="511"/>
      <c r="T14" s="511"/>
      <c r="U14" s="511"/>
      <c r="V14" s="511"/>
      <c r="W14" s="511"/>
      <c r="X14" s="511"/>
      <c r="Y14" s="511"/>
      <c r="Z14" s="511"/>
      <c r="AA14" s="511"/>
      <c r="AB14" s="512"/>
    </row>
    <row r="15" spans="1:37" s="5" customFormat="1" ht="13.8" x14ac:dyDescent="0.25">
      <c r="A15" s="592" t="s">
        <v>771</v>
      </c>
      <c r="B15" s="174"/>
      <c r="C15" s="174"/>
      <c r="D15" s="174"/>
      <c r="E15" s="174"/>
      <c r="F15" s="174"/>
      <c r="G15" s="174"/>
      <c r="H15" s="174"/>
      <c r="I15" s="174"/>
      <c r="J15" s="175"/>
      <c r="K15" s="175"/>
      <c r="L15" s="175"/>
      <c r="M15" s="175"/>
      <c r="N15" s="374" t="s">
        <v>3</v>
      </c>
      <c r="P15" s="514" t="s">
        <v>464</v>
      </c>
      <c r="Q15" s="511"/>
      <c r="R15" s="511"/>
      <c r="S15" s="511"/>
      <c r="T15" s="511"/>
      <c r="U15" s="511"/>
      <c r="V15" s="511"/>
      <c r="W15" s="511"/>
      <c r="X15" s="511"/>
      <c r="Y15" s="511"/>
      <c r="Z15" s="511"/>
      <c r="AA15" s="511"/>
      <c r="AB15" s="512"/>
    </row>
    <row r="16" spans="1:37" s="5" customFormat="1" ht="14.4" x14ac:dyDescent="0.3">
      <c r="A16" s="592"/>
      <c r="B16" s="174"/>
      <c r="C16" s="174"/>
      <c r="D16" s="174"/>
      <c r="E16" s="174"/>
      <c r="F16" s="174"/>
      <c r="G16" s="174"/>
      <c r="H16" s="174"/>
      <c r="I16" s="174"/>
      <c r="J16" s="175"/>
      <c r="K16" s="6"/>
      <c r="L16" s="6"/>
      <c r="M16" s="6"/>
      <c r="N16" s="374" t="s">
        <v>3</v>
      </c>
      <c r="P16" s="515" t="s">
        <v>465</v>
      </c>
      <c r="Q16" s="511"/>
      <c r="R16" s="511"/>
      <c r="S16" s="511"/>
      <c r="T16" s="511"/>
      <c r="U16" s="511"/>
      <c r="V16" s="511"/>
      <c r="W16" s="511"/>
      <c r="X16" s="511"/>
      <c r="Y16" s="511"/>
      <c r="Z16" s="511"/>
      <c r="AA16" s="511"/>
      <c r="AB16" s="512"/>
    </row>
    <row r="17" spans="1:28" s="5" customFormat="1" ht="13.8" x14ac:dyDescent="0.25">
      <c r="A17" s="592"/>
      <c r="B17" s="174"/>
      <c r="C17" s="174"/>
      <c r="D17" s="174"/>
      <c r="E17" s="174"/>
      <c r="F17" s="174"/>
      <c r="G17" s="174"/>
      <c r="H17" s="174"/>
      <c r="I17" s="174"/>
      <c r="J17" s="175"/>
      <c r="K17" s="166"/>
      <c r="L17" s="166"/>
      <c r="M17" s="166"/>
      <c r="N17" s="374" t="s">
        <v>3</v>
      </c>
      <c r="P17" s="514"/>
      <c r="Q17" s="511"/>
      <c r="R17" s="511"/>
      <c r="S17" s="511"/>
      <c r="T17" s="511"/>
      <c r="U17" s="511"/>
      <c r="V17" s="511"/>
      <c r="W17" s="511"/>
      <c r="X17" s="511"/>
      <c r="Y17" s="511"/>
      <c r="Z17" s="511"/>
      <c r="AA17" s="511"/>
      <c r="AB17" s="512"/>
    </row>
    <row r="18" spans="1:28" s="5" customFormat="1" ht="14.4" x14ac:dyDescent="0.3">
      <c r="A18" s="574"/>
      <c r="B18" s="575"/>
      <c r="C18" s="575"/>
      <c r="D18" s="575"/>
      <c r="E18" s="575"/>
      <c r="F18" s="575"/>
      <c r="G18" s="575"/>
      <c r="H18" s="575"/>
      <c r="I18" s="575"/>
      <c r="J18" s="6"/>
      <c r="K18" s="6"/>
      <c r="L18" s="6"/>
      <c r="M18" s="6"/>
      <c r="N18" s="374" t="s">
        <v>3</v>
      </c>
      <c r="P18" s="514" t="s">
        <v>466</v>
      </c>
      <c r="Q18" s="511"/>
      <c r="R18" s="511"/>
      <c r="S18" s="511"/>
      <c r="T18" s="511"/>
      <c r="U18" s="511"/>
      <c r="V18" s="511"/>
      <c r="W18" s="511"/>
      <c r="X18" s="511"/>
      <c r="Y18" s="511"/>
      <c r="Z18" s="511"/>
      <c r="AA18" s="511"/>
      <c r="AB18" s="512"/>
    </row>
    <row r="19" spans="1:28" s="5" customFormat="1" ht="14.4" x14ac:dyDescent="0.3">
      <c r="A19" s="597" t="s">
        <v>764</v>
      </c>
      <c r="B19" s="598"/>
      <c r="C19" s="598"/>
      <c r="D19" s="598"/>
      <c r="E19" s="598"/>
      <c r="F19" s="598"/>
      <c r="G19" s="598"/>
      <c r="H19" s="598"/>
      <c r="I19" s="598"/>
      <c r="J19" s="6"/>
      <c r="K19" s="6"/>
      <c r="L19" s="6"/>
      <c r="M19" s="6"/>
      <c r="N19" s="374" t="s">
        <v>3</v>
      </c>
      <c r="P19" s="515" t="s">
        <v>467</v>
      </c>
      <c r="Q19" s="511"/>
      <c r="R19" s="511"/>
      <c r="S19" s="511"/>
      <c r="T19" s="511"/>
      <c r="U19" s="511"/>
      <c r="V19" s="511"/>
      <c r="W19" s="511"/>
      <c r="X19" s="511"/>
      <c r="Y19" s="511"/>
      <c r="Z19" s="511"/>
      <c r="AA19" s="511"/>
      <c r="AB19" s="512"/>
    </row>
    <row r="20" spans="1:28" s="5" customFormat="1" ht="52.8" x14ac:dyDescent="0.25">
      <c r="A20" s="153"/>
      <c r="B20" s="601" t="s">
        <v>772</v>
      </c>
      <c r="C20" s="601" t="s">
        <v>776</v>
      </c>
      <c r="D20" s="601" t="s">
        <v>777</v>
      </c>
      <c r="E20" s="601" t="s">
        <v>778</v>
      </c>
      <c r="F20" s="602" t="s">
        <v>773</v>
      </c>
      <c r="G20" s="601" t="s">
        <v>774</v>
      </c>
      <c r="H20" s="601" t="s">
        <v>779</v>
      </c>
      <c r="I20" s="585" t="s">
        <v>770</v>
      </c>
      <c r="J20" s="603" t="s">
        <v>780</v>
      </c>
      <c r="K20" s="6"/>
      <c r="L20" s="6"/>
      <c r="M20" s="6"/>
      <c r="N20" s="374" t="s">
        <v>3</v>
      </c>
      <c r="P20" s="514"/>
      <c r="Q20" s="511"/>
      <c r="R20" s="511"/>
      <c r="S20" s="511"/>
      <c r="T20" s="511"/>
      <c r="U20" s="511"/>
      <c r="V20" s="511"/>
      <c r="W20" s="511"/>
      <c r="X20" s="511"/>
      <c r="Y20" s="511"/>
      <c r="Z20" s="511"/>
      <c r="AA20" s="511"/>
      <c r="AB20" s="512"/>
    </row>
    <row r="21" spans="1:28" s="5" customFormat="1" ht="13.8" x14ac:dyDescent="0.25">
      <c r="A21" s="155" t="s">
        <v>775</v>
      </c>
      <c r="B21" s="158"/>
      <c r="C21" s="595"/>
      <c r="D21" s="594" t="e">
        <f>C21/B21</f>
        <v>#DIV/0!</v>
      </c>
      <c r="E21" s="596"/>
      <c r="F21" s="594" t="e">
        <f>E21*D21</f>
        <v>#DIV/0!</v>
      </c>
      <c r="G21" s="599">
        <v>365</v>
      </c>
      <c r="H21" s="604" t="e">
        <f>F21*G21</f>
        <v>#DIV/0!</v>
      </c>
      <c r="I21" s="600">
        <v>0.2</v>
      </c>
      <c r="J21" s="594" t="e">
        <f>H21*(1+I21)</f>
        <v>#DIV/0!</v>
      </c>
      <c r="K21" s="374"/>
      <c r="L21" s="374"/>
      <c r="M21" s="374"/>
      <c r="N21" s="374" t="s">
        <v>3</v>
      </c>
      <c r="P21" s="514" t="s">
        <v>474</v>
      </c>
      <c r="Q21" s="511"/>
      <c r="R21" s="511"/>
      <c r="S21" s="511"/>
      <c r="T21" s="511"/>
      <c r="U21" s="511"/>
      <c r="V21" s="511"/>
      <c r="W21" s="511"/>
      <c r="X21" s="511"/>
      <c r="Y21" s="511"/>
      <c r="Z21" s="511"/>
      <c r="AA21" s="511"/>
      <c r="AB21" s="512"/>
    </row>
    <row r="22" spans="1:28" s="5" customFormat="1" ht="14.4" x14ac:dyDescent="0.3">
      <c r="A22" s="592"/>
      <c r="B22" s="174"/>
      <c r="C22" s="174"/>
      <c r="D22" s="174"/>
      <c r="E22" s="373" t="s">
        <v>3</v>
      </c>
      <c r="F22" s="373" t="s">
        <v>3</v>
      </c>
      <c r="G22" s="373" t="s">
        <v>3</v>
      </c>
      <c r="H22" s="6"/>
      <c r="I22" s="6"/>
      <c r="J22" s="6"/>
      <c r="K22" s="6"/>
      <c r="L22" s="6"/>
      <c r="M22" s="6"/>
      <c r="N22" s="374" t="s">
        <v>3</v>
      </c>
      <c r="P22" s="515" t="s">
        <v>468</v>
      </c>
      <c r="Q22" s="511"/>
      <c r="R22" s="511"/>
      <c r="S22" s="511"/>
      <c r="T22" s="511"/>
      <c r="U22" s="511"/>
      <c r="V22" s="511"/>
      <c r="W22" s="511"/>
      <c r="X22" s="511"/>
      <c r="Y22" s="511"/>
      <c r="Z22" s="511"/>
      <c r="AA22" s="511"/>
      <c r="AB22" s="512"/>
    </row>
    <row r="23" spans="1:28" s="5" customFormat="1" ht="13.8" x14ac:dyDescent="0.25">
      <c r="A23" s="176" t="s">
        <v>781</v>
      </c>
      <c r="B23" s="376"/>
      <c r="C23" s="176" t="s">
        <v>460</v>
      </c>
      <c r="D23" s="376"/>
      <c r="E23" s="374"/>
      <c r="F23" s="374"/>
      <c r="G23" s="374"/>
      <c r="H23" s="374"/>
      <c r="I23" s="573"/>
      <c r="J23" s="6"/>
      <c r="K23" s="6"/>
      <c r="L23" s="6"/>
      <c r="M23" s="567"/>
      <c r="N23" s="374" t="s">
        <v>3</v>
      </c>
      <c r="P23" s="514"/>
      <c r="Q23" s="511"/>
      <c r="R23" s="511"/>
      <c r="S23" s="511"/>
      <c r="T23" s="511"/>
      <c r="U23" s="511"/>
      <c r="V23" s="511"/>
      <c r="W23" s="511"/>
      <c r="X23" s="511"/>
      <c r="Y23" s="511"/>
      <c r="Z23" s="511"/>
      <c r="AA23" s="511"/>
      <c r="AB23" s="512"/>
    </row>
    <row r="24" spans="1:28" s="5" customFormat="1" ht="13.8" x14ac:dyDescent="0.25">
      <c r="A24" s="592" t="s">
        <v>771</v>
      </c>
      <c r="B24" s="376"/>
      <c r="C24" s="176"/>
      <c r="D24" s="376"/>
      <c r="E24" s="374"/>
      <c r="F24" s="374"/>
      <c r="G24" s="374"/>
      <c r="H24" s="374"/>
      <c r="I24" s="573"/>
      <c r="J24" s="6"/>
      <c r="K24" s="6"/>
      <c r="L24" s="6"/>
      <c r="M24" s="165"/>
      <c r="N24" s="374" t="s">
        <v>3</v>
      </c>
      <c r="P24" s="506" t="s">
        <v>746</v>
      </c>
      <c r="Q24" s="511"/>
      <c r="R24" s="511"/>
      <c r="S24" s="511"/>
      <c r="T24" s="511"/>
      <c r="U24" s="511"/>
      <c r="V24" s="511"/>
      <c r="W24" s="511"/>
      <c r="X24" s="511"/>
      <c r="Y24" s="511"/>
      <c r="Z24" s="511"/>
      <c r="AA24" s="511"/>
      <c r="AB24" s="512"/>
    </row>
    <row r="25" spans="1:28" s="5" customFormat="1" ht="13.8" x14ac:dyDescent="0.25">
      <c r="A25" s="176"/>
      <c r="B25" s="376"/>
      <c r="C25" s="176"/>
      <c r="D25" s="376"/>
      <c r="E25" s="374"/>
      <c r="F25" s="374"/>
      <c r="G25" s="374"/>
      <c r="H25" s="374"/>
      <c r="I25" s="573"/>
      <c r="J25" s="6"/>
      <c r="K25" s="6"/>
      <c r="L25" s="6"/>
      <c r="M25" s="165"/>
      <c r="N25" s="374"/>
      <c r="P25" s="514" t="s">
        <v>747</v>
      </c>
      <c r="Q25" s="511"/>
      <c r="R25" s="511"/>
      <c r="S25" s="511"/>
      <c r="T25" s="511"/>
      <c r="U25" s="511"/>
      <c r="V25" s="511"/>
      <c r="W25" s="511"/>
      <c r="X25" s="511"/>
      <c r="Y25" s="511"/>
      <c r="Z25" s="511"/>
      <c r="AA25" s="511"/>
      <c r="AB25" s="512"/>
    </row>
    <row r="26" spans="1:28" s="5" customFormat="1" ht="13.8" x14ac:dyDescent="0.25">
      <c r="A26" s="176"/>
      <c r="B26" s="376"/>
      <c r="C26" s="176"/>
      <c r="D26" s="376"/>
      <c r="E26" s="374"/>
      <c r="F26" s="374"/>
      <c r="G26" s="374"/>
      <c r="H26" s="374"/>
      <c r="I26" s="573"/>
      <c r="J26" s="6"/>
      <c r="K26" s="6"/>
      <c r="L26" s="6"/>
      <c r="M26" s="165"/>
      <c r="N26" s="374"/>
      <c r="P26" s="514" t="s">
        <v>586</v>
      </c>
      <c r="Q26" s="511"/>
      <c r="R26" s="511"/>
      <c r="S26" s="511"/>
      <c r="T26" s="511"/>
      <c r="U26" s="511"/>
      <c r="V26" s="511"/>
      <c r="W26" s="511"/>
      <c r="X26" s="511"/>
      <c r="Y26" s="511"/>
      <c r="Z26" s="511"/>
      <c r="AA26" s="511"/>
      <c r="AB26" s="512"/>
    </row>
    <row r="27" spans="1:28" s="5" customFormat="1" ht="13.8" x14ac:dyDescent="0.25">
      <c r="A27" s="160"/>
      <c r="B27" s="154"/>
      <c r="C27" s="154"/>
      <c r="D27" s="154"/>
      <c r="E27" s="154"/>
      <c r="F27" s="567"/>
      <c r="G27" s="567"/>
      <c r="H27" s="568"/>
      <c r="I27" s="567"/>
      <c r="J27" s="567"/>
      <c r="K27" s="567"/>
      <c r="L27" s="567"/>
      <c r="M27" s="165"/>
      <c r="N27" s="374" t="s">
        <v>3</v>
      </c>
      <c r="P27" s="514" t="s">
        <v>587</v>
      </c>
      <c r="Q27" s="511"/>
      <c r="R27" s="511"/>
      <c r="S27" s="511"/>
      <c r="T27" s="511"/>
      <c r="U27" s="511"/>
      <c r="V27" s="511"/>
      <c r="W27" s="511"/>
      <c r="X27" s="511"/>
      <c r="Y27" s="511"/>
      <c r="Z27" s="511"/>
      <c r="AA27" s="511"/>
      <c r="AB27" s="512"/>
    </row>
    <row r="28" spans="1:28" s="5" customFormat="1" ht="14.4" x14ac:dyDescent="0.3">
      <c r="A28" s="593" t="s">
        <v>469</v>
      </c>
      <c r="B28" s="171"/>
      <c r="C28" s="171"/>
      <c r="D28" s="171"/>
      <c r="E28" s="171"/>
      <c r="F28" s="171"/>
      <c r="G28" s="171"/>
      <c r="H28" s="171"/>
      <c r="I28" s="171"/>
      <c r="J28" s="171"/>
      <c r="K28" s="171"/>
      <c r="L28" s="172"/>
      <c r="M28" s="166"/>
      <c r="N28" s="374" t="s">
        <v>3</v>
      </c>
      <c r="P28" s="514" t="s">
        <v>585</v>
      </c>
      <c r="Q28" s="511"/>
      <c r="R28" s="511"/>
      <c r="S28" s="511"/>
      <c r="T28" s="511"/>
      <c r="U28" s="511"/>
      <c r="V28" s="511"/>
      <c r="W28" s="511"/>
      <c r="X28" s="511"/>
      <c r="Y28" s="511"/>
      <c r="Z28" s="511"/>
      <c r="AA28" s="511"/>
      <c r="AB28" s="512"/>
    </row>
    <row r="29" spans="1:28" s="11" customFormat="1" ht="53.4" x14ac:dyDescent="0.3">
      <c r="A29" s="153" t="s">
        <v>745</v>
      </c>
      <c r="B29" s="154"/>
      <c r="C29" s="169" t="s">
        <v>486</v>
      </c>
      <c r="D29" s="169" t="s">
        <v>487</v>
      </c>
      <c r="E29" s="169" t="s">
        <v>473</v>
      </c>
      <c r="F29" s="169" t="s">
        <v>457</v>
      </c>
      <c r="G29" s="169" t="s">
        <v>488</v>
      </c>
      <c r="H29" s="170" t="s">
        <v>452</v>
      </c>
      <c r="I29" s="169" t="s">
        <v>489</v>
      </c>
      <c r="J29" s="169" t="s">
        <v>738</v>
      </c>
      <c r="K29" s="169" t="s">
        <v>739</v>
      </c>
      <c r="L29" s="169" t="s">
        <v>453</v>
      </c>
      <c r="M29" s="166"/>
      <c r="N29" s="374" t="s">
        <v>3</v>
      </c>
      <c r="P29" s="519" t="s">
        <v>588</v>
      </c>
      <c r="Q29" s="520"/>
      <c r="R29" s="520"/>
      <c r="S29" s="520"/>
      <c r="T29" s="520"/>
      <c r="U29" s="520"/>
      <c r="V29" s="520"/>
      <c r="W29" s="520"/>
      <c r="X29" s="520"/>
      <c r="Y29" s="520"/>
      <c r="Z29" s="520"/>
      <c r="AA29" s="520"/>
      <c r="AB29" s="521"/>
    </row>
    <row r="30" spans="1:28" s="5" customFormat="1" ht="13.8" x14ac:dyDescent="0.25">
      <c r="A30" s="155" t="s">
        <v>454</v>
      </c>
      <c r="B30" s="156"/>
      <c r="C30" s="552">
        <v>10</v>
      </c>
      <c r="D30" s="552">
        <v>78.599999999999994</v>
      </c>
      <c r="E30" s="157">
        <f>D30*C30</f>
        <v>786</v>
      </c>
      <c r="F30" s="158">
        <f>ROUNDUP(E30/150,0)</f>
        <v>6</v>
      </c>
      <c r="G30" s="553">
        <v>1</v>
      </c>
      <c r="H30" s="157">
        <f>F30*G30</f>
        <v>6</v>
      </c>
      <c r="I30" s="554"/>
      <c r="J30" s="159">
        <f>I30*H30</f>
        <v>0</v>
      </c>
      <c r="K30" s="555">
        <v>0.2</v>
      </c>
      <c r="L30" s="159">
        <f>J30*(1+K30)</f>
        <v>0</v>
      </c>
      <c r="M30" s="567"/>
      <c r="N30" s="374" t="s">
        <v>3</v>
      </c>
    </row>
    <row r="31" spans="1:28" s="5" customFormat="1" ht="14.4" x14ac:dyDescent="0.3">
      <c r="A31" s="155" t="s">
        <v>459</v>
      </c>
      <c r="B31" s="156"/>
      <c r="C31" s="552">
        <v>5</v>
      </c>
      <c r="D31" s="552">
        <v>78.599999999999994</v>
      </c>
      <c r="E31" s="157">
        <f>D31*C31</f>
        <v>393</v>
      </c>
      <c r="F31" s="158">
        <f>ROUNDUP(E31/150,0)</f>
        <v>3</v>
      </c>
      <c r="G31" s="553">
        <v>11</v>
      </c>
      <c r="H31" s="157">
        <f>F31*G31</f>
        <v>33</v>
      </c>
      <c r="I31" s="554"/>
      <c r="J31" s="159">
        <f>I31*H31</f>
        <v>0</v>
      </c>
      <c r="K31" s="555">
        <v>0.2</v>
      </c>
      <c r="L31" s="159">
        <f>J31*(1+K31)</f>
        <v>0</v>
      </c>
      <c r="M31" s="165"/>
      <c r="N31" s="374" t="s">
        <v>3</v>
      </c>
      <c r="P31" s="17"/>
    </row>
    <row r="32" spans="1:28" s="5" customFormat="1" ht="14.4" x14ac:dyDescent="0.3">
      <c r="A32" s="375" t="s">
        <v>3</v>
      </c>
      <c r="B32" s="376" t="s">
        <v>3</v>
      </c>
      <c r="C32" s="376" t="s">
        <v>3</v>
      </c>
      <c r="D32" s="376" t="s">
        <v>3</v>
      </c>
      <c r="E32" s="373" t="s">
        <v>3</v>
      </c>
      <c r="F32" s="373" t="s">
        <v>3</v>
      </c>
      <c r="G32" s="373" t="s">
        <v>3</v>
      </c>
      <c r="H32" s="373" t="s">
        <v>3</v>
      </c>
      <c r="I32" s="489"/>
      <c r="J32" s="489"/>
      <c r="K32" s="497" t="s">
        <v>740</v>
      </c>
      <c r="L32" s="161">
        <f t="shared" ref="L32" si="1">SUM(L30:L31)</f>
        <v>0</v>
      </c>
      <c r="M32" s="165"/>
      <c r="N32" s="374" t="s">
        <v>3</v>
      </c>
    </row>
    <row r="33" spans="1:14" s="5" customFormat="1" ht="14.4" x14ac:dyDescent="0.3">
      <c r="A33" s="375"/>
      <c r="B33" s="376"/>
      <c r="C33" s="376"/>
      <c r="D33" s="376"/>
      <c r="E33" s="373"/>
      <c r="F33" s="373"/>
      <c r="G33" s="373"/>
      <c r="H33" s="373"/>
      <c r="I33" s="492"/>
      <c r="J33" s="166"/>
      <c r="K33" s="166"/>
      <c r="L33" s="493"/>
      <c r="M33" s="166"/>
      <c r="N33" s="374" t="s">
        <v>3</v>
      </c>
    </row>
    <row r="34" spans="1:14" s="5" customFormat="1" ht="39.6" x14ac:dyDescent="0.25">
      <c r="A34" s="153" t="s">
        <v>458</v>
      </c>
      <c r="B34" s="154"/>
      <c r="C34" s="154"/>
      <c r="D34" s="154"/>
      <c r="E34" s="173"/>
      <c r="F34" s="173"/>
      <c r="G34" s="605"/>
      <c r="H34" s="490" t="s">
        <v>741</v>
      </c>
      <c r="I34" s="491" t="s">
        <v>742</v>
      </c>
      <c r="J34" s="491" t="s">
        <v>738</v>
      </c>
      <c r="K34" s="491" t="s">
        <v>739</v>
      </c>
      <c r="L34" s="169" t="s">
        <v>453</v>
      </c>
      <c r="M34" s="166"/>
      <c r="N34" s="374" t="s">
        <v>3</v>
      </c>
    </row>
    <row r="35" spans="1:14" s="5" customFormat="1" ht="13.8" x14ac:dyDescent="0.25">
      <c r="A35" s="162" t="s">
        <v>455</v>
      </c>
      <c r="B35" s="163"/>
      <c r="C35" s="158"/>
      <c r="D35" s="167"/>
      <c r="E35" s="168"/>
      <c r="F35" s="168"/>
      <c r="G35" s="606"/>
      <c r="H35" s="157">
        <v>1</v>
      </c>
      <c r="I35" s="556">
        <v>322</v>
      </c>
      <c r="J35" s="159">
        <f>I35*H35</f>
        <v>322</v>
      </c>
      <c r="K35" s="555">
        <v>0</v>
      </c>
      <c r="L35" s="159">
        <f>J35*(1+K35)</f>
        <v>322</v>
      </c>
      <c r="M35" s="166"/>
      <c r="N35" s="374"/>
    </row>
    <row r="36" spans="1:14" s="5" customFormat="1" ht="13.8" x14ac:dyDescent="0.25">
      <c r="A36" s="155" t="s">
        <v>456</v>
      </c>
      <c r="B36" s="168"/>
      <c r="C36" s="156"/>
      <c r="D36" s="167"/>
      <c r="E36" s="168"/>
      <c r="F36" s="168"/>
      <c r="G36" s="606"/>
      <c r="H36" s="157">
        <v>11</v>
      </c>
      <c r="I36" s="556">
        <v>161</v>
      </c>
      <c r="J36" s="159">
        <f>I36*H36</f>
        <v>1771</v>
      </c>
      <c r="K36" s="555">
        <v>0</v>
      </c>
      <c r="L36" s="159">
        <f>J36*(1+K36)</f>
        <v>1771</v>
      </c>
      <c r="M36" s="166"/>
      <c r="N36" s="374"/>
    </row>
    <row r="37" spans="1:14" s="5" customFormat="1" ht="13.8" x14ac:dyDescent="0.25">
      <c r="A37" s="377" t="s">
        <v>3</v>
      </c>
      <c r="B37" s="374" t="s">
        <v>3</v>
      </c>
      <c r="C37" s="374" t="s">
        <v>3</v>
      </c>
      <c r="D37" s="374" t="s">
        <v>3</v>
      </c>
      <c r="E37" s="374" t="s">
        <v>3</v>
      </c>
      <c r="F37" s="374" t="s">
        <v>3</v>
      </c>
      <c r="G37" s="374" t="s">
        <v>3</v>
      </c>
      <c r="H37" s="164"/>
      <c r="I37" s="496"/>
      <c r="J37" s="496"/>
      <c r="K37" s="497" t="s">
        <v>743</v>
      </c>
      <c r="L37" s="161">
        <f t="shared" ref="L37" si="2">SUM(L35:L36)</f>
        <v>2093</v>
      </c>
      <c r="M37" s="166"/>
      <c r="N37" s="374"/>
    </row>
    <row r="38" spans="1:14" s="5" customFormat="1" ht="13.8" x14ac:dyDescent="0.25">
      <c r="A38" s="377" t="s">
        <v>3</v>
      </c>
      <c r="B38" s="374" t="s">
        <v>3</v>
      </c>
      <c r="C38" s="374" t="s">
        <v>3</v>
      </c>
      <c r="D38" s="374" t="s">
        <v>3</v>
      </c>
      <c r="E38" s="374" t="s">
        <v>3</v>
      </c>
      <c r="F38" s="374" t="s">
        <v>3</v>
      </c>
      <c r="G38" s="154"/>
      <c r="H38" s="164"/>
      <c r="I38" s="494"/>
      <c r="J38" s="494"/>
      <c r="K38" s="495" t="s">
        <v>744</v>
      </c>
      <c r="L38" s="161">
        <f>L37+L32</f>
        <v>2093</v>
      </c>
      <c r="M38" s="166"/>
      <c r="N38" s="374"/>
    </row>
    <row r="39" spans="1:14" s="5" customFormat="1" ht="13.8" x14ac:dyDescent="0.25">
      <c r="A39" s="176" t="s">
        <v>735</v>
      </c>
      <c r="B39" s="176"/>
      <c r="C39" s="176"/>
      <c r="D39" s="176"/>
      <c r="E39" s="174"/>
      <c r="F39" s="174"/>
      <c r="G39" s="174"/>
      <c r="H39" s="174"/>
      <c r="I39" s="175"/>
      <c r="J39" s="175"/>
      <c r="K39" s="166"/>
      <c r="L39" s="166"/>
      <c r="M39" s="6"/>
      <c r="N39" s="374" t="s">
        <v>3</v>
      </c>
    </row>
    <row r="40" spans="1:14" s="5" customFormat="1" ht="14.4" x14ac:dyDescent="0.3">
      <c r="A40" s="488" t="s">
        <v>734</v>
      </c>
      <c r="B40" s="177"/>
      <c r="C40" s="177"/>
      <c r="D40" s="177"/>
      <c r="E40" s="177"/>
      <c r="F40" s="177"/>
      <c r="G40" s="177"/>
      <c r="H40" s="177"/>
      <c r="I40" s="6"/>
      <c r="J40" s="6"/>
      <c r="K40" s="6"/>
      <c r="L40" s="6"/>
      <c r="M40" s="6"/>
      <c r="N40" s="374" t="s">
        <v>3</v>
      </c>
    </row>
    <row r="41" spans="1:14" s="5" customFormat="1" ht="13.8" x14ac:dyDescent="0.25">
      <c r="A41" s="160" t="s">
        <v>736</v>
      </c>
      <c r="B41" s="154"/>
      <c r="C41" s="154"/>
      <c r="D41" s="154"/>
      <c r="E41" s="154"/>
      <c r="F41" s="154"/>
      <c r="G41" s="154"/>
      <c r="H41" s="164"/>
      <c r="I41" s="165"/>
      <c r="J41" s="166"/>
      <c r="K41" s="6"/>
      <c r="L41" s="6"/>
      <c r="M41" s="6"/>
      <c r="N41" s="374"/>
    </row>
    <row r="42" spans="1:14" s="5" customFormat="1" ht="14.4" x14ac:dyDescent="0.3">
      <c r="A42" s="215" t="s">
        <v>737</v>
      </c>
      <c r="B42" s="6"/>
      <c r="C42" s="6"/>
      <c r="D42" s="6"/>
      <c r="E42" s="6"/>
      <c r="F42" s="6"/>
      <c r="G42" s="6"/>
      <c r="H42" s="6"/>
      <c r="I42" s="6"/>
      <c r="J42" s="6"/>
      <c r="K42" s="6"/>
      <c r="L42" s="6"/>
      <c r="M42" s="6"/>
      <c r="N42" s="374" t="s">
        <v>3</v>
      </c>
    </row>
    <row r="43" spans="1:14" s="5" customFormat="1" ht="13.8" x14ac:dyDescent="0.25">
      <c r="A43" s="176" t="s">
        <v>781</v>
      </c>
      <c r="B43" s="6"/>
      <c r="C43" s="176" t="s">
        <v>460</v>
      </c>
      <c r="D43" s="6"/>
      <c r="E43" s="6"/>
      <c r="F43" s="6"/>
      <c r="G43" s="6"/>
      <c r="H43" s="6"/>
      <c r="I43" s="6"/>
      <c r="J43" s="6"/>
      <c r="K43" s="6"/>
      <c r="L43" s="6"/>
      <c r="M43" s="567"/>
      <c r="N43" s="374" t="s">
        <v>3</v>
      </c>
    </row>
    <row r="44" spans="1:14" s="5" customFormat="1" ht="13.8" x14ac:dyDescent="0.25">
      <c r="A44" s="592" t="s">
        <v>771</v>
      </c>
      <c r="B44" s="6"/>
      <c r="C44" s="6"/>
      <c r="D44" s="6"/>
      <c r="E44" s="6"/>
      <c r="F44" s="6"/>
      <c r="G44" s="6"/>
      <c r="H44" s="6"/>
      <c r="I44" s="6"/>
      <c r="J44" s="6"/>
      <c r="K44" s="567"/>
      <c r="L44" s="567"/>
      <c r="M44" s="165"/>
      <c r="N44" s="374" t="s">
        <v>3</v>
      </c>
    </row>
    <row r="45" spans="1:14" s="5" customFormat="1" ht="13.8" x14ac:dyDescent="0.25">
      <c r="A45" s="174"/>
      <c r="B45" s="6"/>
      <c r="C45" s="6"/>
      <c r="D45" s="6"/>
      <c r="E45" s="6"/>
      <c r="F45" s="6"/>
      <c r="G45" s="6"/>
      <c r="H45" s="6"/>
      <c r="I45" s="6"/>
      <c r="J45" s="6"/>
      <c r="K45" s="165"/>
      <c r="L45" s="571"/>
      <c r="M45" s="165"/>
      <c r="N45" s="374" t="s">
        <v>3</v>
      </c>
    </row>
    <row r="46" spans="1:14" s="5" customFormat="1" ht="14.4" x14ac:dyDescent="0.3">
      <c r="A46"/>
      <c r="B46" s="6"/>
      <c r="C46" s="6"/>
      <c r="D46" s="6"/>
      <c r="E46" s="6"/>
      <c r="F46" s="6"/>
      <c r="G46" s="6"/>
      <c r="H46" s="6"/>
      <c r="I46" s="6"/>
      <c r="J46" s="6"/>
      <c r="K46" s="165"/>
      <c r="L46" s="571"/>
      <c r="M46" s="166"/>
      <c r="N46" s="374" t="s">
        <v>3</v>
      </c>
    </row>
    <row r="47" spans="1:14" s="11" customFormat="1" ht="17.25" customHeight="1" x14ac:dyDescent="0.25">
      <c r="A47" s="153"/>
      <c r="B47" s="154"/>
      <c r="C47" s="154"/>
      <c r="D47" s="154"/>
      <c r="E47" s="567"/>
      <c r="F47" s="567"/>
      <c r="G47" s="567"/>
      <c r="H47" s="567"/>
      <c r="I47" s="568"/>
      <c r="J47" s="567"/>
      <c r="K47" s="166"/>
      <c r="L47" s="572"/>
      <c r="M47" s="166"/>
      <c r="N47" s="374" t="s">
        <v>3</v>
      </c>
    </row>
    <row r="48" spans="1:14" s="5" customFormat="1" ht="13.8" x14ac:dyDescent="0.25">
      <c r="A48" s="160"/>
      <c r="B48" s="154"/>
      <c r="C48" s="154"/>
      <c r="D48" s="154"/>
      <c r="E48" s="154"/>
      <c r="F48" s="154"/>
      <c r="G48" s="154"/>
      <c r="H48" s="569"/>
      <c r="I48" s="164"/>
      <c r="J48" s="570"/>
      <c r="K48" s="166"/>
      <c r="L48" s="166"/>
      <c r="M48" s="567"/>
      <c r="N48" s="374" t="s">
        <v>3</v>
      </c>
    </row>
    <row r="49" spans="1:14" s="5" customFormat="1" ht="13.8" x14ac:dyDescent="0.25">
      <c r="A49" s="160"/>
      <c r="B49" s="154"/>
      <c r="C49" s="154"/>
      <c r="D49" s="154"/>
      <c r="E49" s="154"/>
      <c r="F49" s="154"/>
      <c r="G49" s="154"/>
      <c r="H49" s="569"/>
      <c r="I49" s="164"/>
      <c r="J49" s="570"/>
      <c r="K49" s="567"/>
      <c r="L49" s="567"/>
      <c r="M49" s="165"/>
      <c r="N49" s="374" t="s">
        <v>3</v>
      </c>
    </row>
    <row r="50" spans="1:14" s="5" customFormat="1" ht="14.4" x14ac:dyDescent="0.3">
      <c r="A50" s="375"/>
      <c r="B50" s="376"/>
      <c r="C50" s="376"/>
      <c r="D50" s="376"/>
      <c r="E50" s="376"/>
      <c r="F50" s="376"/>
      <c r="G50" s="374"/>
      <c r="H50" s="374"/>
      <c r="I50" s="374"/>
      <c r="J50" s="166"/>
      <c r="K50" s="165"/>
      <c r="L50" s="571"/>
      <c r="M50" s="165"/>
      <c r="N50" s="374" t="s">
        <v>3</v>
      </c>
    </row>
    <row r="51" spans="1:14" s="5" customFormat="1" ht="14.4" x14ac:dyDescent="0.3">
      <c r="A51" s="375"/>
      <c r="B51" s="376"/>
      <c r="C51" s="376"/>
      <c r="D51" s="376"/>
      <c r="E51" s="376"/>
      <c r="F51" s="376"/>
      <c r="G51" s="374"/>
      <c r="H51" s="374"/>
      <c r="I51" s="374"/>
      <c r="J51" s="573"/>
      <c r="K51" s="165"/>
      <c r="L51" s="571"/>
      <c r="M51" s="166"/>
      <c r="N51" s="374" t="s">
        <v>3</v>
      </c>
    </row>
    <row r="52" spans="1:14" s="5" customFormat="1" ht="13.8" x14ac:dyDescent="0.25">
      <c r="A52" s="153"/>
      <c r="B52" s="154"/>
      <c r="C52" s="154"/>
      <c r="D52" s="154"/>
      <c r="E52" s="154"/>
      <c r="F52" s="154"/>
      <c r="G52" s="154"/>
      <c r="H52" s="568"/>
      <c r="I52" s="568"/>
      <c r="J52" s="567"/>
      <c r="K52" s="494"/>
      <c r="L52" s="572"/>
      <c r="M52" s="166"/>
      <c r="N52" s="374" t="s">
        <v>3</v>
      </c>
    </row>
    <row r="53" spans="1:14" s="5" customFormat="1" ht="13.8" x14ac:dyDescent="0.25">
      <c r="A53" s="160"/>
      <c r="B53" s="154"/>
      <c r="C53" s="154"/>
      <c r="D53" s="154"/>
      <c r="E53" s="154"/>
      <c r="F53" s="154"/>
      <c r="G53" s="154"/>
      <c r="H53" s="164"/>
      <c r="I53" s="164"/>
      <c r="J53" s="165"/>
      <c r="K53" s="494"/>
      <c r="L53" s="572"/>
      <c r="M53" s="175"/>
      <c r="N53" s="374" t="s">
        <v>3</v>
      </c>
    </row>
    <row r="54" spans="1:14" s="5" customFormat="1" ht="13.8" x14ac:dyDescent="0.25">
      <c r="A54" s="160"/>
      <c r="B54" s="154"/>
      <c r="C54" s="154"/>
      <c r="D54" s="154"/>
      <c r="E54" s="154"/>
      <c r="F54" s="154"/>
      <c r="G54" s="154"/>
      <c r="H54" s="164"/>
      <c r="I54" s="164"/>
      <c r="J54" s="165"/>
      <c r="K54" s="175"/>
      <c r="L54" s="175"/>
      <c r="M54" s="6"/>
      <c r="N54" s="374" t="s">
        <v>3</v>
      </c>
    </row>
    <row r="55" spans="1:14" s="5" customFormat="1" ht="13.8" x14ac:dyDescent="0.25">
      <c r="A55" s="377"/>
      <c r="B55" s="374"/>
      <c r="C55" s="374"/>
      <c r="D55" s="374"/>
      <c r="E55" s="374"/>
      <c r="F55" s="374"/>
      <c r="G55" s="374"/>
      <c r="H55" s="374"/>
      <c r="I55" s="164"/>
      <c r="J55" s="494"/>
      <c r="K55" s="6"/>
      <c r="L55" s="6"/>
      <c r="M55" s="166"/>
      <c r="N55" s="374" t="s">
        <v>3</v>
      </c>
    </row>
    <row r="56" spans="1:14" s="5" customFormat="1" ht="13.8" x14ac:dyDescent="0.25">
      <c r="A56" s="377"/>
      <c r="B56" s="374"/>
      <c r="C56" s="374"/>
      <c r="D56" s="374"/>
      <c r="E56" s="374"/>
      <c r="F56" s="374"/>
      <c r="G56" s="374"/>
      <c r="H56" s="154"/>
      <c r="I56" s="164"/>
      <c r="J56" s="494"/>
      <c r="K56" s="166"/>
      <c r="L56" s="166"/>
      <c r="M56" s="6"/>
      <c r="N56" s="374" t="s">
        <v>3</v>
      </c>
    </row>
    <row r="57" spans="1:14" s="5" customFormat="1" ht="13.8" x14ac:dyDescent="0.25">
      <c r="A57" s="174"/>
      <c r="B57" s="174"/>
      <c r="C57" s="174"/>
      <c r="D57" s="174"/>
      <c r="E57" s="174"/>
      <c r="F57" s="174"/>
      <c r="G57" s="174"/>
      <c r="H57" s="174"/>
      <c r="I57" s="174"/>
      <c r="J57" s="175"/>
      <c r="K57" s="6"/>
      <c r="L57" s="6"/>
      <c r="M57" s="6"/>
      <c r="N57" s="374" t="s">
        <v>3</v>
      </c>
    </row>
    <row r="58" spans="1:14" s="5" customFormat="1" ht="14.4" x14ac:dyDescent="0.3">
      <c r="A58" s="574"/>
      <c r="B58" s="575"/>
      <c r="C58" s="575"/>
      <c r="D58" s="575"/>
      <c r="E58" s="575"/>
      <c r="F58" s="575"/>
      <c r="G58" s="575"/>
      <c r="H58" s="575"/>
      <c r="I58" s="575"/>
      <c r="J58" s="6"/>
      <c r="K58" s="6"/>
      <c r="L58" s="6"/>
      <c r="M58" s="6"/>
      <c r="N58" s="374" t="s">
        <v>3</v>
      </c>
    </row>
    <row r="59" spans="1:14" s="5" customFormat="1" ht="13.8" x14ac:dyDescent="0.25">
      <c r="A59" s="160"/>
      <c r="B59" s="154"/>
      <c r="C59" s="154"/>
      <c r="D59" s="154"/>
      <c r="E59" s="154"/>
      <c r="F59" s="154"/>
      <c r="G59" s="154"/>
      <c r="H59" s="154"/>
      <c r="I59" s="164"/>
      <c r="J59" s="165"/>
      <c r="K59" s="6"/>
      <c r="L59" s="6"/>
      <c r="M59" s="6"/>
      <c r="N59" s="374"/>
    </row>
    <row r="60" spans="1:14" s="5" customFormat="1" ht="14.4" x14ac:dyDescent="0.3">
      <c r="A60" s="566"/>
      <c r="B60" s="6"/>
      <c r="C60" s="6"/>
      <c r="D60" s="6"/>
      <c r="E60" s="6"/>
      <c r="F60" s="6"/>
      <c r="G60" s="6"/>
      <c r="H60" s="6"/>
      <c r="I60" s="6"/>
      <c r="J60" s="6"/>
      <c r="K60" s="6"/>
      <c r="L60" s="6"/>
      <c r="M60" s="6"/>
    </row>
    <row r="61" spans="1:14" s="5" customFormat="1" ht="13.8" x14ac:dyDescent="0.25">
      <c r="A61" s="174"/>
      <c r="B61" s="6"/>
      <c r="C61" s="6"/>
      <c r="D61" s="6"/>
      <c r="E61" s="6"/>
      <c r="F61" s="6"/>
      <c r="G61" s="6"/>
      <c r="H61" s="6"/>
      <c r="I61" s="6"/>
      <c r="J61" s="6"/>
      <c r="K61" s="6"/>
      <c r="L61" s="6"/>
      <c r="M61" s="6"/>
    </row>
    <row r="62" spans="1:14" s="5" customFormat="1" ht="13.8" x14ac:dyDescent="0.25">
      <c r="A62" s="174"/>
      <c r="B62" s="6"/>
      <c r="C62" s="6"/>
      <c r="D62" s="6"/>
      <c r="E62" s="6"/>
      <c r="F62" s="6"/>
      <c r="G62" s="6"/>
      <c r="H62" s="6"/>
      <c r="I62" s="6"/>
      <c r="J62" s="6"/>
      <c r="K62" s="6"/>
      <c r="L62" s="6"/>
      <c r="M62" s="6"/>
    </row>
    <row r="63" spans="1:14" s="5" customFormat="1" ht="13.8" x14ac:dyDescent="0.25">
      <c r="A63" s="174"/>
      <c r="B63" s="6"/>
      <c r="C63" s="6"/>
      <c r="D63" s="6"/>
      <c r="E63" s="6"/>
      <c r="F63" s="6"/>
      <c r="G63" s="6"/>
      <c r="H63" s="6"/>
      <c r="I63" s="6"/>
      <c r="J63" s="6"/>
      <c r="K63" s="6"/>
      <c r="L63" s="6"/>
      <c r="M63" s="6"/>
    </row>
    <row r="64" spans="1:14" s="5" customFormat="1" ht="13.8" x14ac:dyDescent="0.25">
      <c r="A64" s="6"/>
      <c r="B64" s="6"/>
      <c r="C64" s="6"/>
      <c r="D64" s="6"/>
      <c r="E64" s="6"/>
      <c r="F64" s="6"/>
      <c r="G64" s="6"/>
      <c r="H64" s="6"/>
      <c r="I64" s="6"/>
      <c r="J64" s="6"/>
      <c r="K64" s="6"/>
      <c r="L64" s="6"/>
      <c r="M64" s="6"/>
    </row>
    <row r="65" spans="1:13" s="5" customFormat="1" ht="13.8" x14ac:dyDescent="0.25">
      <c r="A65" s="6"/>
      <c r="B65" s="6"/>
      <c r="C65" s="6"/>
      <c r="D65" s="6"/>
      <c r="E65" s="6"/>
      <c r="F65" s="6"/>
      <c r="G65" s="6"/>
      <c r="H65" s="6"/>
      <c r="I65" s="6"/>
      <c r="J65" s="6"/>
      <c r="K65" s="6"/>
      <c r="L65" s="6"/>
      <c r="M65" s="6"/>
    </row>
    <row r="66" spans="1:13" s="5" customFormat="1" ht="13.8" x14ac:dyDescent="0.25">
      <c r="A66" s="6"/>
      <c r="B66" s="6"/>
      <c r="C66" s="6"/>
      <c r="D66" s="6"/>
      <c r="E66" s="6"/>
      <c r="F66" s="6"/>
      <c r="G66" s="6"/>
      <c r="H66" s="6"/>
      <c r="I66" s="6"/>
      <c r="J66" s="6"/>
      <c r="K66" s="6"/>
      <c r="L66" s="6"/>
      <c r="M66" s="6"/>
    </row>
    <row r="67" spans="1:13" s="5" customFormat="1" ht="13.8" x14ac:dyDescent="0.25">
      <c r="A67" s="6"/>
      <c r="B67" s="6"/>
      <c r="C67" s="6"/>
      <c r="D67" s="6"/>
      <c r="E67" s="6"/>
      <c r="F67" s="6"/>
      <c r="G67" s="6"/>
      <c r="H67" s="6"/>
      <c r="I67" s="6"/>
      <c r="J67" s="6"/>
      <c r="K67" s="6"/>
      <c r="L67" s="6"/>
      <c r="M67" s="6"/>
    </row>
    <row r="68" spans="1:13" s="5" customFormat="1" ht="13.8" x14ac:dyDescent="0.25">
      <c r="A68" s="6"/>
      <c r="B68" s="6"/>
      <c r="C68" s="6"/>
      <c r="D68" s="6"/>
      <c r="E68" s="6"/>
      <c r="F68" s="6"/>
      <c r="G68" s="6"/>
      <c r="H68" s="6"/>
      <c r="I68" s="6"/>
      <c r="J68" s="6"/>
      <c r="K68" s="6"/>
      <c r="L68" s="6"/>
      <c r="M68" s="6"/>
    </row>
    <row r="69" spans="1:13" s="5" customFormat="1" ht="13.8" x14ac:dyDescent="0.25">
      <c r="A69" s="6"/>
      <c r="B69" s="6"/>
      <c r="C69" s="6"/>
      <c r="D69" s="6"/>
      <c r="E69" s="6"/>
      <c r="F69" s="6"/>
      <c r="G69" s="6"/>
      <c r="H69" s="6"/>
      <c r="I69" s="6"/>
      <c r="J69" s="6"/>
      <c r="K69" s="6"/>
      <c r="L69" s="6"/>
      <c r="M69" s="6"/>
    </row>
    <row r="70" spans="1:13" s="5" customFormat="1" ht="13.8" x14ac:dyDescent="0.25">
      <c r="A70" s="6"/>
      <c r="B70" s="6"/>
      <c r="C70" s="6"/>
      <c r="D70" s="6"/>
      <c r="E70" s="6"/>
      <c r="F70" s="6"/>
      <c r="G70" s="6"/>
      <c r="H70" s="6"/>
      <c r="I70" s="6"/>
      <c r="J70" s="6"/>
      <c r="K70" s="6"/>
      <c r="L70" s="6"/>
      <c r="M70" s="6"/>
    </row>
    <row r="71" spans="1:13" s="5" customFormat="1" ht="13.8" x14ac:dyDescent="0.25">
      <c r="A71" s="6"/>
      <c r="B71" s="6"/>
      <c r="C71" s="6"/>
      <c r="D71" s="6"/>
      <c r="E71" s="6"/>
      <c r="F71" s="6"/>
      <c r="G71" s="6"/>
      <c r="H71" s="6"/>
      <c r="I71" s="6"/>
      <c r="J71" s="6"/>
      <c r="K71" s="6"/>
      <c r="L71" s="6"/>
      <c r="M71" s="6"/>
    </row>
    <row r="72" spans="1:13" s="5" customFormat="1" ht="13.8" x14ac:dyDescent="0.25">
      <c r="A72" s="6"/>
      <c r="B72" s="6"/>
      <c r="C72" s="6"/>
      <c r="D72" s="6"/>
      <c r="E72" s="6"/>
      <c r="F72" s="6"/>
      <c r="G72" s="6"/>
      <c r="H72" s="6"/>
      <c r="I72" s="6"/>
      <c r="J72" s="6"/>
      <c r="K72" s="6"/>
      <c r="L72" s="6"/>
      <c r="M72" s="6"/>
    </row>
    <row r="73" spans="1:13" s="5" customFormat="1" ht="13.8" x14ac:dyDescent="0.25">
      <c r="A73" s="6"/>
      <c r="B73" s="6"/>
      <c r="C73" s="6"/>
      <c r="D73" s="6"/>
      <c r="E73" s="6"/>
      <c r="F73" s="6"/>
      <c r="G73" s="6"/>
      <c r="H73" s="6"/>
      <c r="I73" s="6"/>
      <c r="J73" s="6"/>
      <c r="K73" s="6"/>
      <c r="L73" s="6"/>
      <c r="M73" s="6"/>
    </row>
    <row r="74" spans="1:13" s="5" customFormat="1" ht="13.8" x14ac:dyDescent="0.25">
      <c r="A74" s="6"/>
      <c r="B74" s="6"/>
      <c r="C74" s="6"/>
      <c r="D74" s="6"/>
      <c r="E74" s="6"/>
      <c r="F74" s="6"/>
      <c r="G74" s="6"/>
      <c r="H74" s="6"/>
      <c r="I74" s="6"/>
      <c r="J74" s="6"/>
      <c r="K74" s="6"/>
      <c r="L74" s="6"/>
      <c r="M74" s="6"/>
    </row>
    <row r="75" spans="1:13" s="5" customFormat="1" ht="13.8" x14ac:dyDescent="0.25">
      <c r="A75" s="6"/>
      <c r="B75" s="6"/>
      <c r="C75" s="6"/>
      <c r="D75" s="6"/>
      <c r="E75" s="6"/>
      <c r="F75" s="6"/>
      <c r="G75" s="6"/>
      <c r="H75" s="6"/>
      <c r="I75" s="6"/>
      <c r="J75" s="6"/>
      <c r="K75" s="6"/>
      <c r="L75" s="6"/>
      <c r="M75" s="6"/>
    </row>
    <row r="76" spans="1:13" s="5" customFormat="1" ht="13.8" x14ac:dyDescent="0.25">
      <c r="A76" s="6"/>
      <c r="B76" s="6"/>
      <c r="C76" s="6"/>
      <c r="D76" s="6"/>
      <c r="E76" s="6"/>
      <c r="F76" s="6"/>
      <c r="G76" s="6"/>
      <c r="H76" s="6"/>
      <c r="I76" s="6"/>
      <c r="J76" s="6"/>
      <c r="K76" s="6"/>
      <c r="L76" s="6"/>
      <c r="M76" s="6"/>
    </row>
    <row r="77" spans="1:13" s="5" customFormat="1" ht="13.8" x14ac:dyDescent="0.25">
      <c r="A77" s="6"/>
      <c r="B77" s="6"/>
      <c r="C77" s="6"/>
      <c r="D77" s="6"/>
      <c r="E77" s="6"/>
      <c r="F77" s="6"/>
      <c r="G77" s="6"/>
      <c r="H77" s="6"/>
      <c r="I77" s="6"/>
      <c r="J77" s="6"/>
      <c r="K77" s="6"/>
      <c r="L77" s="6"/>
      <c r="M77" s="6"/>
    </row>
    <row r="78" spans="1:13" s="5" customFormat="1" ht="13.8" x14ac:dyDescent="0.25">
      <c r="A78" s="6"/>
      <c r="B78" s="6"/>
      <c r="C78" s="6"/>
      <c r="D78" s="6"/>
      <c r="E78" s="6"/>
      <c r="F78" s="6"/>
      <c r="G78" s="6"/>
      <c r="H78" s="6"/>
      <c r="I78" s="6"/>
      <c r="J78" s="6"/>
      <c r="K78" s="6"/>
      <c r="L78" s="6"/>
      <c r="M78" s="6"/>
    </row>
    <row r="79" spans="1:13" s="5" customFormat="1" ht="13.8" x14ac:dyDescent="0.25">
      <c r="A79" s="6"/>
      <c r="B79" s="6"/>
      <c r="C79" s="6"/>
      <c r="D79" s="6"/>
      <c r="E79" s="6"/>
      <c r="F79" s="6"/>
      <c r="G79" s="6"/>
      <c r="H79" s="6"/>
      <c r="I79" s="6"/>
      <c r="J79" s="6"/>
      <c r="K79" s="6"/>
      <c r="L79" s="6"/>
      <c r="M79" s="6"/>
    </row>
    <row r="80" spans="1:13" s="5" customFormat="1" ht="13.8" x14ac:dyDescent="0.25">
      <c r="A80" s="6"/>
      <c r="B80" s="6"/>
      <c r="C80" s="6"/>
      <c r="D80" s="6"/>
      <c r="E80" s="6"/>
      <c r="F80" s="6"/>
      <c r="G80" s="6"/>
      <c r="H80" s="6"/>
      <c r="I80" s="6"/>
      <c r="J80" s="6"/>
      <c r="K80" s="6"/>
      <c r="L80" s="6"/>
      <c r="M80" s="6"/>
    </row>
    <row r="81" spans="1:13" s="5" customFormat="1" ht="13.8" x14ac:dyDescent="0.25">
      <c r="A81" s="6"/>
      <c r="B81" s="6"/>
      <c r="C81" s="6"/>
      <c r="D81" s="6"/>
      <c r="E81" s="6"/>
      <c r="F81" s="6"/>
      <c r="G81" s="6"/>
      <c r="H81" s="6"/>
      <c r="I81" s="6"/>
      <c r="J81" s="6"/>
      <c r="K81" s="6"/>
      <c r="L81" s="6"/>
      <c r="M81" s="6"/>
    </row>
    <row r="82" spans="1:13" s="5" customFormat="1" ht="13.8" x14ac:dyDescent="0.25">
      <c r="A82" s="6"/>
      <c r="B82" s="6"/>
      <c r="C82" s="6"/>
      <c r="D82" s="6"/>
      <c r="E82" s="6"/>
      <c r="F82" s="6"/>
      <c r="G82" s="6"/>
      <c r="H82" s="6"/>
      <c r="I82" s="6"/>
      <c r="J82" s="6"/>
      <c r="K82" s="6"/>
      <c r="L82" s="6"/>
      <c r="M82" s="6"/>
    </row>
    <row r="83" spans="1:13" s="5" customFormat="1" ht="13.8" x14ac:dyDescent="0.25">
      <c r="A83" s="6"/>
      <c r="B83" s="6"/>
      <c r="C83" s="6"/>
      <c r="D83" s="6"/>
      <c r="E83" s="6"/>
      <c r="F83" s="6"/>
      <c r="G83" s="6"/>
      <c r="H83" s="6"/>
      <c r="I83" s="6"/>
      <c r="J83" s="6"/>
      <c r="K83" s="6"/>
      <c r="L83" s="6"/>
      <c r="M83" s="6"/>
    </row>
    <row r="84" spans="1:13" s="5" customFormat="1" ht="13.8" x14ac:dyDescent="0.25">
      <c r="A84" s="6"/>
      <c r="B84" s="6"/>
      <c r="C84" s="6"/>
      <c r="D84" s="6"/>
      <c r="E84" s="6"/>
      <c r="F84" s="6"/>
      <c r="G84" s="6"/>
      <c r="H84" s="6"/>
      <c r="I84" s="6"/>
      <c r="J84" s="6"/>
      <c r="K84" s="6"/>
      <c r="L84" s="6"/>
      <c r="M84" s="6"/>
    </row>
    <row r="85" spans="1:13" s="5" customFormat="1" ht="13.8" x14ac:dyDescent="0.25">
      <c r="A85" s="6"/>
      <c r="B85" s="6"/>
      <c r="C85" s="6"/>
      <c r="D85" s="6"/>
      <c r="E85" s="6"/>
      <c r="F85" s="6"/>
      <c r="G85" s="6"/>
      <c r="H85" s="6"/>
      <c r="I85" s="6"/>
      <c r="J85" s="6"/>
      <c r="K85" s="6"/>
      <c r="L85" s="6"/>
    </row>
    <row r="86" spans="1:13" s="5" customFormat="1" ht="13.8" x14ac:dyDescent="0.25">
      <c r="A86" s="6"/>
      <c r="B86" s="6"/>
      <c r="C86" s="6"/>
      <c r="D86" s="6"/>
      <c r="E86" s="6"/>
      <c r="F86" s="6"/>
      <c r="G86" s="6"/>
      <c r="H86" s="6"/>
      <c r="I86" s="6"/>
      <c r="J86" s="6"/>
    </row>
    <row r="87" spans="1:13" s="5" customFormat="1" ht="13.8" x14ac:dyDescent="0.25">
      <c r="A87" s="6"/>
      <c r="B87" s="6"/>
      <c r="C87" s="6"/>
      <c r="D87" s="6"/>
      <c r="E87" s="6"/>
      <c r="F87" s="6"/>
      <c r="G87" s="6"/>
      <c r="H87" s="6"/>
      <c r="I87" s="6"/>
      <c r="J87" s="6"/>
    </row>
    <row r="88" spans="1:13" s="5" customFormat="1" ht="13.8" x14ac:dyDescent="0.25">
      <c r="A88" s="6"/>
      <c r="B88" s="6"/>
      <c r="C88" s="6"/>
      <c r="D88" s="6"/>
      <c r="E88" s="6"/>
      <c r="F88" s="6"/>
      <c r="G88" s="6"/>
      <c r="H88" s="6"/>
      <c r="I88" s="6"/>
      <c r="J88" s="6"/>
    </row>
    <row r="89" spans="1:13" s="5" customFormat="1" ht="13.8" x14ac:dyDescent="0.25"/>
    <row r="90" spans="1:13" s="5" customFormat="1" ht="13.8" x14ac:dyDescent="0.25"/>
    <row r="91" spans="1:13" s="5" customFormat="1" ht="13.8" x14ac:dyDescent="0.25"/>
    <row r="92" spans="1:13" s="5" customFormat="1" ht="13.8" x14ac:dyDescent="0.25"/>
    <row r="93" spans="1:13" s="5" customFormat="1" ht="13.8" x14ac:dyDescent="0.25"/>
    <row r="94" spans="1:13" s="5" customFormat="1" ht="13.8" x14ac:dyDescent="0.25"/>
    <row r="95" spans="1:13" s="5" customFormat="1" ht="13.8" x14ac:dyDescent="0.25"/>
    <row r="96" spans="1:13" s="5" customFormat="1" ht="13.8" x14ac:dyDescent="0.25"/>
    <row r="97" spans="1:14" s="5" customFormat="1" ht="13.8" x14ac:dyDescent="0.25"/>
    <row r="98" spans="1:14" s="5" customFormat="1" ht="13.8" x14ac:dyDescent="0.25"/>
    <row r="99" spans="1:14" s="5" customFormat="1" ht="13.8" x14ac:dyDescent="0.25"/>
    <row r="100" spans="1:14" s="5" customFormat="1" ht="13.8" x14ac:dyDescent="0.25"/>
    <row r="101" spans="1:14" s="5" customFormat="1" ht="13.8" x14ac:dyDescent="0.25"/>
    <row r="102" spans="1:14" s="5" customFormat="1" ht="13.8" x14ac:dyDescent="0.25"/>
    <row r="103" spans="1:14" s="5" customFormat="1" ht="13.8" x14ac:dyDescent="0.25"/>
    <row r="104" spans="1:14" s="5" customFormat="1" ht="13.8" x14ac:dyDescent="0.25"/>
    <row r="105" spans="1:14" s="5" customFormat="1" ht="13.8" x14ac:dyDescent="0.25"/>
    <row r="106" spans="1:14" s="5" customFormat="1" ht="13.8" x14ac:dyDescent="0.25"/>
    <row r="107" spans="1:14" s="5" customFormat="1" ht="13.8" x14ac:dyDescent="0.25"/>
    <row r="108" spans="1:14" s="5" customFormat="1" ht="13.8" x14ac:dyDescent="0.25"/>
    <row r="109" spans="1:14" s="5" customFormat="1" ht="13.8" x14ac:dyDescent="0.25"/>
    <row r="110" spans="1:14" s="5" customFormat="1" ht="13.8" x14ac:dyDescent="0.25"/>
    <row r="111" spans="1:14" ht="13.8" x14ac:dyDescent="0.25">
      <c r="A111" s="5"/>
      <c r="B111" s="5"/>
      <c r="C111" s="5"/>
      <c r="D111" s="5"/>
      <c r="E111" s="5"/>
      <c r="F111" s="5"/>
      <c r="G111" s="5"/>
      <c r="H111" s="5"/>
      <c r="I111" s="5"/>
      <c r="J111" s="5"/>
      <c r="K111" s="5"/>
      <c r="L111" s="5"/>
      <c r="M111" s="5"/>
      <c r="N111" s="5"/>
    </row>
    <row r="112" spans="1:14" ht="13.8" x14ac:dyDescent="0.25">
      <c r="A112" s="5"/>
      <c r="B112" s="5"/>
      <c r="C112" s="5"/>
      <c r="D112" s="5"/>
      <c r="E112" s="5"/>
      <c r="F112" s="5"/>
      <c r="G112" s="5"/>
      <c r="H112" s="5"/>
      <c r="I112" s="5"/>
      <c r="J112" s="5"/>
      <c r="K112" s="5"/>
      <c r="L112" s="5"/>
      <c r="M112" s="5"/>
      <c r="N112" s="5"/>
    </row>
    <row r="113" spans="1:12" ht="13.8" x14ac:dyDescent="0.25">
      <c r="A113" s="5"/>
      <c r="B113" s="5"/>
      <c r="C113" s="5"/>
      <c r="D113" s="5"/>
      <c r="E113" s="5"/>
      <c r="F113" s="5"/>
      <c r="G113" s="5"/>
      <c r="H113" s="5"/>
      <c r="I113" s="5"/>
      <c r="J113" s="5"/>
      <c r="K113" s="5"/>
      <c r="L113" s="5"/>
    </row>
    <row r="114" spans="1:12" ht="13.8" x14ac:dyDescent="0.25">
      <c r="A114" s="5"/>
      <c r="B114" s="5"/>
      <c r="C114" s="5"/>
      <c r="D114" s="5"/>
      <c r="E114" s="5"/>
      <c r="F114" s="5"/>
      <c r="G114" s="5"/>
      <c r="H114" s="5"/>
      <c r="I114" s="5"/>
      <c r="J114" s="5"/>
    </row>
    <row r="115" spans="1:12" ht="13.8" x14ac:dyDescent="0.25">
      <c r="A115" s="5"/>
      <c r="B115" s="5"/>
      <c r="C115" s="5"/>
      <c r="D115" s="5"/>
      <c r="E115" s="5"/>
      <c r="F115" s="5"/>
      <c r="G115" s="5"/>
      <c r="H115" s="5"/>
      <c r="I115" s="5"/>
      <c r="J115" s="5"/>
    </row>
    <row r="116" spans="1:12" ht="13.8" x14ac:dyDescent="0.25">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2"/>
  <sheetViews>
    <sheetView showGridLines="0" zoomScale="90" zoomScaleNormal="90" workbookViewId="0">
      <selection activeCell="A12" sqref="A12"/>
    </sheetView>
  </sheetViews>
  <sheetFormatPr defaultColWidth="9.109375" defaultRowHeight="15" x14ac:dyDescent="0.25"/>
  <cols>
    <col min="1" max="1" width="85.109375" style="247" customWidth="1"/>
    <col min="2" max="2" width="15.88671875" style="405" customWidth="1"/>
    <col min="3" max="3" width="15.88671875" style="2" customWidth="1"/>
    <col min="4" max="5" width="15.88671875" style="73" customWidth="1"/>
    <col min="6" max="6" width="3.88671875" style="73" customWidth="1"/>
    <col min="7" max="9" width="15.88671875" style="406" customWidth="1"/>
    <col min="10" max="16384" width="9.109375" style="2"/>
  </cols>
  <sheetData>
    <row r="1" spans="1:10" ht="30" customHeight="1" x14ac:dyDescent="0.25">
      <c r="A1" s="207" t="str">
        <f>'Assumptions input'!A1</f>
        <v>Rimegepant for preventing migraine</v>
      </c>
      <c r="B1" s="388" t="s">
        <v>3</v>
      </c>
      <c r="C1" s="389" t="s">
        <v>3</v>
      </c>
      <c r="D1" s="390" t="s">
        <v>3</v>
      </c>
      <c r="E1" s="368" t="s">
        <v>3</v>
      </c>
      <c r="F1" s="368" t="s">
        <v>3</v>
      </c>
      <c r="G1" s="368" t="s">
        <v>3</v>
      </c>
      <c r="H1" s="368" t="s">
        <v>3</v>
      </c>
      <c r="I1" s="368" t="s">
        <v>3</v>
      </c>
    </row>
    <row r="2" spans="1:10" ht="30" customHeight="1" x14ac:dyDescent="0.25">
      <c r="A2" s="208" t="s">
        <v>358</v>
      </c>
      <c r="B2" s="391" t="s">
        <v>3</v>
      </c>
      <c r="C2" s="392" t="s">
        <v>3</v>
      </c>
      <c r="D2" s="393" t="s">
        <v>3</v>
      </c>
      <c r="E2" s="367" t="s">
        <v>3</v>
      </c>
      <c r="F2" s="367" t="s">
        <v>3</v>
      </c>
      <c r="G2" s="368" t="s">
        <v>3</v>
      </c>
      <c r="H2" s="368" t="s">
        <v>3</v>
      </c>
      <c r="I2" s="368" t="s">
        <v>3</v>
      </c>
    </row>
    <row r="3" spans="1:10" s="206" customFormat="1" ht="14.4" thickBot="1" x14ac:dyDescent="0.3">
      <c r="A3" s="367"/>
      <c r="B3" s="500"/>
      <c r="C3" s="367"/>
      <c r="D3" s="393"/>
      <c r="E3" s="393"/>
      <c r="F3" s="393"/>
      <c r="G3" s="368" t="s">
        <v>3</v>
      </c>
      <c r="H3" s="368" t="s">
        <v>3</v>
      </c>
      <c r="I3" s="368" t="s">
        <v>3</v>
      </c>
      <c r="J3" s="2"/>
    </row>
    <row r="4" spans="1:10" ht="45" customHeight="1" x14ac:dyDescent="0.25">
      <c r="A4" s="442" t="s">
        <v>824</v>
      </c>
      <c r="B4" s="445" t="s">
        <v>562</v>
      </c>
      <c r="C4" s="436" t="s">
        <v>477</v>
      </c>
      <c r="D4" s="437" t="s">
        <v>478</v>
      </c>
      <c r="E4" s="443" t="s">
        <v>479</v>
      </c>
      <c r="F4" s="438"/>
      <c r="G4" s="436" t="s">
        <v>480</v>
      </c>
      <c r="H4" s="437" t="s">
        <v>481</v>
      </c>
      <c r="I4" s="443" t="s">
        <v>482</v>
      </c>
      <c r="J4" s="205"/>
    </row>
    <row r="5" spans="1:10" ht="14.1" customHeight="1" x14ac:dyDescent="0.25">
      <c r="A5" s="654"/>
      <c r="B5" s="655"/>
      <c r="C5" s="656"/>
      <c r="D5" s="657"/>
      <c r="E5" s="658"/>
      <c r="F5" s="438"/>
      <c r="G5" s="659"/>
      <c r="H5" s="660"/>
      <c r="I5" s="661"/>
      <c r="J5" s="205"/>
    </row>
    <row r="6" spans="1:10" ht="14.1" customHeight="1" x14ac:dyDescent="0.25">
      <c r="A6" s="846" t="s">
        <v>874</v>
      </c>
      <c r="B6" s="842"/>
      <c r="C6" s="843"/>
      <c r="D6" s="844"/>
      <c r="E6" s="845"/>
      <c r="F6" s="438"/>
      <c r="G6" s="849"/>
      <c r="H6" s="850"/>
      <c r="I6" s="851"/>
      <c r="J6" s="205"/>
    </row>
    <row r="7" spans="1:10" ht="14.1" customHeight="1" x14ac:dyDescent="0.25">
      <c r="A7" s="752" t="s">
        <v>909</v>
      </c>
      <c r="B7" s="551">
        <f>'Unit costs'!I9</f>
        <v>2600.64</v>
      </c>
      <c r="C7" s="847">
        <f>'Assumptions input'!C33</f>
        <v>0</v>
      </c>
      <c r="D7" s="848">
        <f>'Assumptions input'!E33</f>
        <v>0</v>
      </c>
      <c r="E7" s="474">
        <f t="shared" ref="E7:E9" si="0">D7-C7</f>
        <v>0</v>
      </c>
      <c r="F7" s="438"/>
      <c r="G7" s="501">
        <f t="shared" ref="G7" si="1">B7*C7</f>
        <v>0</v>
      </c>
      <c r="H7" s="502">
        <f t="shared" ref="H7" si="2">B7*D7</f>
        <v>0</v>
      </c>
      <c r="I7" s="503">
        <f t="shared" ref="I7" si="3">H7-G7</f>
        <v>0</v>
      </c>
      <c r="J7" s="205"/>
    </row>
    <row r="8" spans="1:10" s="206" customFormat="1" ht="13.8" x14ac:dyDescent="0.25">
      <c r="A8" s="444" t="str">
        <f>'Assumptions input'!A41</f>
        <v>People receiving eptinezumab (IV infusion)</v>
      </c>
      <c r="B8" s="551">
        <f>'Unit costs'!H21</f>
        <v>0</v>
      </c>
      <c r="C8" s="847">
        <f>'Assumptions input'!C34</f>
        <v>0</v>
      </c>
      <c r="D8" s="848">
        <f>'Assumptions input'!E34</f>
        <v>0</v>
      </c>
      <c r="E8" s="474">
        <f>D8-C8</f>
        <v>0</v>
      </c>
      <c r="F8" s="401"/>
      <c r="G8" s="501">
        <f>B8*C8</f>
        <v>0</v>
      </c>
      <c r="H8" s="502">
        <f>B8*D8</f>
        <v>0</v>
      </c>
      <c r="I8" s="503">
        <f>H8-G8</f>
        <v>0</v>
      </c>
      <c r="J8" s="400"/>
    </row>
    <row r="9" spans="1:10" s="206" customFormat="1" ht="13.8" x14ac:dyDescent="0.25">
      <c r="A9" s="444" t="str">
        <f>'Assumptions input'!A42</f>
        <v>People receiving erenumab (subcutaneous injection)</v>
      </c>
      <c r="B9" s="551">
        <f>'Unit costs'!J34</f>
        <v>0</v>
      </c>
      <c r="C9" s="847">
        <f>'Assumptions input'!C35</f>
        <v>0</v>
      </c>
      <c r="D9" s="848">
        <f>'Assumptions input'!E35</f>
        <v>0</v>
      </c>
      <c r="E9" s="474">
        <f t="shared" si="0"/>
        <v>0</v>
      </c>
      <c r="F9" s="401"/>
      <c r="G9" s="501">
        <f t="shared" ref="G9" si="4">B9*C9</f>
        <v>0</v>
      </c>
      <c r="H9" s="502">
        <f t="shared" ref="H9" si="5">B9*D9</f>
        <v>0</v>
      </c>
      <c r="I9" s="503">
        <f t="shared" ref="I9" si="6">H9-G9</f>
        <v>0</v>
      </c>
      <c r="J9" s="400"/>
    </row>
    <row r="10" spans="1:10" s="206" customFormat="1" ht="13.8" x14ac:dyDescent="0.25">
      <c r="A10" s="444" t="str">
        <f>'Assumptions input'!A43</f>
        <v>People receiving galcanezumab (subcutaneous injection)</v>
      </c>
      <c r="B10" s="551">
        <f>'Unit costs'!H48</f>
        <v>0</v>
      </c>
      <c r="C10" s="847">
        <f>'Assumptions input'!C36</f>
        <v>0</v>
      </c>
      <c r="D10" s="848">
        <f>'Assumptions input'!E36</f>
        <v>0</v>
      </c>
      <c r="E10" s="474">
        <f t="shared" ref="E10:E20" si="7">D10-C10</f>
        <v>0</v>
      </c>
      <c r="F10" s="401"/>
      <c r="G10" s="501">
        <f t="shared" ref="G10:G17" si="8">B10*C10</f>
        <v>0</v>
      </c>
      <c r="H10" s="502">
        <f t="shared" ref="H10:H17" si="9">B10*D10</f>
        <v>0</v>
      </c>
      <c r="I10" s="503">
        <f t="shared" ref="I10:I17" si="10">H10-G10</f>
        <v>0</v>
      </c>
      <c r="J10" s="400"/>
    </row>
    <row r="11" spans="1:10" s="206" customFormat="1" ht="13.8" x14ac:dyDescent="0.25">
      <c r="A11" s="444" t="str">
        <f>'Assumptions input'!A44</f>
        <v>People receiving fremanezumab (subcutaneous injection)</v>
      </c>
      <c r="B11" s="551">
        <f>'Unit costs'!H60</f>
        <v>0</v>
      </c>
      <c r="C11" s="847">
        <f>'Assumptions input'!C37</f>
        <v>0</v>
      </c>
      <c r="D11" s="848">
        <f>'Assumptions input'!E37</f>
        <v>0</v>
      </c>
      <c r="E11" s="474">
        <f t="shared" si="7"/>
        <v>0</v>
      </c>
      <c r="F11" s="401"/>
      <c r="G11" s="501">
        <f t="shared" si="8"/>
        <v>0</v>
      </c>
      <c r="H11" s="502">
        <f t="shared" si="9"/>
        <v>0</v>
      </c>
      <c r="I11" s="503">
        <f t="shared" si="10"/>
        <v>0</v>
      </c>
      <c r="J11" s="400"/>
    </row>
    <row r="12" spans="1:10" s="206" customFormat="1" ht="13.8" x14ac:dyDescent="0.3">
      <c r="A12" s="812" t="s">
        <v>881</v>
      </c>
      <c r="B12" s="783"/>
      <c r="C12" s="818">
        <f>SUM(C7:C11)</f>
        <v>0</v>
      </c>
      <c r="D12" s="815">
        <f>SUM(D7:D11)</f>
        <v>0</v>
      </c>
      <c r="E12" s="627">
        <f>SUM(E7:E11)</f>
        <v>0</v>
      </c>
      <c r="F12" s="401"/>
      <c r="G12" s="818">
        <f>SUM(G7:G11)</f>
        <v>0</v>
      </c>
      <c r="H12" s="815">
        <f>SUM(H7:H11)</f>
        <v>0</v>
      </c>
      <c r="I12" s="627">
        <f>SUM(I7:I11)</f>
        <v>0</v>
      </c>
      <c r="J12" s="400"/>
    </row>
    <row r="13" spans="1:10" s="206" customFormat="1" ht="13.8" x14ac:dyDescent="0.25">
      <c r="A13" s="654" t="s">
        <v>825</v>
      </c>
      <c r="B13" s="783"/>
      <c r="C13" s="818"/>
      <c r="D13" s="820"/>
      <c r="E13" s="815"/>
      <c r="F13" s="401"/>
      <c r="G13" s="781"/>
      <c r="H13" s="782"/>
      <c r="I13" s="781"/>
      <c r="J13" s="400"/>
    </row>
    <row r="14" spans="1:10" s="206" customFormat="1" ht="13.8" x14ac:dyDescent="0.3">
      <c r="A14" s="444" t="str">
        <f>A8</f>
        <v>People receiving eptinezumab (IV infusion)</v>
      </c>
      <c r="B14" s="780">
        <f>'Unit costs'!H21</f>
        <v>0</v>
      </c>
      <c r="C14" s="819">
        <f>'Assumptions input'!C41</f>
        <v>0</v>
      </c>
      <c r="D14" s="785">
        <f>'Assumptions input'!E41</f>
        <v>0</v>
      </c>
      <c r="E14" s="784">
        <f t="shared" si="7"/>
        <v>0</v>
      </c>
      <c r="F14" s="401"/>
      <c r="G14" s="501">
        <f t="shared" si="8"/>
        <v>0</v>
      </c>
      <c r="H14" s="502">
        <f t="shared" si="9"/>
        <v>0</v>
      </c>
      <c r="I14" s="503">
        <f t="shared" si="10"/>
        <v>0</v>
      </c>
      <c r="J14" s="400"/>
    </row>
    <row r="15" spans="1:10" s="206" customFormat="1" ht="13.8" x14ac:dyDescent="0.3">
      <c r="A15" s="444" t="str">
        <f>A9</f>
        <v>People receiving erenumab (subcutaneous injection)</v>
      </c>
      <c r="B15" s="780">
        <f>'Unit costs'!J34</f>
        <v>0</v>
      </c>
      <c r="C15" s="819">
        <f>'Assumptions input'!C42</f>
        <v>0</v>
      </c>
      <c r="D15" s="785">
        <f>'Assumptions input'!E42</f>
        <v>0</v>
      </c>
      <c r="E15" s="784">
        <f t="shared" si="7"/>
        <v>0</v>
      </c>
      <c r="F15" s="401"/>
      <c r="G15" s="501">
        <f t="shared" si="8"/>
        <v>0</v>
      </c>
      <c r="H15" s="502">
        <f t="shared" si="9"/>
        <v>0</v>
      </c>
      <c r="I15" s="503">
        <f t="shared" si="10"/>
        <v>0</v>
      </c>
      <c r="J15" s="400"/>
    </row>
    <row r="16" spans="1:10" s="206" customFormat="1" ht="13.8" x14ac:dyDescent="0.3">
      <c r="A16" s="444" t="str">
        <f>A10</f>
        <v>People receiving galcanezumab (subcutaneous injection)</v>
      </c>
      <c r="B16" s="780">
        <f>'Unit costs'!H48</f>
        <v>0</v>
      </c>
      <c r="C16" s="819">
        <f>'Assumptions input'!C43</f>
        <v>0</v>
      </c>
      <c r="D16" s="785">
        <f>'Assumptions input'!E43</f>
        <v>0</v>
      </c>
      <c r="E16" s="784">
        <f t="shared" si="7"/>
        <v>0</v>
      </c>
      <c r="F16" s="401"/>
      <c r="G16" s="501">
        <f t="shared" si="8"/>
        <v>0</v>
      </c>
      <c r="H16" s="502">
        <f t="shared" si="9"/>
        <v>0</v>
      </c>
      <c r="I16" s="503">
        <f t="shared" si="10"/>
        <v>0</v>
      </c>
      <c r="J16" s="400"/>
    </row>
    <row r="17" spans="1:10" s="206" customFormat="1" ht="13.8" x14ac:dyDescent="0.3">
      <c r="A17" s="444" t="str">
        <f>A11</f>
        <v>People receiving fremanezumab (subcutaneous injection)</v>
      </c>
      <c r="B17" s="780">
        <f>'Unit costs'!H60</f>
        <v>0</v>
      </c>
      <c r="C17" s="819">
        <f>'Assumptions input'!C44</f>
        <v>0</v>
      </c>
      <c r="D17" s="785">
        <f>'Assumptions input'!E44</f>
        <v>0</v>
      </c>
      <c r="E17" s="784">
        <f t="shared" si="7"/>
        <v>0</v>
      </c>
      <c r="F17" s="401"/>
      <c r="G17" s="501">
        <f t="shared" si="8"/>
        <v>0</v>
      </c>
      <c r="H17" s="502">
        <f t="shared" si="9"/>
        <v>0</v>
      </c>
      <c r="I17" s="503">
        <f t="shared" si="10"/>
        <v>0</v>
      </c>
      <c r="J17" s="400"/>
    </row>
    <row r="18" spans="1:10" s="206" customFormat="1" ht="13.8" x14ac:dyDescent="0.3">
      <c r="A18" s="444" t="s">
        <v>925</v>
      </c>
      <c r="B18" s="780">
        <f>'Unit costs'!H75</f>
        <v>0</v>
      </c>
      <c r="C18" s="819">
        <f>'Assumptions input'!C45</f>
        <v>0</v>
      </c>
      <c r="D18" s="785">
        <f>'Assumptions input'!E45</f>
        <v>0</v>
      </c>
      <c r="E18" s="784">
        <f t="shared" si="7"/>
        <v>0</v>
      </c>
      <c r="F18" s="401"/>
      <c r="G18" s="501">
        <f t="shared" ref="G18" si="11">B18*C18</f>
        <v>0</v>
      </c>
      <c r="H18" s="502">
        <f t="shared" ref="H18" si="12">B18*D18</f>
        <v>0</v>
      </c>
      <c r="I18" s="503">
        <f t="shared" ref="I18:I20" si="13">H18-G18</f>
        <v>0</v>
      </c>
      <c r="J18" s="400"/>
    </row>
    <row r="19" spans="1:10" s="206" customFormat="1" ht="13.8" x14ac:dyDescent="0.3">
      <c r="A19" s="822" t="s">
        <v>881</v>
      </c>
      <c r="B19" s="878"/>
      <c r="C19" s="814">
        <f>SUM(C14:C18)</f>
        <v>0</v>
      </c>
      <c r="D19" s="821">
        <f>SUM(D14:D18)</f>
        <v>0</v>
      </c>
      <c r="E19" s="813">
        <f>SUM(E14:E18)</f>
        <v>0</v>
      </c>
      <c r="F19" s="401"/>
      <c r="G19" s="814">
        <f>SUM(G14:G18)</f>
        <v>0</v>
      </c>
      <c r="H19" s="817">
        <f>SUM(H14:H18)</f>
        <v>0</v>
      </c>
      <c r="I19" s="503">
        <f t="shared" si="13"/>
        <v>0</v>
      </c>
      <c r="J19" s="400"/>
    </row>
    <row r="20" spans="1:10" s="206" customFormat="1" ht="13.8" x14ac:dyDescent="0.3">
      <c r="A20" s="822" t="s">
        <v>833</v>
      </c>
      <c r="B20" s="706"/>
      <c r="C20" s="879">
        <f>'Assumptions input'!C38</f>
        <v>0</v>
      </c>
      <c r="D20" s="785">
        <f>'Assumptions input'!E38</f>
        <v>0</v>
      </c>
      <c r="E20" s="784">
        <f t="shared" si="7"/>
        <v>0</v>
      </c>
      <c r="F20" s="401"/>
      <c r="G20" s="501">
        <f t="shared" ref="G20" si="14">B20*C20</f>
        <v>0</v>
      </c>
      <c r="H20" s="502">
        <f t="shared" ref="H20" si="15">B20*D20</f>
        <v>0</v>
      </c>
      <c r="I20" s="503">
        <f t="shared" si="13"/>
        <v>0</v>
      </c>
      <c r="J20" s="400"/>
    </row>
    <row r="21" spans="1:10" ht="14.4" thickBot="1" x14ac:dyDescent="0.3">
      <c r="A21" s="217" t="s">
        <v>828</v>
      </c>
      <c r="B21" s="397"/>
      <c r="C21" s="682">
        <f>C19+C12+C20</f>
        <v>0</v>
      </c>
      <c r="D21" s="682">
        <f>D19+D12+D20</f>
        <v>0</v>
      </c>
      <c r="E21" s="682">
        <f>E19+E12+E20</f>
        <v>0</v>
      </c>
      <c r="F21" s="396"/>
      <c r="G21" s="399">
        <f>G19+G12+G20</f>
        <v>0</v>
      </c>
      <c r="H21" s="866">
        <f t="shared" ref="H21:I21" si="16">H19+H12+H20</f>
        <v>0</v>
      </c>
      <c r="I21" s="399">
        <f t="shared" si="16"/>
        <v>0</v>
      </c>
      <c r="J21" s="205"/>
    </row>
    <row r="22" spans="1:10" ht="13.8" x14ac:dyDescent="0.25">
      <c r="A22" s="676"/>
      <c r="C22" s="73"/>
      <c r="G22" s="504"/>
      <c r="H22" s="504"/>
      <c r="I22" s="504"/>
    </row>
    <row r="23" spans="1:10" ht="13.8" x14ac:dyDescent="0.25">
      <c r="A23" s="368" t="s">
        <v>3</v>
      </c>
      <c r="B23" s="394" t="s">
        <v>3</v>
      </c>
      <c r="C23" s="71"/>
      <c r="D23" s="390" t="s">
        <v>3</v>
      </c>
      <c r="E23" s="390" t="s">
        <v>3</v>
      </c>
      <c r="F23" s="390" t="s">
        <v>3</v>
      </c>
      <c r="G23" s="395" t="s">
        <v>3</v>
      </c>
      <c r="H23" s="395" t="s">
        <v>3</v>
      </c>
      <c r="I23" s="395" t="s">
        <v>3</v>
      </c>
    </row>
    <row r="24" spans="1:10" ht="14.4" thickBot="1" x14ac:dyDescent="0.3">
      <c r="A24" s="663"/>
      <c r="C24" s="73"/>
      <c r="G24" s="504"/>
      <c r="H24" s="504"/>
      <c r="I24" s="504"/>
    </row>
    <row r="25" spans="1:10" ht="27.6" x14ac:dyDescent="0.25">
      <c r="A25" s="442" t="s">
        <v>827</v>
      </c>
      <c r="B25" s="445" t="s">
        <v>562</v>
      </c>
      <c r="C25" s="436" t="s">
        <v>477</v>
      </c>
      <c r="D25" s="437" t="s">
        <v>478</v>
      </c>
      <c r="E25" s="443" t="s">
        <v>479</v>
      </c>
      <c r="F25" s="438"/>
      <c r="G25" s="439" t="s">
        <v>480</v>
      </c>
      <c r="H25" s="437" t="s">
        <v>481</v>
      </c>
      <c r="I25" s="443" t="s">
        <v>482</v>
      </c>
    </row>
    <row r="26" spans="1:10" ht="13.8" x14ac:dyDescent="0.25">
      <c r="A26" s="654"/>
      <c r="B26" s="707"/>
      <c r="C26" s="656"/>
      <c r="D26" s="657"/>
      <c r="E26" s="658"/>
      <c r="F26" s="438"/>
      <c r="G26" s="664"/>
      <c r="H26" s="657"/>
      <c r="I26" s="658"/>
    </row>
    <row r="27" spans="1:10" ht="13.8" x14ac:dyDescent="0.25">
      <c r="A27" s="751" t="s">
        <v>909</v>
      </c>
      <c r="B27" s="702">
        <f>IF('Unit costs'!F7="","£0",'Unit costs'!F14)</f>
        <v>0</v>
      </c>
      <c r="C27" s="779">
        <f>C7*'Unit costs'!G14</f>
        <v>0</v>
      </c>
      <c r="D27" s="867">
        <f>D7*'Unit costs'!G14</f>
        <v>0</v>
      </c>
      <c r="E27" s="474">
        <f t="shared" ref="E27:E32" si="17">D27-C27</f>
        <v>0</v>
      </c>
      <c r="F27" s="438"/>
      <c r="G27" s="501">
        <f t="shared" ref="G27" si="18">B27*C27</f>
        <v>0</v>
      </c>
      <c r="H27" s="502">
        <f t="shared" ref="H27" si="19">B27*D27</f>
        <v>0</v>
      </c>
      <c r="I27" s="666">
        <f t="shared" ref="I27" si="20">H27-G27</f>
        <v>0</v>
      </c>
    </row>
    <row r="28" spans="1:10" ht="13.8" x14ac:dyDescent="0.25">
      <c r="A28" s="444" t="str">
        <f>'Assumptions input'!A41</f>
        <v>People receiving eptinezumab (IV infusion)</v>
      </c>
      <c r="B28" s="551" t="str">
        <f>IF('Unit costs'!E21="","£0",'Unit costs'!F28)</f>
        <v>£0</v>
      </c>
      <c r="C28" s="779">
        <f>(C8+C14)*'Unit costs'!G28</f>
        <v>0</v>
      </c>
      <c r="D28" s="867">
        <f>(D8+D14)*'Unit costs'!G28</f>
        <v>0</v>
      </c>
      <c r="E28" s="474">
        <f t="shared" si="17"/>
        <v>0</v>
      </c>
      <c r="F28" s="401"/>
      <c r="G28" s="501">
        <f t="shared" ref="G28:G32" si="21">B28*C28</f>
        <v>0</v>
      </c>
      <c r="H28" s="502">
        <f t="shared" ref="H28:H32" si="22">B28*D28</f>
        <v>0</v>
      </c>
      <c r="I28" s="666">
        <f t="shared" ref="I28:I32" si="23">H28-G28</f>
        <v>0</v>
      </c>
    </row>
    <row r="29" spans="1:10" ht="13.8" x14ac:dyDescent="0.25">
      <c r="A29" s="444" t="str">
        <f>'Assumptions input'!A42</f>
        <v>People receiving erenumab (subcutaneous injection)</v>
      </c>
      <c r="B29" s="551" t="str">
        <f>IF('Unit costs'!F34="","£0",'Unit costs'!F41)</f>
        <v>£0</v>
      </c>
      <c r="C29" s="779">
        <f>(C9+C15)*'Unit costs'!$G$41</f>
        <v>0</v>
      </c>
      <c r="D29" s="867">
        <f>(D9+D15)*'Unit costs'!$G$41</f>
        <v>0</v>
      </c>
      <c r="E29" s="474">
        <f t="shared" si="17"/>
        <v>0</v>
      </c>
      <c r="F29" s="401"/>
      <c r="G29" s="501">
        <f t="shared" si="21"/>
        <v>0</v>
      </c>
      <c r="H29" s="502">
        <f t="shared" si="22"/>
        <v>0</v>
      </c>
      <c r="I29" s="666">
        <f t="shared" si="23"/>
        <v>0</v>
      </c>
    </row>
    <row r="30" spans="1:10" ht="13.8" x14ac:dyDescent="0.25">
      <c r="A30" s="444" t="str">
        <f>'Assumptions input'!A43</f>
        <v>People receiving galcanezumab (subcutaneous injection)</v>
      </c>
      <c r="B30" s="551" t="str">
        <f>IF('Unit costs'!E46="","£0",'Unit costs'!F55)</f>
        <v>£0</v>
      </c>
      <c r="C30" s="779">
        <f>(C10+C16)*'Unit costs'!$G$55</f>
        <v>0</v>
      </c>
      <c r="D30" s="816">
        <f>(D10+D16)*'Unit costs'!$G$55</f>
        <v>0</v>
      </c>
      <c r="E30" s="474">
        <f t="shared" si="17"/>
        <v>0</v>
      </c>
      <c r="F30" s="401"/>
      <c r="G30" s="501">
        <f t="shared" si="21"/>
        <v>0</v>
      </c>
      <c r="H30" s="502">
        <f t="shared" si="22"/>
        <v>0</v>
      </c>
      <c r="I30" s="666">
        <f t="shared" si="23"/>
        <v>0</v>
      </c>
    </row>
    <row r="31" spans="1:10" ht="13.8" x14ac:dyDescent="0.25">
      <c r="A31" s="444" t="str">
        <f>'Assumptions input'!A44</f>
        <v>People receiving fremanezumab (subcutaneous injection)</v>
      </c>
      <c r="B31" s="551" t="str">
        <f>IF('Unit costs'!E60="","£0",'Unit costs'!F69)</f>
        <v>£0</v>
      </c>
      <c r="C31" s="779">
        <f>(C11+C17)*'Unit costs'!$G$69</f>
        <v>0</v>
      </c>
      <c r="D31" s="867">
        <f>(D11+D17)*'Unit costs'!$G$69</f>
        <v>0</v>
      </c>
      <c r="E31" s="474">
        <f t="shared" si="17"/>
        <v>0</v>
      </c>
      <c r="F31" s="401"/>
      <c r="G31" s="501">
        <f t="shared" si="21"/>
        <v>0</v>
      </c>
      <c r="H31" s="502">
        <f t="shared" si="22"/>
        <v>0</v>
      </c>
      <c r="I31" s="666">
        <f t="shared" si="23"/>
        <v>0</v>
      </c>
    </row>
    <row r="32" spans="1:10" ht="13.8" x14ac:dyDescent="0.25">
      <c r="A32" s="665" t="str">
        <f>'Assumptions input'!A45</f>
        <v>People receiving botulinum toxin A (IV infusion)</v>
      </c>
      <c r="B32" s="706" t="str">
        <f>IF('Unit costs'!E75="","£0",'Unit costs'!F79)</f>
        <v>£0</v>
      </c>
      <c r="C32" s="779">
        <f>C18*'Unit costs'!G79</f>
        <v>0</v>
      </c>
      <c r="D32" s="816">
        <f>D18*'Unit costs'!G79</f>
        <v>0</v>
      </c>
      <c r="E32" s="474">
        <f t="shared" si="17"/>
        <v>0</v>
      </c>
      <c r="F32" s="401"/>
      <c r="G32" s="501">
        <f t="shared" si="21"/>
        <v>0</v>
      </c>
      <c r="H32" s="502">
        <f t="shared" si="22"/>
        <v>0</v>
      </c>
      <c r="I32" s="666">
        <f t="shared" si="23"/>
        <v>0</v>
      </c>
    </row>
    <row r="33" spans="1:9" ht="14.4" thickBot="1" x14ac:dyDescent="0.3">
      <c r="A33" s="217" t="s">
        <v>835</v>
      </c>
      <c r="B33" s="397"/>
      <c r="C33" s="398">
        <f>SUM(C27:C32)</f>
        <v>0</v>
      </c>
      <c r="D33" s="868">
        <f>SUM(D27:D32)</f>
        <v>0</v>
      </c>
      <c r="E33" s="683">
        <f>SUM(E27:E32)</f>
        <v>0</v>
      </c>
      <c r="F33" s="396"/>
      <c r="G33" s="399">
        <f>SUM(G27:G32)</f>
        <v>0</v>
      </c>
      <c r="H33" s="399">
        <f>SUM(H27:H32)</f>
        <v>0</v>
      </c>
      <c r="I33" s="684">
        <f>SUM(I27:I32)</f>
        <v>0</v>
      </c>
    </row>
    <row r="34" spans="1:9" ht="13.8" x14ac:dyDescent="0.25">
      <c r="A34" s="671"/>
      <c r="B34" s="672"/>
      <c r="C34" s="673"/>
      <c r="D34" s="673"/>
      <c r="E34" s="673"/>
      <c r="G34" s="674"/>
      <c r="H34" s="674"/>
      <c r="I34" s="674"/>
    </row>
    <row r="35" spans="1:9" ht="13.8" x14ac:dyDescent="0.25">
      <c r="A35" s="675"/>
      <c r="C35" s="73"/>
      <c r="G35" s="504"/>
      <c r="H35" s="504"/>
      <c r="I35" s="504"/>
    </row>
    <row r="36" spans="1:9" ht="14.4" thickBot="1" x14ac:dyDescent="0.3">
      <c r="A36" s="667"/>
      <c r="B36" s="668"/>
      <c r="C36" s="669"/>
      <c r="D36" s="669"/>
      <c r="E36" s="669"/>
      <c r="G36" s="670"/>
      <c r="H36" s="670"/>
      <c r="I36" s="670"/>
    </row>
    <row r="37" spans="1:9" s="206" customFormat="1" ht="30" customHeight="1" thickBot="1" x14ac:dyDescent="0.35">
      <c r="A37" s="218" t="s">
        <v>483</v>
      </c>
      <c r="B37" s="440" t="s">
        <v>3</v>
      </c>
      <c r="C37" s="441" t="s">
        <v>3</v>
      </c>
      <c r="D37" s="441" t="s">
        <v>3</v>
      </c>
      <c r="E37" s="441" t="s">
        <v>3</v>
      </c>
      <c r="F37" s="402"/>
      <c r="G37" s="403">
        <f>G33+G21</f>
        <v>0</v>
      </c>
      <c r="H37" s="403">
        <f t="shared" ref="H37:I37" si="24">H33+H21</f>
        <v>0</v>
      </c>
      <c r="I37" s="404">
        <f t="shared" si="24"/>
        <v>0</v>
      </c>
    </row>
    <row r="38" spans="1:9" ht="16.5" customHeight="1" thickBot="1" x14ac:dyDescent="0.3">
      <c r="A38" s="368" t="s">
        <v>3</v>
      </c>
      <c r="B38" s="394" t="s">
        <v>3</v>
      </c>
      <c r="C38" s="368" t="s">
        <v>3</v>
      </c>
      <c r="D38" s="390" t="s">
        <v>3</v>
      </c>
      <c r="E38" s="390" t="s">
        <v>3</v>
      </c>
      <c r="F38" s="390" t="s">
        <v>3</v>
      </c>
      <c r="G38" s="395" t="s">
        <v>3</v>
      </c>
      <c r="H38" s="395" t="s">
        <v>3</v>
      </c>
      <c r="I38" s="395" t="s">
        <v>3</v>
      </c>
    </row>
    <row r="39" spans="1:9" s="206" customFormat="1" ht="30" customHeight="1" thickBot="1" x14ac:dyDescent="0.35">
      <c r="A39" s="218" t="s">
        <v>749</v>
      </c>
      <c r="B39" s="440" t="s">
        <v>3</v>
      </c>
      <c r="C39" s="441" t="s">
        <v>3</v>
      </c>
      <c r="D39" s="441" t="s">
        <v>3</v>
      </c>
      <c r="E39" s="441" t="s">
        <v>3</v>
      </c>
      <c r="F39" s="402"/>
      <c r="G39" s="403">
        <f>G21</f>
        <v>0</v>
      </c>
      <c r="H39" s="403">
        <f t="shared" ref="H39:I39" si="25">H21</f>
        <v>0</v>
      </c>
      <c r="I39" s="404">
        <f t="shared" si="25"/>
        <v>0</v>
      </c>
    </row>
    <row r="40" spans="1:9" s="206" customFormat="1" ht="16.5" customHeight="1" thickBot="1" x14ac:dyDescent="0.35">
      <c r="A40" s="367" t="s">
        <v>3</v>
      </c>
      <c r="B40" s="500" t="s">
        <v>3</v>
      </c>
      <c r="C40" s="367" t="s">
        <v>3</v>
      </c>
      <c r="D40" s="393" t="s">
        <v>3</v>
      </c>
      <c r="E40" s="393" t="s">
        <v>3</v>
      </c>
      <c r="F40" s="393" t="s">
        <v>3</v>
      </c>
      <c r="G40" s="505" t="s">
        <v>3</v>
      </c>
      <c r="H40" s="505" t="s">
        <v>3</v>
      </c>
      <c r="I40" s="505" t="s">
        <v>3</v>
      </c>
    </row>
    <row r="41" spans="1:9" s="206" customFormat="1" ht="30" customHeight="1" thickBot="1" x14ac:dyDescent="0.35">
      <c r="A41" s="218" t="s">
        <v>829</v>
      </c>
      <c r="B41" s="440" t="s">
        <v>3</v>
      </c>
      <c r="C41" s="685">
        <f>C32+C28</f>
        <v>0</v>
      </c>
      <c r="D41" s="685">
        <f>D32+D28</f>
        <v>0</v>
      </c>
      <c r="E41" s="685">
        <f>D41-C41</f>
        <v>0</v>
      </c>
      <c r="F41" s="402"/>
      <c r="G41" s="403">
        <f>G33</f>
        <v>0</v>
      </c>
      <c r="H41" s="403">
        <f t="shared" ref="H41:I41" si="26">H33</f>
        <v>0</v>
      </c>
      <c r="I41" s="404">
        <f t="shared" si="26"/>
        <v>0</v>
      </c>
    </row>
    <row r="42" spans="1:9" ht="16.5" customHeight="1" x14ac:dyDescent="0.25">
      <c r="A42" s="368" t="s">
        <v>3</v>
      </c>
      <c r="B42" s="394" t="s">
        <v>3</v>
      </c>
      <c r="C42" s="368" t="s">
        <v>3</v>
      </c>
      <c r="D42" s="390" t="s">
        <v>3</v>
      </c>
      <c r="E42" s="390" t="s">
        <v>3</v>
      </c>
      <c r="F42" s="390" t="s">
        <v>3</v>
      </c>
      <c r="G42" s="395" t="s">
        <v>3</v>
      </c>
      <c r="H42" s="395" t="s">
        <v>3</v>
      </c>
      <c r="I42" s="395" t="s">
        <v>3</v>
      </c>
    </row>
    <row r="43" spans="1:9" ht="13.8" x14ac:dyDescent="0.25">
      <c r="A43" s="219"/>
    </row>
    <row r="44" spans="1:9" ht="13.8" x14ac:dyDescent="0.25">
      <c r="A44" s="219"/>
    </row>
    <row r="45" spans="1:9" ht="13.8" x14ac:dyDescent="0.25">
      <c r="A45" s="219"/>
    </row>
    <row r="46" spans="1:9" ht="13.8" x14ac:dyDescent="0.25">
      <c r="A46" s="219"/>
    </row>
    <row r="47" spans="1:9" ht="13.8" x14ac:dyDescent="0.25">
      <c r="A47" s="219"/>
    </row>
    <row r="48" spans="1:9" ht="13.8" x14ac:dyDescent="0.25">
      <c r="A48" s="219"/>
    </row>
    <row r="49" spans="1:6" ht="13.8" x14ac:dyDescent="0.25">
      <c r="A49" s="219"/>
    </row>
    <row r="50" spans="1:6" ht="13.8" x14ac:dyDescent="0.25">
      <c r="A50" s="219"/>
    </row>
    <row r="51" spans="1:6" ht="13.8" x14ac:dyDescent="0.25">
      <c r="A51" s="219"/>
    </row>
    <row r="52" spans="1:6" ht="13.8" x14ac:dyDescent="0.25">
      <c r="A52" s="219"/>
    </row>
    <row r="53" spans="1:6" ht="13.8" x14ac:dyDescent="0.25">
      <c r="A53" s="219"/>
    </row>
    <row r="54" spans="1:6" s="406" customFormat="1" ht="13.8" x14ac:dyDescent="0.25">
      <c r="A54" s="219"/>
      <c r="B54" s="405"/>
      <c r="C54" s="2"/>
      <c r="D54" s="73"/>
      <c r="E54" s="73"/>
      <c r="F54" s="73"/>
    </row>
    <row r="55" spans="1:6" s="406" customFormat="1" ht="13.8" x14ac:dyDescent="0.25">
      <c r="A55" s="219"/>
      <c r="B55" s="405"/>
      <c r="C55" s="2"/>
      <c r="D55" s="73"/>
      <c r="E55" s="73"/>
      <c r="F55" s="73"/>
    </row>
    <row r="56" spans="1:6" s="406" customFormat="1" ht="13.8" x14ac:dyDescent="0.25">
      <c r="A56" s="219"/>
      <c r="B56" s="405"/>
      <c r="C56" s="2"/>
      <c r="D56" s="73"/>
      <c r="E56" s="73"/>
      <c r="F56" s="73"/>
    </row>
    <row r="57" spans="1:6" s="406" customFormat="1" ht="13.8" x14ac:dyDescent="0.25">
      <c r="A57" s="219"/>
      <c r="B57" s="405"/>
      <c r="C57" s="2"/>
      <c r="D57" s="73"/>
      <c r="E57" s="73"/>
      <c r="F57" s="73"/>
    </row>
    <row r="58" spans="1:6" s="406" customFormat="1" ht="13.8" x14ac:dyDescent="0.25">
      <c r="A58" s="219"/>
      <c r="B58" s="405"/>
      <c r="C58" s="2"/>
      <c r="D58" s="73"/>
      <c r="E58" s="73"/>
      <c r="F58" s="73"/>
    </row>
    <row r="59" spans="1:6" s="406" customFormat="1" ht="13.8" x14ac:dyDescent="0.25">
      <c r="A59" s="219"/>
      <c r="B59" s="405"/>
      <c r="C59" s="2"/>
      <c r="D59" s="73"/>
      <c r="E59" s="73"/>
      <c r="F59" s="73"/>
    </row>
    <row r="60" spans="1:6" s="406" customFormat="1" ht="13.8" x14ac:dyDescent="0.25">
      <c r="A60" s="219"/>
      <c r="B60" s="405"/>
      <c r="C60" s="2"/>
      <c r="D60" s="73"/>
      <c r="E60" s="73"/>
      <c r="F60" s="73"/>
    </row>
    <row r="61" spans="1:6" s="406" customFormat="1" ht="13.8" x14ac:dyDescent="0.25">
      <c r="A61" s="219"/>
      <c r="B61" s="405"/>
      <c r="C61" s="2"/>
      <c r="D61" s="73"/>
      <c r="E61" s="73"/>
      <c r="F61" s="73"/>
    </row>
    <row r="62" spans="1:6" s="406" customFormat="1" ht="13.8" x14ac:dyDescent="0.25">
      <c r="A62" s="219"/>
      <c r="B62" s="405"/>
      <c r="C62" s="2"/>
      <c r="D62" s="73"/>
      <c r="E62" s="73"/>
      <c r="F62" s="73"/>
    </row>
    <row r="63" spans="1:6" s="406" customFormat="1" ht="13.8" x14ac:dyDescent="0.25">
      <c r="A63" s="219"/>
      <c r="B63" s="405"/>
      <c r="C63" s="2"/>
      <c r="D63" s="73"/>
      <c r="E63" s="73"/>
      <c r="F63" s="73"/>
    </row>
    <row r="64" spans="1:6" s="406" customFormat="1" ht="13.8" x14ac:dyDescent="0.25">
      <c r="A64" s="219"/>
      <c r="B64" s="405"/>
      <c r="C64" s="2"/>
      <c r="D64" s="73"/>
      <c r="E64" s="73"/>
      <c r="F64" s="73"/>
    </row>
    <row r="65" spans="1:6" s="406" customFormat="1" ht="13.8" x14ac:dyDescent="0.25">
      <c r="A65" s="219"/>
      <c r="B65" s="405"/>
      <c r="C65" s="2"/>
      <c r="D65" s="73"/>
      <c r="E65" s="73"/>
      <c r="F65" s="73"/>
    </row>
    <row r="66" spans="1:6" s="406" customFormat="1" ht="13.8" x14ac:dyDescent="0.25">
      <c r="A66" s="219"/>
      <c r="B66" s="405"/>
      <c r="C66" s="2"/>
      <c r="D66" s="73"/>
      <c r="E66" s="73"/>
      <c r="F66" s="73"/>
    </row>
    <row r="67" spans="1:6" s="406" customFormat="1" ht="13.8" x14ac:dyDescent="0.25">
      <c r="A67" s="219"/>
      <c r="B67" s="405"/>
      <c r="C67" s="2"/>
      <c r="D67" s="73"/>
      <c r="E67" s="73"/>
      <c r="F67" s="73"/>
    </row>
    <row r="68" spans="1:6" s="406" customFormat="1" ht="13.8" x14ac:dyDescent="0.25">
      <c r="A68" s="219"/>
      <c r="B68" s="405"/>
      <c r="C68" s="2"/>
      <c r="D68" s="73"/>
      <c r="E68" s="73"/>
      <c r="F68" s="73"/>
    </row>
    <row r="69" spans="1:6" s="406" customFormat="1" ht="13.8" x14ac:dyDescent="0.25">
      <c r="A69" s="219"/>
      <c r="B69" s="405"/>
      <c r="C69" s="2"/>
      <c r="D69" s="73"/>
      <c r="E69" s="73"/>
      <c r="F69" s="73"/>
    </row>
    <row r="70" spans="1:6" s="406" customFormat="1" ht="13.8" x14ac:dyDescent="0.25">
      <c r="A70" s="219"/>
      <c r="B70" s="405"/>
      <c r="C70" s="2"/>
      <c r="D70" s="73"/>
      <c r="E70" s="73"/>
      <c r="F70" s="73"/>
    </row>
    <row r="71" spans="1:6" s="406" customFormat="1" ht="13.8" x14ac:dyDescent="0.25">
      <c r="A71" s="219"/>
      <c r="B71" s="405"/>
      <c r="C71" s="2"/>
      <c r="D71" s="73"/>
      <c r="E71" s="73"/>
      <c r="F71" s="73"/>
    </row>
    <row r="72" spans="1:6" s="406" customFormat="1" ht="13.8" x14ac:dyDescent="0.25">
      <c r="A72" s="219"/>
      <c r="B72" s="405"/>
      <c r="C72" s="2"/>
      <c r="D72" s="73"/>
      <c r="E72" s="73"/>
      <c r="F72" s="73"/>
    </row>
    <row r="73" spans="1:6" s="406" customFormat="1" ht="13.8" x14ac:dyDescent="0.25">
      <c r="A73" s="219"/>
      <c r="B73" s="405"/>
      <c r="C73" s="2"/>
      <c r="D73" s="73"/>
      <c r="E73" s="73"/>
      <c r="F73" s="73"/>
    </row>
    <row r="74" spans="1:6" s="406" customFormat="1" ht="13.8" x14ac:dyDescent="0.25">
      <c r="A74" s="219"/>
      <c r="B74" s="405"/>
      <c r="C74" s="2"/>
      <c r="D74" s="73"/>
      <c r="E74" s="73"/>
      <c r="F74" s="73"/>
    </row>
    <row r="75" spans="1:6" s="406" customFormat="1" ht="13.8" x14ac:dyDescent="0.25">
      <c r="A75" s="219"/>
      <c r="B75" s="405"/>
      <c r="C75" s="2"/>
      <c r="D75" s="73"/>
      <c r="E75" s="73"/>
      <c r="F75" s="73"/>
    </row>
    <row r="76" spans="1:6" s="406" customFormat="1" ht="13.8" x14ac:dyDescent="0.25">
      <c r="A76" s="219"/>
      <c r="B76" s="405"/>
      <c r="C76" s="2"/>
      <c r="D76" s="73"/>
      <c r="E76" s="73"/>
      <c r="F76" s="73"/>
    </row>
    <row r="77" spans="1:6" s="406" customFormat="1" ht="13.8" x14ac:dyDescent="0.25">
      <c r="A77" s="219"/>
      <c r="B77" s="405"/>
      <c r="C77" s="2"/>
      <c r="D77" s="73"/>
      <c r="E77" s="73"/>
      <c r="F77" s="73"/>
    </row>
    <row r="78" spans="1:6" s="406" customFormat="1" ht="13.8" x14ac:dyDescent="0.25">
      <c r="A78" s="219"/>
      <c r="B78" s="405"/>
      <c r="C78" s="2"/>
      <c r="D78" s="73"/>
      <c r="E78" s="73"/>
      <c r="F78" s="73"/>
    </row>
    <row r="79" spans="1:6" s="406" customFormat="1" ht="13.8" x14ac:dyDescent="0.25">
      <c r="A79" s="219"/>
      <c r="B79" s="405"/>
      <c r="C79" s="2"/>
      <c r="D79" s="73"/>
      <c r="E79" s="73"/>
      <c r="F79" s="73"/>
    </row>
    <row r="80" spans="1:6" s="406" customFormat="1" ht="13.8" x14ac:dyDescent="0.25">
      <c r="A80" s="219"/>
      <c r="B80" s="405"/>
      <c r="C80" s="2"/>
      <c r="D80" s="73"/>
      <c r="E80" s="73"/>
      <c r="F80" s="73"/>
    </row>
    <row r="81" spans="1:6" s="406" customFormat="1" ht="13.8" x14ac:dyDescent="0.25">
      <c r="A81" s="219"/>
      <c r="B81" s="405"/>
      <c r="C81" s="2"/>
      <c r="D81" s="73"/>
      <c r="E81" s="73"/>
      <c r="F81" s="73"/>
    </row>
    <row r="82" spans="1:6" s="406" customFormat="1" ht="13.8" x14ac:dyDescent="0.25">
      <c r="A82" s="219"/>
      <c r="B82" s="405"/>
      <c r="C82" s="2"/>
      <c r="D82" s="73"/>
      <c r="E82" s="73"/>
      <c r="F82" s="73"/>
    </row>
    <row r="83" spans="1:6" s="406" customFormat="1" ht="13.8" x14ac:dyDescent="0.25">
      <c r="A83" s="219"/>
      <c r="B83" s="405"/>
      <c r="C83" s="2"/>
      <c r="D83" s="73"/>
      <c r="E83" s="73"/>
      <c r="F83" s="73"/>
    </row>
    <row r="84" spans="1:6" s="406" customFormat="1" ht="13.8" x14ac:dyDescent="0.25">
      <c r="A84" s="219"/>
      <c r="B84" s="405"/>
      <c r="C84" s="2"/>
      <c r="D84" s="73"/>
      <c r="E84" s="73"/>
      <c r="F84" s="73"/>
    </row>
    <row r="85" spans="1:6" s="406" customFormat="1" ht="13.8" x14ac:dyDescent="0.25">
      <c r="A85" s="219"/>
      <c r="B85" s="405"/>
      <c r="C85" s="2"/>
      <c r="D85" s="73"/>
      <c r="E85" s="73"/>
      <c r="F85" s="73"/>
    </row>
    <row r="86" spans="1:6" s="406" customFormat="1" ht="13.8" x14ac:dyDescent="0.25">
      <c r="A86" s="219"/>
      <c r="B86" s="405"/>
      <c r="C86" s="2"/>
      <c r="D86" s="73"/>
      <c r="E86" s="73"/>
      <c r="F86" s="73"/>
    </row>
    <row r="87" spans="1:6" s="406" customFormat="1" ht="13.8" x14ac:dyDescent="0.25">
      <c r="A87" s="219"/>
      <c r="B87" s="405"/>
      <c r="C87" s="2"/>
      <c r="D87" s="73"/>
      <c r="E87" s="73"/>
      <c r="F87" s="73"/>
    </row>
    <row r="88" spans="1:6" s="406" customFormat="1" ht="13.8" x14ac:dyDescent="0.25">
      <c r="A88" s="219"/>
      <c r="B88" s="405"/>
      <c r="C88" s="2"/>
      <c r="D88" s="73"/>
      <c r="E88" s="73"/>
      <c r="F88" s="73"/>
    </row>
    <row r="89" spans="1:6" s="406" customFormat="1" ht="13.8" x14ac:dyDescent="0.25">
      <c r="A89" s="219"/>
      <c r="B89" s="405"/>
      <c r="C89" s="2"/>
      <c r="D89" s="73"/>
      <c r="E89" s="73"/>
      <c r="F89" s="73"/>
    </row>
    <row r="90" spans="1:6" s="406" customFormat="1" ht="13.8" x14ac:dyDescent="0.25">
      <c r="A90" s="219"/>
      <c r="B90" s="405"/>
      <c r="C90" s="2"/>
      <c r="D90" s="73"/>
      <c r="E90" s="73"/>
      <c r="F90" s="73"/>
    </row>
    <row r="91" spans="1:6" s="406" customFormat="1" ht="13.8" x14ac:dyDescent="0.25">
      <c r="A91" s="219"/>
      <c r="B91" s="405"/>
      <c r="C91" s="2"/>
      <c r="D91" s="73"/>
      <c r="E91" s="73"/>
      <c r="F91" s="73"/>
    </row>
    <row r="92" spans="1:6" s="406" customFormat="1" ht="13.8" x14ac:dyDescent="0.25">
      <c r="A92" s="219"/>
      <c r="B92" s="405"/>
      <c r="C92" s="2"/>
      <c r="D92" s="73"/>
      <c r="E92" s="73"/>
      <c r="F92" s="73"/>
    </row>
    <row r="93" spans="1:6" s="406" customFormat="1" ht="13.8" x14ac:dyDescent="0.25">
      <c r="A93" s="219"/>
      <c r="B93" s="405"/>
      <c r="C93" s="2"/>
      <c r="D93" s="73"/>
      <c r="E93" s="73"/>
      <c r="F93" s="73"/>
    </row>
    <row r="94" spans="1:6" s="406" customFormat="1" ht="13.8" x14ac:dyDescent="0.25">
      <c r="A94" s="219"/>
      <c r="B94" s="405"/>
      <c r="C94" s="2"/>
      <c r="D94" s="73"/>
      <c r="E94" s="73"/>
      <c r="F94" s="73"/>
    </row>
    <row r="95" spans="1:6" s="406" customFormat="1" ht="13.8" x14ac:dyDescent="0.25">
      <c r="A95" s="219"/>
      <c r="B95" s="405"/>
      <c r="C95" s="2"/>
      <c r="D95" s="73"/>
      <c r="E95" s="73"/>
      <c r="F95" s="73"/>
    </row>
    <row r="96" spans="1:6" s="406" customFormat="1" ht="13.8" x14ac:dyDescent="0.25">
      <c r="A96" s="219"/>
      <c r="B96" s="405"/>
      <c r="C96" s="2"/>
      <c r="D96" s="73"/>
      <c r="E96" s="73"/>
      <c r="F96" s="73"/>
    </row>
    <row r="97" spans="1:6" s="406" customFormat="1" ht="13.8" x14ac:dyDescent="0.25">
      <c r="A97" s="219"/>
      <c r="B97" s="405"/>
      <c r="C97" s="2"/>
      <c r="D97" s="73"/>
      <c r="E97" s="73"/>
      <c r="F97" s="73"/>
    </row>
    <row r="98" spans="1:6" s="406" customFormat="1" ht="13.8" x14ac:dyDescent="0.25">
      <c r="A98" s="219"/>
      <c r="B98" s="405"/>
      <c r="C98" s="2"/>
      <c r="D98" s="73"/>
      <c r="E98" s="73"/>
      <c r="F98" s="73"/>
    </row>
    <row r="99" spans="1:6" s="406" customFormat="1" ht="13.8" x14ac:dyDescent="0.25">
      <c r="A99" s="219"/>
      <c r="B99" s="405"/>
      <c r="C99" s="2"/>
      <c r="D99" s="73"/>
      <c r="E99" s="73"/>
      <c r="F99" s="73"/>
    </row>
    <row r="100" spans="1:6" s="406" customFormat="1" ht="13.8" x14ac:dyDescent="0.25">
      <c r="A100" s="219"/>
      <c r="B100" s="405"/>
      <c r="C100" s="2"/>
      <c r="D100" s="73"/>
      <c r="E100" s="73"/>
      <c r="F100" s="73"/>
    </row>
    <row r="101" spans="1:6" s="406" customFormat="1" ht="13.8" x14ac:dyDescent="0.25">
      <c r="A101" s="219"/>
      <c r="B101" s="405"/>
      <c r="C101" s="2"/>
      <c r="D101" s="73"/>
      <c r="E101" s="73"/>
      <c r="F101" s="73"/>
    </row>
    <row r="102" spans="1:6" s="406" customFormat="1" ht="13.8" x14ac:dyDescent="0.25">
      <c r="A102" s="219"/>
      <c r="B102" s="405"/>
      <c r="C102" s="2"/>
      <c r="D102" s="73"/>
      <c r="E102" s="73"/>
      <c r="F102" s="73"/>
    </row>
    <row r="103" spans="1:6" s="406" customFormat="1" ht="13.8" x14ac:dyDescent="0.25">
      <c r="A103" s="219"/>
      <c r="B103" s="405"/>
      <c r="C103" s="2"/>
      <c r="D103" s="73"/>
      <c r="E103" s="73"/>
      <c r="F103" s="73"/>
    </row>
    <row r="104" spans="1:6" s="406" customFormat="1" ht="13.8" x14ac:dyDescent="0.25">
      <c r="A104" s="219"/>
      <c r="B104" s="405"/>
      <c r="C104" s="2"/>
      <c r="D104" s="73"/>
      <c r="E104" s="73"/>
      <c r="F104" s="73"/>
    </row>
    <row r="105" spans="1:6" s="406" customFormat="1" ht="13.8" x14ac:dyDescent="0.25">
      <c r="A105" s="219"/>
      <c r="B105" s="405"/>
      <c r="C105" s="2"/>
      <c r="D105" s="73"/>
      <c r="E105" s="73"/>
      <c r="F105" s="73"/>
    </row>
    <row r="106" spans="1:6" s="406" customFormat="1" ht="13.8" x14ac:dyDescent="0.25">
      <c r="A106" s="219"/>
      <c r="B106" s="405"/>
      <c r="C106" s="2"/>
      <c r="D106" s="73"/>
      <c r="E106" s="73"/>
      <c r="F106" s="73"/>
    </row>
    <row r="107" spans="1:6" s="406" customFormat="1" ht="13.8" x14ac:dyDescent="0.25">
      <c r="A107" s="219"/>
      <c r="B107" s="405"/>
      <c r="C107" s="2"/>
      <c r="D107" s="73"/>
      <c r="E107" s="73"/>
      <c r="F107" s="73"/>
    </row>
    <row r="108" spans="1:6" s="406" customFormat="1" ht="13.8" x14ac:dyDescent="0.25">
      <c r="A108" s="219"/>
      <c r="B108" s="405"/>
      <c r="C108" s="2"/>
      <c r="D108" s="73"/>
      <c r="E108" s="73"/>
      <c r="F108" s="73"/>
    </row>
    <row r="109" spans="1:6" s="406" customFormat="1" ht="13.8" x14ac:dyDescent="0.25">
      <c r="A109" s="219"/>
      <c r="B109" s="405"/>
      <c r="C109" s="2"/>
      <c r="D109" s="73"/>
      <c r="E109" s="73"/>
      <c r="F109" s="73"/>
    </row>
    <row r="110" spans="1:6" s="406" customFormat="1" ht="13.8" x14ac:dyDescent="0.25">
      <c r="A110" s="219"/>
      <c r="B110" s="405"/>
      <c r="C110" s="2"/>
      <c r="D110" s="73"/>
      <c r="E110" s="73"/>
      <c r="F110" s="73"/>
    </row>
    <row r="111" spans="1:6" s="406" customFormat="1" ht="13.8" x14ac:dyDescent="0.25">
      <c r="A111" s="219"/>
      <c r="B111" s="405"/>
      <c r="C111" s="2"/>
      <c r="D111" s="73"/>
      <c r="E111" s="73"/>
      <c r="F111" s="73"/>
    </row>
    <row r="112" spans="1:6" s="406" customFormat="1" ht="13.8" x14ac:dyDescent="0.25">
      <c r="A112" s="219"/>
      <c r="B112" s="405"/>
      <c r="C112" s="2"/>
      <c r="D112" s="73"/>
      <c r="E112" s="73"/>
      <c r="F112" s="73"/>
    </row>
    <row r="113" spans="1:6" s="406" customFormat="1" ht="13.8" x14ac:dyDescent="0.25">
      <c r="A113" s="219"/>
      <c r="B113" s="405"/>
      <c r="C113" s="2"/>
      <c r="D113" s="73"/>
      <c r="E113" s="73"/>
      <c r="F113" s="73"/>
    </row>
    <row r="114" spans="1:6" s="406" customFormat="1" ht="13.8" x14ac:dyDescent="0.25">
      <c r="A114" s="219"/>
      <c r="B114" s="405"/>
      <c r="C114" s="2"/>
      <c r="D114" s="73"/>
      <c r="E114" s="73"/>
      <c r="F114" s="73"/>
    </row>
    <row r="115" spans="1:6" s="406" customFormat="1" ht="13.8" x14ac:dyDescent="0.25">
      <c r="A115" s="219"/>
      <c r="B115" s="405"/>
      <c r="C115" s="2"/>
      <c r="D115" s="73"/>
      <c r="E115" s="73"/>
      <c r="F115" s="73"/>
    </row>
    <row r="116" spans="1:6" s="406" customFormat="1" ht="13.8" x14ac:dyDescent="0.25">
      <c r="A116" s="219"/>
      <c r="B116" s="405"/>
      <c r="C116" s="2"/>
      <c r="D116" s="73"/>
      <c r="E116" s="73"/>
      <c r="F116" s="73"/>
    </row>
    <row r="117" spans="1:6" s="406" customFormat="1" ht="13.8" x14ac:dyDescent="0.25">
      <c r="A117" s="219"/>
      <c r="B117" s="405"/>
      <c r="C117" s="2"/>
      <c r="D117" s="73"/>
      <c r="E117" s="73"/>
      <c r="F117" s="73"/>
    </row>
    <row r="118" spans="1:6" s="406" customFormat="1" ht="13.8" x14ac:dyDescent="0.25">
      <c r="A118" s="219"/>
      <c r="B118" s="405"/>
      <c r="C118" s="2"/>
      <c r="D118" s="73"/>
      <c r="E118" s="73"/>
      <c r="F118" s="73"/>
    </row>
    <row r="119" spans="1:6" s="406" customFormat="1" ht="13.8" x14ac:dyDescent="0.25">
      <c r="A119" s="219"/>
      <c r="B119" s="405"/>
      <c r="C119" s="2"/>
      <c r="D119" s="73"/>
      <c r="E119" s="73"/>
      <c r="F119" s="73"/>
    </row>
    <row r="120" spans="1:6" s="406" customFormat="1" ht="13.8" x14ac:dyDescent="0.25">
      <c r="A120" s="219"/>
      <c r="B120" s="405"/>
      <c r="C120" s="2"/>
      <c r="D120" s="73"/>
      <c r="E120" s="73"/>
      <c r="F120" s="73"/>
    </row>
    <row r="121" spans="1:6" s="406" customFormat="1" ht="13.8" x14ac:dyDescent="0.25">
      <c r="A121" s="219"/>
      <c r="B121" s="405"/>
      <c r="C121" s="2"/>
      <c r="D121" s="73"/>
      <c r="E121" s="73"/>
      <c r="F121" s="73"/>
    </row>
    <row r="122" spans="1:6" s="406" customFormat="1" ht="13.8" x14ac:dyDescent="0.25">
      <c r="A122" s="219"/>
      <c r="B122" s="405"/>
      <c r="C122" s="2"/>
      <c r="D122" s="73"/>
      <c r="E122" s="73"/>
      <c r="F122" s="73"/>
    </row>
    <row r="123" spans="1:6" s="406" customFormat="1" ht="13.8" x14ac:dyDescent="0.25">
      <c r="A123" s="219"/>
      <c r="B123" s="405"/>
      <c r="C123" s="2"/>
      <c r="D123" s="73"/>
      <c r="E123" s="73"/>
      <c r="F123" s="73"/>
    </row>
    <row r="124" spans="1:6" s="406" customFormat="1" ht="13.8" x14ac:dyDescent="0.25">
      <c r="A124" s="219"/>
      <c r="B124" s="405"/>
      <c r="C124" s="2"/>
      <c r="D124" s="73"/>
      <c r="E124" s="73"/>
      <c r="F124" s="73"/>
    </row>
    <row r="125" spans="1:6" s="406" customFormat="1" ht="13.8" x14ac:dyDescent="0.25">
      <c r="A125" s="219"/>
      <c r="B125" s="405"/>
      <c r="C125" s="2"/>
      <c r="D125" s="73"/>
      <c r="E125" s="73"/>
      <c r="F125" s="73"/>
    </row>
    <row r="126" spans="1:6" s="406" customFormat="1" ht="13.8" x14ac:dyDescent="0.25">
      <c r="A126" s="219"/>
      <c r="B126" s="405"/>
      <c r="C126" s="2"/>
      <c r="D126" s="73"/>
      <c r="E126" s="73"/>
      <c r="F126" s="73"/>
    </row>
    <row r="127" spans="1:6" s="406" customFormat="1" ht="13.8" x14ac:dyDescent="0.25">
      <c r="A127" s="219"/>
      <c r="B127" s="405"/>
      <c r="C127" s="2"/>
      <c r="D127" s="73"/>
      <c r="E127" s="73"/>
      <c r="F127" s="73"/>
    </row>
    <row r="128" spans="1:6" s="406" customFormat="1" ht="13.8" x14ac:dyDescent="0.25">
      <c r="A128" s="219"/>
      <c r="B128" s="405"/>
      <c r="C128" s="2"/>
      <c r="D128" s="73"/>
      <c r="E128" s="73"/>
      <c r="F128" s="73"/>
    </row>
    <row r="129" spans="1:6" s="406" customFormat="1" ht="13.8" x14ac:dyDescent="0.25">
      <c r="A129" s="219"/>
      <c r="B129" s="405"/>
      <c r="C129" s="2"/>
      <c r="D129" s="73"/>
      <c r="E129" s="73"/>
      <c r="F129" s="73"/>
    </row>
    <row r="130" spans="1:6" s="406" customFormat="1" ht="13.8" x14ac:dyDescent="0.25">
      <c r="A130" s="219"/>
      <c r="B130" s="405"/>
      <c r="C130" s="2"/>
      <c r="D130" s="73"/>
      <c r="E130" s="73"/>
      <c r="F130" s="73"/>
    </row>
    <row r="131" spans="1:6" s="406" customFormat="1" ht="13.8" x14ac:dyDescent="0.25">
      <c r="A131" s="219"/>
      <c r="B131" s="405"/>
      <c r="C131" s="2"/>
      <c r="D131" s="73"/>
      <c r="E131" s="73"/>
      <c r="F131" s="73"/>
    </row>
    <row r="132" spans="1:6" s="406" customFormat="1" ht="13.8" x14ac:dyDescent="0.25">
      <c r="A132" s="219"/>
      <c r="B132" s="405"/>
      <c r="C132" s="2"/>
      <c r="D132" s="73"/>
      <c r="E132" s="73"/>
      <c r="F132" s="73"/>
    </row>
    <row r="133" spans="1:6" s="406" customFormat="1" ht="13.8" x14ac:dyDescent="0.25">
      <c r="A133" s="219"/>
      <c r="B133" s="405"/>
      <c r="C133" s="2"/>
      <c r="D133" s="73"/>
      <c r="E133" s="73"/>
      <c r="F133" s="73"/>
    </row>
    <row r="134" spans="1:6" s="406" customFormat="1" ht="13.8" x14ac:dyDescent="0.25">
      <c r="A134" s="219"/>
      <c r="B134" s="405"/>
      <c r="C134" s="2"/>
      <c r="D134" s="73"/>
      <c r="E134" s="73"/>
      <c r="F134" s="73"/>
    </row>
    <row r="135" spans="1:6" s="406" customFormat="1" ht="13.8" x14ac:dyDescent="0.25">
      <c r="A135" s="219"/>
      <c r="B135" s="405"/>
      <c r="C135" s="2"/>
      <c r="D135" s="73"/>
      <c r="E135" s="73"/>
      <c r="F135" s="73"/>
    </row>
    <row r="136" spans="1:6" s="406" customFormat="1" ht="13.8" x14ac:dyDescent="0.25">
      <c r="A136" s="219"/>
      <c r="B136" s="405"/>
      <c r="C136" s="2"/>
      <c r="D136" s="73"/>
      <c r="E136" s="73"/>
      <c r="F136" s="73"/>
    </row>
    <row r="137" spans="1:6" s="406" customFormat="1" ht="13.8" x14ac:dyDescent="0.25">
      <c r="A137" s="219"/>
      <c r="B137" s="405"/>
      <c r="C137" s="2"/>
      <c r="D137" s="73"/>
      <c r="E137" s="73"/>
      <c r="F137" s="73"/>
    </row>
    <row r="138" spans="1:6" s="406" customFormat="1" ht="13.8" x14ac:dyDescent="0.25">
      <c r="A138" s="219"/>
      <c r="B138" s="405"/>
      <c r="C138" s="2"/>
      <c r="D138" s="73"/>
      <c r="E138" s="73"/>
      <c r="F138" s="73"/>
    </row>
    <row r="139" spans="1:6" s="406" customFormat="1" ht="13.8" x14ac:dyDescent="0.25">
      <c r="A139" s="219"/>
      <c r="B139" s="405"/>
      <c r="C139" s="2"/>
      <c r="D139" s="73"/>
      <c r="E139" s="73"/>
      <c r="F139" s="73"/>
    </row>
    <row r="140" spans="1:6" s="406" customFormat="1" ht="13.8" x14ac:dyDescent="0.25">
      <c r="A140" s="219"/>
      <c r="B140" s="405"/>
      <c r="C140" s="2"/>
      <c r="D140" s="73"/>
      <c r="E140" s="73"/>
      <c r="F140" s="73"/>
    </row>
    <row r="141" spans="1:6" s="406" customFormat="1" ht="13.8" x14ac:dyDescent="0.25">
      <c r="A141" s="219"/>
      <c r="B141" s="405"/>
      <c r="C141" s="2"/>
      <c r="D141" s="73"/>
      <c r="E141" s="73"/>
      <c r="F141" s="73"/>
    </row>
    <row r="142" spans="1:6" s="406" customFormat="1" ht="13.8" x14ac:dyDescent="0.25">
      <c r="A142" s="219"/>
      <c r="B142" s="405"/>
      <c r="C142" s="2"/>
      <c r="D142" s="73"/>
      <c r="E142" s="73"/>
      <c r="F142" s="73"/>
    </row>
    <row r="143" spans="1:6" s="406" customFormat="1" ht="13.8" x14ac:dyDescent="0.25">
      <c r="A143" s="219"/>
      <c r="B143" s="405"/>
      <c r="C143" s="2"/>
      <c r="D143" s="73"/>
      <c r="E143" s="73"/>
      <c r="F143" s="73"/>
    </row>
    <row r="144" spans="1:6" s="406" customFormat="1" ht="13.8" x14ac:dyDescent="0.25">
      <c r="A144" s="219"/>
      <c r="B144" s="405"/>
      <c r="C144" s="2"/>
      <c r="D144" s="73"/>
      <c r="E144" s="73"/>
      <c r="F144" s="73"/>
    </row>
    <row r="145" spans="1:6" s="406" customFormat="1" ht="13.8" x14ac:dyDescent="0.25">
      <c r="A145" s="219"/>
      <c r="B145" s="405"/>
      <c r="C145" s="2"/>
      <c r="D145" s="73"/>
      <c r="E145" s="73"/>
      <c r="F145" s="73"/>
    </row>
    <row r="146" spans="1:6" s="406" customFormat="1" ht="13.8" x14ac:dyDescent="0.25">
      <c r="A146" s="219"/>
      <c r="B146" s="405"/>
      <c r="C146" s="2"/>
      <c r="D146" s="73"/>
      <c r="E146" s="73"/>
      <c r="F146" s="73"/>
    </row>
    <row r="147" spans="1:6" s="406" customFormat="1" ht="13.8" x14ac:dyDescent="0.25">
      <c r="A147" s="219"/>
      <c r="B147" s="405"/>
      <c r="C147" s="2"/>
      <c r="D147" s="73"/>
      <c r="E147" s="73"/>
      <c r="F147" s="73"/>
    </row>
    <row r="148" spans="1:6" s="406" customFormat="1" ht="13.8" x14ac:dyDescent="0.25">
      <c r="A148" s="219"/>
      <c r="B148" s="405"/>
      <c r="C148" s="2"/>
      <c r="D148" s="73"/>
      <c r="E148" s="73"/>
      <c r="F148" s="73"/>
    </row>
    <row r="149" spans="1:6" s="406" customFormat="1" ht="13.8" x14ac:dyDescent="0.25">
      <c r="A149" s="219"/>
      <c r="B149" s="405"/>
      <c r="C149" s="2"/>
      <c r="D149" s="73"/>
      <c r="E149" s="73"/>
      <c r="F149" s="73"/>
    </row>
    <row r="150" spans="1:6" s="406" customFormat="1" ht="13.8" x14ac:dyDescent="0.25">
      <c r="A150" s="219"/>
      <c r="B150" s="405"/>
      <c r="C150" s="2"/>
      <c r="D150" s="73"/>
      <c r="E150" s="73"/>
      <c r="F150" s="73"/>
    </row>
    <row r="151" spans="1:6" s="406" customFormat="1" ht="13.8" x14ac:dyDescent="0.25">
      <c r="A151" s="219"/>
      <c r="B151" s="405"/>
      <c r="C151" s="2"/>
      <c r="D151" s="73"/>
      <c r="E151" s="73"/>
      <c r="F151" s="73"/>
    </row>
    <row r="152" spans="1:6" s="406" customFormat="1" ht="13.8" x14ac:dyDescent="0.25">
      <c r="A152" s="219"/>
      <c r="B152" s="405"/>
      <c r="C152" s="2"/>
      <c r="D152" s="73"/>
      <c r="E152" s="73"/>
      <c r="F152" s="73"/>
    </row>
    <row r="153" spans="1:6" s="406" customFormat="1" ht="13.8" x14ac:dyDescent="0.25">
      <c r="A153" s="219"/>
      <c r="B153" s="405"/>
      <c r="C153" s="2"/>
      <c r="D153" s="73"/>
      <c r="E153" s="73"/>
      <c r="F153" s="73"/>
    </row>
    <row r="154" spans="1:6" s="406" customFormat="1" ht="13.8" x14ac:dyDescent="0.25">
      <c r="A154" s="219"/>
      <c r="B154" s="405"/>
      <c r="C154" s="2"/>
      <c r="D154" s="73"/>
      <c r="E154" s="73"/>
      <c r="F154" s="73"/>
    </row>
    <row r="155" spans="1:6" s="406" customFormat="1" ht="13.8" x14ac:dyDescent="0.25">
      <c r="A155" s="219"/>
      <c r="B155" s="405"/>
      <c r="C155" s="2"/>
      <c r="D155" s="73"/>
      <c r="E155" s="73"/>
      <c r="F155" s="73"/>
    </row>
    <row r="156" spans="1:6" s="406" customFormat="1" ht="13.8" x14ac:dyDescent="0.25">
      <c r="A156" s="219"/>
      <c r="B156" s="405"/>
      <c r="C156" s="2"/>
      <c r="D156" s="73"/>
      <c r="E156" s="73"/>
      <c r="F156" s="73"/>
    </row>
    <row r="157" spans="1:6" s="406" customFormat="1" ht="13.8" x14ac:dyDescent="0.25">
      <c r="A157" s="219"/>
      <c r="B157" s="405"/>
      <c r="C157" s="2"/>
      <c r="D157" s="73"/>
      <c r="E157" s="73"/>
      <c r="F157" s="73"/>
    </row>
    <row r="158" spans="1:6" s="406" customFormat="1" ht="13.8" x14ac:dyDescent="0.25">
      <c r="A158" s="219"/>
      <c r="B158" s="405"/>
      <c r="C158" s="2"/>
      <c r="D158" s="73"/>
      <c r="E158" s="73"/>
      <c r="F158" s="73"/>
    </row>
    <row r="159" spans="1:6" s="406" customFormat="1" ht="13.8" x14ac:dyDescent="0.25">
      <c r="A159" s="219"/>
      <c r="B159" s="405"/>
      <c r="C159" s="2"/>
      <c r="D159" s="73"/>
      <c r="E159" s="73"/>
      <c r="F159" s="73"/>
    </row>
    <row r="160" spans="1:6" s="406" customFormat="1" ht="13.8" x14ac:dyDescent="0.25">
      <c r="A160" s="219"/>
      <c r="B160" s="405"/>
      <c r="C160" s="2"/>
      <c r="D160" s="73"/>
      <c r="E160" s="73"/>
      <c r="F160" s="73"/>
    </row>
    <row r="161" spans="1:6" s="406" customFormat="1" ht="13.8" x14ac:dyDescent="0.25">
      <c r="A161" s="219"/>
      <c r="B161" s="405"/>
      <c r="C161" s="2"/>
      <c r="D161" s="73"/>
      <c r="E161" s="73"/>
      <c r="F161" s="73"/>
    </row>
    <row r="162" spans="1:6" s="406" customFormat="1" ht="13.8" x14ac:dyDescent="0.25">
      <c r="A162" s="219"/>
      <c r="B162" s="405"/>
      <c r="C162" s="2"/>
      <c r="D162" s="73"/>
      <c r="E162" s="73"/>
      <c r="F162" s="73"/>
    </row>
    <row r="163" spans="1:6" s="406" customFormat="1" ht="13.8" x14ac:dyDescent="0.25">
      <c r="A163" s="219"/>
      <c r="B163" s="405"/>
      <c r="C163" s="2"/>
      <c r="D163" s="73"/>
      <c r="E163" s="73"/>
      <c r="F163" s="73"/>
    </row>
    <row r="164" spans="1:6" s="406" customFormat="1" ht="13.8" x14ac:dyDescent="0.25">
      <c r="A164" s="219"/>
      <c r="B164" s="405"/>
      <c r="C164" s="2"/>
      <c r="D164" s="73"/>
      <c r="E164" s="73"/>
      <c r="F164" s="73"/>
    </row>
    <row r="165" spans="1:6" s="406" customFormat="1" ht="13.8" x14ac:dyDescent="0.25">
      <c r="A165" s="219"/>
      <c r="B165" s="405"/>
      <c r="C165" s="2"/>
      <c r="D165" s="73"/>
      <c r="E165" s="73"/>
      <c r="F165" s="73"/>
    </row>
    <row r="166" spans="1:6" s="406" customFormat="1" ht="13.8" x14ac:dyDescent="0.25">
      <c r="A166" s="219"/>
      <c r="B166" s="405"/>
      <c r="C166" s="2"/>
      <c r="D166" s="73"/>
      <c r="E166" s="73"/>
      <c r="F166" s="73"/>
    </row>
    <row r="167" spans="1:6" s="406" customFormat="1" ht="13.8" x14ac:dyDescent="0.25">
      <c r="A167" s="219"/>
      <c r="B167" s="405"/>
      <c r="C167" s="2"/>
      <c r="D167" s="73"/>
      <c r="E167" s="73"/>
      <c r="F167" s="73"/>
    </row>
    <row r="168" spans="1:6" s="406" customFormat="1" ht="13.8" x14ac:dyDescent="0.25">
      <c r="A168" s="219"/>
      <c r="B168" s="405"/>
      <c r="C168" s="2"/>
      <c r="D168" s="73"/>
      <c r="E168" s="73"/>
      <c r="F168" s="73"/>
    </row>
    <row r="169" spans="1:6" s="406" customFormat="1" ht="13.8" x14ac:dyDescent="0.25">
      <c r="A169" s="219"/>
      <c r="B169" s="405"/>
      <c r="C169" s="2"/>
      <c r="D169" s="73"/>
      <c r="E169" s="73"/>
      <c r="F169" s="73"/>
    </row>
    <row r="170" spans="1:6" s="406" customFormat="1" ht="13.8" x14ac:dyDescent="0.25">
      <c r="A170" s="219"/>
      <c r="B170" s="405"/>
      <c r="C170" s="2"/>
      <c r="D170" s="73"/>
      <c r="E170" s="73"/>
      <c r="F170" s="73"/>
    </row>
    <row r="171" spans="1:6" s="406" customFormat="1" ht="13.8" x14ac:dyDescent="0.25">
      <c r="A171" s="219"/>
      <c r="B171" s="405"/>
      <c r="C171" s="2"/>
      <c r="D171" s="73"/>
      <c r="E171" s="73"/>
      <c r="F171" s="73"/>
    </row>
    <row r="172" spans="1:6" s="406" customFormat="1" ht="13.8" x14ac:dyDescent="0.25">
      <c r="A172" s="219"/>
      <c r="B172" s="405"/>
      <c r="C172" s="2"/>
      <c r="D172" s="73"/>
      <c r="E172" s="73"/>
      <c r="F172" s="73"/>
    </row>
    <row r="173" spans="1:6" s="406" customFormat="1" ht="13.8" x14ac:dyDescent="0.25">
      <c r="A173" s="219"/>
      <c r="B173" s="405"/>
      <c r="C173" s="2"/>
      <c r="D173" s="73"/>
      <c r="E173" s="73"/>
      <c r="F173" s="73"/>
    </row>
    <row r="174" spans="1:6" s="406" customFormat="1" ht="13.8" x14ac:dyDescent="0.25">
      <c r="A174" s="219"/>
      <c r="B174" s="405"/>
      <c r="C174" s="2"/>
      <c r="D174" s="73"/>
      <c r="E174" s="73"/>
      <c r="F174" s="73"/>
    </row>
    <row r="175" spans="1:6" s="406" customFormat="1" ht="13.8" x14ac:dyDescent="0.25">
      <c r="A175" s="219"/>
      <c r="B175" s="405"/>
      <c r="C175" s="2"/>
      <c r="D175" s="73"/>
      <c r="E175" s="73"/>
      <c r="F175" s="73"/>
    </row>
    <row r="176" spans="1:6" s="406" customFormat="1" ht="13.8" x14ac:dyDescent="0.25">
      <c r="A176" s="219"/>
      <c r="B176" s="405"/>
      <c r="C176" s="2"/>
      <c r="D176" s="73"/>
      <c r="E176" s="73"/>
      <c r="F176" s="73"/>
    </row>
    <row r="177" spans="1:6" s="406" customFormat="1" ht="13.8" x14ac:dyDescent="0.25">
      <c r="A177" s="219"/>
      <c r="B177" s="405"/>
      <c r="C177" s="2"/>
      <c r="D177" s="73"/>
      <c r="E177" s="73"/>
      <c r="F177" s="73"/>
    </row>
    <row r="178" spans="1:6" s="406" customFormat="1" ht="13.8" x14ac:dyDescent="0.25">
      <c r="A178" s="219"/>
      <c r="B178" s="405"/>
      <c r="C178" s="2"/>
      <c r="D178" s="73"/>
      <c r="E178" s="73"/>
      <c r="F178" s="73"/>
    </row>
    <row r="179" spans="1:6" s="406" customFormat="1" ht="13.8" x14ac:dyDescent="0.25">
      <c r="A179" s="219"/>
      <c r="B179" s="405"/>
      <c r="C179" s="2"/>
      <c r="D179" s="73"/>
      <c r="E179" s="73"/>
      <c r="F179" s="73"/>
    </row>
    <row r="180" spans="1:6" s="406" customFormat="1" ht="13.8" x14ac:dyDescent="0.25">
      <c r="A180" s="219"/>
      <c r="B180" s="405"/>
      <c r="C180" s="2"/>
      <c r="D180" s="73"/>
      <c r="E180" s="73"/>
      <c r="F180" s="73"/>
    </row>
    <row r="181" spans="1:6" s="406" customFormat="1" ht="13.8" x14ac:dyDescent="0.25">
      <c r="A181" s="219"/>
      <c r="B181" s="405"/>
      <c r="C181" s="2"/>
      <c r="D181" s="73"/>
      <c r="E181" s="73"/>
      <c r="F181" s="73"/>
    </row>
    <row r="182" spans="1:6" s="406" customFormat="1" ht="13.8" x14ac:dyDescent="0.25">
      <c r="A182" s="219"/>
      <c r="B182" s="405"/>
      <c r="C182" s="2"/>
      <c r="D182" s="73"/>
      <c r="E182" s="73"/>
      <c r="F182" s="73"/>
    </row>
    <row r="183" spans="1:6" s="406" customFormat="1" ht="13.8" x14ac:dyDescent="0.25">
      <c r="A183" s="219"/>
      <c r="B183" s="405"/>
      <c r="C183" s="2"/>
      <c r="D183" s="73"/>
      <c r="E183" s="73"/>
      <c r="F183" s="73"/>
    </row>
    <row r="184" spans="1:6" s="406" customFormat="1" ht="13.8" x14ac:dyDescent="0.25">
      <c r="A184" s="219"/>
      <c r="B184" s="405"/>
      <c r="C184" s="2"/>
      <c r="D184" s="73"/>
      <c r="E184" s="73"/>
      <c r="F184" s="73"/>
    </row>
    <row r="185" spans="1:6" s="406" customFormat="1" ht="13.8" x14ac:dyDescent="0.25">
      <c r="A185" s="219"/>
      <c r="B185" s="405"/>
      <c r="C185" s="2"/>
      <c r="D185" s="73"/>
      <c r="E185" s="73"/>
      <c r="F185" s="73"/>
    </row>
    <row r="186" spans="1:6" s="406" customFormat="1" ht="13.8" x14ac:dyDescent="0.25">
      <c r="A186" s="219"/>
      <c r="B186" s="405"/>
      <c r="C186" s="2"/>
      <c r="D186" s="73"/>
      <c r="E186" s="73"/>
      <c r="F186" s="73"/>
    </row>
    <row r="187" spans="1:6" s="406" customFormat="1" ht="13.8" x14ac:dyDescent="0.25">
      <c r="A187" s="219"/>
      <c r="B187" s="405"/>
      <c r="C187" s="2"/>
      <c r="D187" s="73"/>
      <c r="E187" s="73"/>
      <c r="F187" s="73"/>
    </row>
    <row r="188" spans="1:6" s="406" customFormat="1" ht="13.8" x14ac:dyDescent="0.25">
      <c r="A188" s="219"/>
      <c r="B188" s="405"/>
      <c r="C188" s="2"/>
      <c r="D188" s="73"/>
      <c r="E188" s="73"/>
      <c r="F188" s="73"/>
    </row>
    <row r="189" spans="1:6" s="406" customFormat="1" ht="13.8" x14ac:dyDescent="0.25">
      <c r="A189" s="219"/>
      <c r="B189" s="405"/>
      <c r="C189" s="2"/>
      <c r="D189" s="73"/>
      <c r="E189" s="73"/>
      <c r="F189" s="73"/>
    </row>
    <row r="190" spans="1:6" s="406" customFormat="1" ht="13.8" x14ac:dyDescent="0.25">
      <c r="A190" s="219"/>
      <c r="B190" s="405"/>
      <c r="C190" s="2"/>
      <c r="D190" s="73"/>
      <c r="E190" s="73"/>
      <c r="F190" s="73"/>
    </row>
    <row r="191" spans="1:6" s="406" customFormat="1" ht="13.8" x14ac:dyDescent="0.25">
      <c r="A191" s="219"/>
      <c r="B191" s="405"/>
      <c r="C191" s="2"/>
      <c r="D191" s="73"/>
      <c r="E191" s="73"/>
      <c r="F191" s="73"/>
    </row>
    <row r="192" spans="1:6" s="406" customFormat="1" ht="13.8" x14ac:dyDescent="0.25">
      <c r="A192" s="219"/>
      <c r="B192" s="405"/>
      <c r="C192" s="2"/>
      <c r="D192" s="73"/>
      <c r="E192" s="73"/>
      <c r="F192" s="73"/>
    </row>
    <row r="193" spans="1:6" s="406" customFormat="1" ht="13.8" x14ac:dyDescent="0.25">
      <c r="A193" s="219"/>
      <c r="B193" s="405"/>
      <c r="C193" s="2"/>
      <c r="D193" s="73"/>
      <c r="E193" s="73"/>
      <c r="F193" s="73"/>
    </row>
    <row r="194" spans="1:6" s="406" customFormat="1" ht="13.8" x14ac:dyDescent="0.25">
      <c r="A194" s="219"/>
      <c r="B194" s="405"/>
      <c r="C194" s="2"/>
      <c r="D194" s="73"/>
      <c r="E194" s="73"/>
      <c r="F194" s="73"/>
    </row>
    <row r="195" spans="1:6" s="406" customFormat="1" ht="13.8" x14ac:dyDescent="0.25">
      <c r="A195" s="219"/>
      <c r="B195" s="405"/>
      <c r="C195" s="2"/>
      <c r="D195" s="73"/>
      <c r="E195" s="73"/>
      <c r="F195" s="73"/>
    </row>
    <row r="196" spans="1:6" s="406" customFormat="1" ht="13.8" x14ac:dyDescent="0.25">
      <c r="A196" s="219"/>
      <c r="B196" s="405"/>
      <c r="C196" s="2"/>
      <c r="D196" s="73"/>
      <c r="E196" s="73"/>
      <c r="F196" s="73"/>
    </row>
    <row r="197" spans="1:6" s="406" customFormat="1" ht="13.8" x14ac:dyDescent="0.25">
      <c r="A197" s="219"/>
      <c r="B197" s="405"/>
      <c r="C197" s="2"/>
      <c r="D197" s="73"/>
      <c r="E197" s="73"/>
      <c r="F197" s="73"/>
    </row>
    <row r="198" spans="1:6" s="406" customFormat="1" ht="13.8" x14ac:dyDescent="0.25">
      <c r="A198" s="219"/>
      <c r="B198" s="405"/>
      <c r="C198" s="2"/>
      <c r="D198" s="73"/>
      <c r="E198" s="73"/>
      <c r="F198" s="73"/>
    </row>
    <row r="199" spans="1:6" s="406" customFormat="1" ht="13.8" x14ac:dyDescent="0.25">
      <c r="A199" s="219"/>
      <c r="B199" s="405"/>
      <c r="C199" s="2"/>
      <c r="D199" s="73"/>
      <c r="E199" s="73"/>
      <c r="F199" s="73"/>
    </row>
    <row r="200" spans="1:6" s="406" customFormat="1" ht="13.8" x14ac:dyDescent="0.25">
      <c r="A200" s="219"/>
      <c r="B200" s="405"/>
      <c r="C200" s="2"/>
      <c r="D200" s="73"/>
      <c r="E200" s="73"/>
      <c r="F200" s="73"/>
    </row>
    <row r="201" spans="1:6" s="406" customFormat="1" ht="13.8" x14ac:dyDescent="0.25">
      <c r="A201" s="219"/>
      <c r="B201" s="405"/>
      <c r="C201" s="2"/>
      <c r="D201" s="73"/>
      <c r="E201" s="73"/>
      <c r="F201" s="73"/>
    </row>
    <row r="202" spans="1:6" s="406" customFormat="1" ht="13.8" x14ac:dyDescent="0.25">
      <c r="A202" s="219"/>
      <c r="B202" s="405"/>
      <c r="C202" s="2"/>
      <c r="D202" s="73"/>
      <c r="E202" s="73"/>
      <c r="F202" s="73"/>
    </row>
    <row r="203" spans="1:6" s="406" customFormat="1" ht="13.8" x14ac:dyDescent="0.25">
      <c r="A203" s="219"/>
      <c r="B203" s="405"/>
      <c r="C203" s="2"/>
      <c r="D203" s="73"/>
      <c r="E203" s="73"/>
      <c r="F203" s="73"/>
    </row>
    <row r="204" spans="1:6" s="406" customFormat="1" ht="13.8" x14ac:dyDescent="0.25">
      <c r="A204" s="219"/>
      <c r="B204" s="405"/>
      <c r="C204" s="2"/>
      <c r="D204" s="73"/>
      <c r="E204" s="73"/>
      <c r="F204" s="73"/>
    </row>
    <row r="205" spans="1:6" s="406" customFormat="1" ht="13.8" x14ac:dyDescent="0.25">
      <c r="A205" s="219"/>
      <c r="B205" s="405"/>
      <c r="C205" s="2"/>
      <c r="D205" s="73"/>
      <c r="E205" s="73"/>
      <c r="F205" s="73"/>
    </row>
    <row r="206" spans="1:6" s="406" customFormat="1" ht="13.8" x14ac:dyDescent="0.25">
      <c r="A206" s="219"/>
      <c r="B206" s="405"/>
      <c r="C206" s="2"/>
      <c r="D206" s="73"/>
      <c r="E206" s="73"/>
      <c r="F206" s="73"/>
    </row>
    <row r="207" spans="1:6" s="406" customFormat="1" ht="13.8" x14ac:dyDescent="0.25">
      <c r="A207" s="219"/>
      <c r="B207" s="405"/>
      <c r="C207" s="2"/>
      <c r="D207" s="73"/>
      <c r="E207" s="73"/>
      <c r="F207" s="73"/>
    </row>
    <row r="208" spans="1:6" s="406" customFormat="1" ht="13.8" x14ac:dyDescent="0.25">
      <c r="A208" s="219"/>
      <c r="B208" s="405"/>
      <c r="C208" s="2"/>
      <c r="D208" s="73"/>
      <c r="E208" s="73"/>
      <c r="F208" s="73"/>
    </row>
    <row r="209" spans="1:6" s="406" customFormat="1" ht="13.8" x14ac:dyDescent="0.25">
      <c r="A209" s="219"/>
      <c r="B209" s="405"/>
      <c r="C209" s="2"/>
      <c r="D209" s="73"/>
      <c r="E209" s="73"/>
      <c r="F209" s="73"/>
    </row>
    <row r="210" spans="1:6" s="406" customFormat="1" ht="13.8" x14ac:dyDescent="0.25">
      <c r="A210" s="219"/>
      <c r="B210" s="405"/>
      <c r="C210" s="2"/>
      <c r="D210" s="73"/>
      <c r="E210" s="73"/>
      <c r="F210" s="73"/>
    </row>
    <row r="211" spans="1:6" s="406" customFormat="1" ht="13.8" x14ac:dyDescent="0.25">
      <c r="A211" s="219"/>
      <c r="B211" s="405"/>
      <c r="C211" s="2"/>
      <c r="D211" s="73"/>
      <c r="E211" s="73"/>
      <c r="F211" s="73"/>
    </row>
    <row r="212" spans="1:6" s="406" customFormat="1" ht="13.8" x14ac:dyDescent="0.25">
      <c r="A212" s="219"/>
      <c r="B212" s="405"/>
      <c r="C212" s="2"/>
      <c r="D212" s="73"/>
      <c r="E212" s="73"/>
      <c r="F212" s="73"/>
    </row>
    <row r="213" spans="1:6" s="406" customFormat="1" ht="13.8" x14ac:dyDescent="0.25">
      <c r="A213" s="219"/>
      <c r="B213" s="405"/>
      <c r="C213" s="2"/>
      <c r="D213" s="73"/>
      <c r="E213" s="73"/>
      <c r="F213" s="73"/>
    </row>
    <row r="214" spans="1:6" s="406" customFormat="1" ht="13.8" x14ac:dyDescent="0.25">
      <c r="A214" s="219"/>
      <c r="B214" s="405"/>
      <c r="C214" s="2"/>
      <c r="D214" s="73"/>
      <c r="E214" s="73"/>
      <c r="F214" s="73"/>
    </row>
    <row r="215" spans="1:6" s="406" customFormat="1" ht="13.8" x14ac:dyDescent="0.25">
      <c r="A215" s="219"/>
      <c r="B215" s="405"/>
      <c r="C215" s="2"/>
      <c r="D215" s="73"/>
      <c r="E215" s="73"/>
      <c r="F215" s="73"/>
    </row>
    <row r="216" spans="1:6" s="406" customFormat="1" ht="13.8" x14ac:dyDescent="0.25">
      <c r="A216" s="219"/>
      <c r="B216" s="405"/>
      <c r="C216" s="2"/>
      <c r="D216" s="73"/>
      <c r="E216" s="73"/>
      <c r="F216" s="73"/>
    </row>
    <row r="217" spans="1:6" s="406" customFormat="1" ht="13.8" x14ac:dyDescent="0.25">
      <c r="A217" s="219"/>
      <c r="B217" s="405"/>
      <c r="C217" s="2"/>
      <c r="D217" s="73"/>
      <c r="E217" s="73"/>
      <c r="F217" s="73"/>
    </row>
    <row r="218" spans="1:6" s="406" customFormat="1" ht="13.8" x14ac:dyDescent="0.25">
      <c r="A218" s="219"/>
      <c r="B218" s="405"/>
      <c r="C218" s="2"/>
      <c r="D218" s="73"/>
      <c r="E218" s="73"/>
      <c r="F218" s="73"/>
    </row>
    <row r="219" spans="1:6" s="406" customFormat="1" ht="13.8" x14ac:dyDescent="0.25">
      <c r="A219" s="219"/>
      <c r="B219" s="405"/>
      <c r="C219" s="2"/>
      <c r="D219" s="73"/>
      <c r="E219" s="73"/>
      <c r="F219" s="73"/>
    </row>
    <row r="220" spans="1:6" s="406" customFormat="1" ht="13.8" x14ac:dyDescent="0.25">
      <c r="A220" s="219"/>
      <c r="B220" s="405"/>
      <c r="C220" s="2"/>
      <c r="D220" s="73"/>
      <c r="E220" s="73"/>
      <c r="F220" s="73"/>
    </row>
    <row r="221" spans="1:6" s="406" customFormat="1" ht="13.8" x14ac:dyDescent="0.25">
      <c r="A221" s="219"/>
      <c r="B221" s="405"/>
      <c r="C221" s="2"/>
      <c r="D221" s="73"/>
      <c r="E221" s="73"/>
      <c r="F221" s="73"/>
    </row>
    <row r="222" spans="1:6" s="406" customFormat="1" ht="13.8" x14ac:dyDescent="0.25">
      <c r="A222" s="219"/>
      <c r="B222" s="405"/>
      <c r="C222" s="2"/>
      <c r="D222" s="73"/>
      <c r="E222" s="73"/>
      <c r="F222" s="73"/>
    </row>
    <row r="223" spans="1:6" s="406" customFormat="1" ht="13.8" x14ac:dyDescent="0.25">
      <c r="A223" s="219"/>
      <c r="B223" s="405"/>
      <c r="C223" s="2"/>
      <c r="D223" s="73"/>
      <c r="E223" s="73"/>
      <c r="F223" s="73"/>
    </row>
    <row r="224" spans="1:6" s="406" customFormat="1" ht="13.8" x14ac:dyDescent="0.25">
      <c r="A224" s="219"/>
      <c r="B224" s="405"/>
      <c r="C224" s="2"/>
      <c r="D224" s="73"/>
      <c r="E224" s="73"/>
      <c r="F224" s="73"/>
    </row>
    <row r="225" spans="1:6" s="406" customFormat="1" ht="13.8" x14ac:dyDescent="0.25">
      <c r="A225" s="219"/>
      <c r="B225" s="405"/>
      <c r="C225" s="2"/>
      <c r="D225" s="73"/>
      <c r="E225" s="73"/>
      <c r="F225" s="73"/>
    </row>
    <row r="226" spans="1:6" s="406" customFormat="1" ht="13.8" x14ac:dyDescent="0.25">
      <c r="A226" s="219"/>
      <c r="B226" s="405"/>
      <c r="C226" s="2"/>
      <c r="D226" s="73"/>
      <c r="E226" s="73"/>
      <c r="F226" s="73"/>
    </row>
    <row r="227" spans="1:6" s="406" customFormat="1" ht="13.8" x14ac:dyDescent="0.25">
      <c r="A227" s="219"/>
      <c r="B227" s="405"/>
      <c r="C227" s="2"/>
      <c r="D227" s="73"/>
      <c r="E227" s="73"/>
      <c r="F227" s="73"/>
    </row>
    <row r="228" spans="1:6" s="406" customFormat="1" ht="13.8" x14ac:dyDescent="0.25">
      <c r="A228" s="219"/>
      <c r="B228" s="405"/>
      <c r="C228" s="2"/>
      <c r="D228" s="73"/>
      <c r="E228" s="73"/>
      <c r="F228" s="73"/>
    </row>
    <row r="229" spans="1:6" s="406" customFormat="1" ht="13.8" x14ac:dyDescent="0.25">
      <c r="A229" s="219"/>
      <c r="B229" s="405"/>
      <c r="C229" s="2"/>
      <c r="D229" s="73"/>
      <c r="E229" s="73"/>
      <c r="F229" s="73"/>
    </row>
    <row r="230" spans="1:6" s="406" customFormat="1" ht="13.8" x14ac:dyDescent="0.25">
      <c r="A230" s="219"/>
      <c r="B230" s="405"/>
      <c r="C230" s="2"/>
      <c r="D230" s="73"/>
      <c r="E230" s="73"/>
      <c r="F230" s="73"/>
    </row>
    <row r="231" spans="1:6" s="406" customFormat="1" ht="13.8" x14ac:dyDescent="0.25">
      <c r="A231" s="219"/>
      <c r="B231" s="405"/>
      <c r="C231" s="2"/>
      <c r="D231" s="73"/>
      <c r="E231" s="73"/>
      <c r="F231" s="73"/>
    </row>
    <row r="232" spans="1:6" s="406" customFormat="1" ht="13.8" x14ac:dyDescent="0.25">
      <c r="A232" s="219"/>
      <c r="B232" s="405"/>
      <c r="C232" s="2"/>
      <c r="D232" s="73"/>
      <c r="E232" s="73"/>
      <c r="F232" s="73"/>
    </row>
    <row r="233" spans="1:6" s="406" customFormat="1" ht="13.8" x14ac:dyDescent="0.25">
      <c r="A233" s="219"/>
      <c r="B233" s="405"/>
      <c r="C233" s="2"/>
      <c r="D233" s="73"/>
      <c r="E233" s="73"/>
      <c r="F233" s="73"/>
    </row>
    <row r="234" spans="1:6" s="406" customFormat="1" ht="13.8" x14ac:dyDescent="0.25">
      <c r="A234" s="219"/>
      <c r="B234" s="405"/>
      <c r="C234" s="2"/>
      <c r="D234" s="73"/>
      <c r="E234" s="73"/>
      <c r="F234" s="73"/>
    </row>
    <row r="235" spans="1:6" s="406" customFormat="1" ht="13.8" x14ac:dyDescent="0.25">
      <c r="A235" s="219"/>
      <c r="B235" s="405"/>
      <c r="C235" s="2"/>
      <c r="D235" s="73"/>
      <c r="E235" s="73"/>
      <c r="F235" s="73"/>
    </row>
    <row r="236" spans="1:6" s="406" customFormat="1" ht="13.8" x14ac:dyDescent="0.25">
      <c r="A236" s="219"/>
      <c r="B236" s="405"/>
      <c r="C236" s="2"/>
      <c r="D236" s="73"/>
      <c r="E236" s="73"/>
      <c r="F236" s="73"/>
    </row>
    <row r="237" spans="1:6" s="406" customFormat="1" ht="13.8" x14ac:dyDescent="0.25">
      <c r="A237" s="219"/>
      <c r="B237" s="405"/>
      <c r="C237" s="2"/>
      <c r="D237" s="73"/>
      <c r="E237" s="73"/>
      <c r="F237" s="73"/>
    </row>
    <row r="238" spans="1:6" s="406" customFormat="1" ht="13.8" x14ac:dyDescent="0.25">
      <c r="A238" s="219"/>
      <c r="B238" s="405"/>
      <c r="C238" s="2"/>
      <c r="D238" s="73"/>
      <c r="E238" s="73"/>
      <c r="F238" s="73"/>
    </row>
    <row r="239" spans="1:6" s="406" customFormat="1" ht="13.8" x14ac:dyDescent="0.25">
      <c r="A239" s="219"/>
      <c r="B239" s="405"/>
      <c r="C239" s="2"/>
      <c r="D239" s="73"/>
      <c r="E239" s="73"/>
      <c r="F239" s="73"/>
    </row>
    <row r="240" spans="1:6" s="406" customFormat="1" ht="13.8" x14ac:dyDescent="0.25">
      <c r="A240" s="219"/>
      <c r="B240" s="405"/>
      <c r="C240" s="2"/>
      <c r="D240" s="73"/>
      <c r="E240" s="73"/>
      <c r="F240" s="73"/>
    </row>
    <row r="241" spans="1:6" s="406" customFormat="1" ht="13.8" x14ac:dyDescent="0.25">
      <c r="A241" s="219"/>
      <c r="B241" s="405"/>
      <c r="C241" s="2"/>
      <c r="D241" s="73"/>
      <c r="E241" s="73"/>
      <c r="F241" s="73"/>
    </row>
    <row r="242" spans="1:6" s="406" customFormat="1" ht="13.8" x14ac:dyDescent="0.25">
      <c r="A242" s="219"/>
      <c r="B242" s="405"/>
      <c r="C242" s="2"/>
      <c r="D242" s="73"/>
      <c r="E242" s="73"/>
      <c r="F242" s="73"/>
    </row>
    <row r="243" spans="1:6" s="406" customFormat="1" ht="13.8" x14ac:dyDescent="0.25">
      <c r="A243" s="219"/>
      <c r="B243" s="405"/>
      <c r="C243" s="2"/>
      <c r="D243" s="73"/>
      <c r="E243" s="73"/>
      <c r="F243" s="73"/>
    </row>
    <row r="244" spans="1:6" s="406" customFormat="1" ht="13.8" x14ac:dyDescent="0.25">
      <c r="A244" s="219"/>
      <c r="B244" s="405"/>
      <c r="C244" s="2"/>
      <c r="D244" s="73"/>
      <c r="E244" s="73"/>
      <c r="F244" s="73"/>
    </row>
    <row r="245" spans="1:6" s="406" customFormat="1" ht="13.8" x14ac:dyDescent="0.25">
      <c r="A245" s="219"/>
      <c r="B245" s="405"/>
      <c r="C245" s="2"/>
      <c r="D245" s="73"/>
      <c r="E245" s="73"/>
      <c r="F245" s="73"/>
    </row>
    <row r="246" spans="1:6" s="406" customFormat="1" ht="13.8" x14ac:dyDescent="0.25">
      <c r="A246" s="219"/>
      <c r="B246" s="405"/>
      <c r="C246" s="2"/>
      <c r="D246" s="73"/>
      <c r="E246" s="73"/>
      <c r="F246" s="73"/>
    </row>
    <row r="247" spans="1:6" s="406" customFormat="1" ht="13.8" x14ac:dyDescent="0.25">
      <c r="A247" s="219"/>
      <c r="B247" s="405"/>
      <c r="C247" s="2"/>
      <c r="D247" s="73"/>
      <c r="E247" s="73"/>
      <c r="F247" s="73"/>
    </row>
    <row r="248" spans="1:6" s="406" customFormat="1" ht="13.8" x14ac:dyDescent="0.25">
      <c r="A248" s="219"/>
      <c r="B248" s="405"/>
      <c r="C248" s="2"/>
      <c r="D248" s="73"/>
      <c r="E248" s="73"/>
      <c r="F248" s="73"/>
    </row>
    <row r="249" spans="1:6" s="406" customFormat="1" ht="13.8" x14ac:dyDescent="0.25">
      <c r="A249" s="219"/>
      <c r="B249" s="405"/>
      <c r="C249" s="2"/>
      <c r="D249" s="73"/>
      <c r="E249" s="73"/>
      <c r="F249" s="73"/>
    </row>
    <row r="250" spans="1:6" s="406" customFormat="1" ht="13.8" x14ac:dyDescent="0.25">
      <c r="A250" s="219"/>
      <c r="B250" s="405"/>
      <c r="C250" s="2"/>
      <c r="D250" s="73"/>
      <c r="E250" s="73"/>
      <c r="F250" s="73"/>
    </row>
    <row r="251" spans="1:6" s="406" customFormat="1" ht="13.8" x14ac:dyDescent="0.25">
      <c r="A251" s="219"/>
      <c r="B251" s="405"/>
      <c r="C251" s="2"/>
      <c r="D251" s="73"/>
      <c r="E251" s="73"/>
      <c r="F251" s="73"/>
    </row>
    <row r="252" spans="1:6" s="406" customFormat="1" ht="13.8" x14ac:dyDescent="0.25">
      <c r="A252" s="219"/>
      <c r="B252" s="405"/>
      <c r="C252" s="2"/>
      <c r="D252" s="73"/>
      <c r="E252" s="73"/>
      <c r="F252" s="73"/>
    </row>
    <row r="253" spans="1:6" s="406" customFormat="1" ht="13.8" x14ac:dyDescent="0.25">
      <c r="A253" s="219"/>
      <c r="B253" s="405"/>
      <c r="C253" s="2"/>
      <c r="D253" s="73"/>
      <c r="E253" s="73"/>
      <c r="F253" s="73"/>
    </row>
    <row r="254" spans="1:6" s="406" customFormat="1" ht="13.8" x14ac:dyDescent="0.25">
      <c r="A254" s="219"/>
      <c r="B254" s="405"/>
      <c r="C254" s="2"/>
      <c r="D254" s="73"/>
      <c r="E254" s="73"/>
      <c r="F254" s="73"/>
    </row>
    <row r="255" spans="1:6" s="406" customFormat="1" ht="13.8" x14ac:dyDescent="0.25">
      <c r="A255" s="219"/>
      <c r="B255" s="405"/>
      <c r="C255" s="2"/>
      <c r="D255" s="73"/>
      <c r="E255" s="73"/>
      <c r="F255" s="73"/>
    </row>
    <row r="256" spans="1:6" s="406" customFormat="1" ht="13.8" x14ac:dyDescent="0.25">
      <c r="A256" s="219"/>
      <c r="B256" s="405"/>
      <c r="C256" s="2"/>
      <c r="D256" s="73"/>
      <c r="E256" s="73"/>
      <c r="F256" s="73"/>
    </row>
    <row r="257" spans="1:6" s="406" customFormat="1" ht="13.8" x14ac:dyDescent="0.25">
      <c r="A257" s="219"/>
      <c r="B257" s="405"/>
      <c r="C257" s="2"/>
      <c r="D257" s="73"/>
      <c r="E257" s="73"/>
      <c r="F257" s="73"/>
    </row>
    <row r="258" spans="1:6" s="406" customFormat="1" ht="13.8" x14ac:dyDescent="0.25">
      <c r="A258" s="219"/>
      <c r="B258" s="405"/>
      <c r="C258" s="2"/>
      <c r="D258" s="73"/>
      <c r="E258" s="73"/>
      <c r="F258" s="73"/>
    </row>
    <row r="259" spans="1:6" s="406" customFormat="1" ht="13.8" x14ac:dyDescent="0.25">
      <c r="A259" s="219"/>
      <c r="B259" s="405"/>
      <c r="C259" s="2"/>
      <c r="D259" s="73"/>
      <c r="E259" s="73"/>
      <c r="F259" s="73"/>
    </row>
    <row r="260" spans="1:6" s="406" customFormat="1" ht="13.8" x14ac:dyDescent="0.25">
      <c r="A260" s="219"/>
      <c r="B260" s="405"/>
      <c r="C260" s="2"/>
      <c r="D260" s="73"/>
      <c r="E260" s="73"/>
      <c r="F260" s="73"/>
    </row>
    <row r="261" spans="1:6" s="406" customFormat="1" ht="13.8" x14ac:dyDescent="0.25">
      <c r="A261" s="219"/>
      <c r="B261" s="405"/>
      <c r="C261" s="2"/>
      <c r="D261" s="73"/>
      <c r="E261" s="73"/>
      <c r="F261" s="73"/>
    </row>
    <row r="262" spans="1:6" s="406" customFormat="1" ht="13.8" x14ac:dyDescent="0.25">
      <c r="A262" s="219"/>
      <c r="B262" s="405"/>
      <c r="C262" s="2"/>
      <c r="D262" s="73"/>
      <c r="E262" s="73"/>
      <c r="F262" s="73"/>
    </row>
    <row r="263" spans="1:6" s="406" customFormat="1" ht="13.8" x14ac:dyDescent="0.25">
      <c r="A263" s="219"/>
      <c r="B263" s="405"/>
      <c r="C263" s="2"/>
      <c r="D263" s="73"/>
      <c r="E263" s="73"/>
      <c r="F263" s="73"/>
    </row>
    <row r="264" spans="1:6" s="406" customFormat="1" ht="13.8" x14ac:dyDescent="0.25">
      <c r="A264" s="219"/>
      <c r="B264" s="405"/>
      <c r="C264" s="2"/>
      <c r="D264" s="73"/>
      <c r="E264" s="73"/>
      <c r="F264" s="73"/>
    </row>
    <row r="265" spans="1:6" s="406" customFormat="1" ht="13.8" x14ac:dyDescent="0.25">
      <c r="A265" s="219"/>
      <c r="B265" s="405"/>
      <c r="C265" s="2"/>
      <c r="D265" s="73"/>
      <c r="E265" s="73"/>
      <c r="F265" s="73"/>
    </row>
    <row r="266" spans="1:6" s="406" customFormat="1" ht="13.8" x14ac:dyDescent="0.25">
      <c r="A266" s="219"/>
      <c r="B266" s="405"/>
      <c r="C266" s="2"/>
      <c r="D266" s="73"/>
      <c r="E266" s="73"/>
      <c r="F266" s="73"/>
    </row>
    <row r="267" spans="1:6" s="406" customFormat="1" ht="13.8" x14ac:dyDescent="0.25">
      <c r="A267" s="219"/>
      <c r="B267" s="405"/>
      <c r="C267" s="2"/>
      <c r="D267" s="73"/>
      <c r="E267" s="73"/>
      <c r="F267" s="73"/>
    </row>
    <row r="268" spans="1:6" s="406" customFormat="1" ht="13.8" x14ac:dyDescent="0.25">
      <c r="A268" s="219"/>
      <c r="B268" s="405"/>
      <c r="C268" s="2"/>
      <c r="D268" s="73"/>
      <c r="E268" s="73"/>
      <c r="F268" s="73"/>
    </row>
    <row r="269" spans="1:6" s="406" customFormat="1" ht="13.8" x14ac:dyDescent="0.25">
      <c r="A269" s="219"/>
      <c r="B269" s="405"/>
      <c r="C269" s="2"/>
      <c r="D269" s="73"/>
      <c r="E269" s="73"/>
      <c r="F269" s="73"/>
    </row>
    <row r="270" spans="1:6" s="406" customFormat="1" ht="13.8" x14ac:dyDescent="0.25">
      <c r="A270" s="219"/>
      <c r="B270" s="405"/>
      <c r="C270" s="2"/>
      <c r="D270" s="73"/>
      <c r="E270" s="73"/>
      <c r="F270" s="73"/>
    </row>
    <row r="271" spans="1:6" s="406" customFormat="1" ht="13.8" x14ac:dyDescent="0.25">
      <c r="A271" s="219"/>
      <c r="B271" s="405"/>
      <c r="C271" s="2"/>
      <c r="D271" s="73"/>
      <c r="E271" s="73"/>
      <c r="F271" s="73"/>
    </row>
    <row r="272" spans="1:6" s="406" customFormat="1" ht="13.8" x14ac:dyDescent="0.25">
      <c r="A272" s="219"/>
      <c r="B272" s="405"/>
      <c r="C272" s="2"/>
      <c r="D272" s="73"/>
      <c r="E272" s="73"/>
      <c r="F272" s="73"/>
    </row>
    <row r="273" spans="1:6" s="406" customFormat="1" ht="13.8" x14ac:dyDescent="0.25">
      <c r="A273" s="219"/>
      <c r="B273" s="405"/>
      <c r="C273" s="2"/>
      <c r="D273" s="73"/>
      <c r="E273" s="73"/>
      <c r="F273" s="73"/>
    </row>
    <row r="274" spans="1:6" s="406" customFormat="1" ht="13.8" x14ac:dyDescent="0.25">
      <c r="A274" s="219"/>
      <c r="B274" s="405"/>
      <c r="C274" s="2"/>
      <c r="D274" s="73"/>
      <c r="E274" s="73"/>
      <c r="F274" s="73"/>
    </row>
    <row r="275" spans="1:6" s="406" customFormat="1" ht="13.8" x14ac:dyDescent="0.25">
      <c r="A275" s="219"/>
      <c r="B275" s="405"/>
      <c r="C275" s="2"/>
      <c r="D275" s="73"/>
      <c r="E275" s="73"/>
      <c r="F275" s="73"/>
    </row>
    <row r="276" spans="1:6" s="406" customFormat="1" ht="13.8" x14ac:dyDescent="0.25">
      <c r="A276" s="219"/>
      <c r="B276" s="405"/>
      <c r="C276" s="2"/>
      <c r="D276" s="73"/>
      <c r="E276" s="73"/>
      <c r="F276" s="73"/>
    </row>
    <row r="277" spans="1:6" s="406" customFormat="1" ht="13.8" x14ac:dyDescent="0.25">
      <c r="A277" s="219"/>
      <c r="B277" s="405"/>
      <c r="C277" s="2"/>
      <c r="D277" s="73"/>
      <c r="E277" s="73"/>
      <c r="F277" s="73"/>
    </row>
    <row r="278" spans="1:6" s="406" customFormat="1" ht="13.8" x14ac:dyDescent="0.25">
      <c r="A278" s="219"/>
      <c r="B278" s="405"/>
      <c r="C278" s="2"/>
      <c r="D278" s="73"/>
      <c r="E278" s="73"/>
      <c r="F278" s="73"/>
    </row>
    <row r="279" spans="1:6" s="406" customFormat="1" ht="13.8" x14ac:dyDescent="0.25">
      <c r="A279" s="219"/>
      <c r="B279" s="405"/>
      <c r="C279" s="2"/>
      <c r="D279" s="73"/>
      <c r="E279" s="73"/>
      <c r="F279" s="73"/>
    </row>
    <row r="280" spans="1:6" s="406" customFormat="1" ht="13.8" x14ac:dyDescent="0.25">
      <c r="A280" s="219"/>
      <c r="B280" s="405"/>
      <c r="C280" s="2"/>
      <c r="D280" s="73"/>
      <c r="E280" s="73"/>
      <c r="F280" s="73"/>
    </row>
    <row r="281" spans="1:6" s="406" customFormat="1" ht="13.8" x14ac:dyDescent="0.25">
      <c r="A281" s="219"/>
      <c r="B281" s="405"/>
      <c r="C281" s="2"/>
      <c r="D281" s="73"/>
      <c r="E281" s="73"/>
      <c r="F281" s="73"/>
    </row>
    <row r="282" spans="1:6" s="406" customFormat="1" ht="13.8" x14ac:dyDescent="0.25">
      <c r="A282" s="219"/>
      <c r="B282" s="405"/>
      <c r="C282" s="2"/>
      <c r="D282" s="73"/>
      <c r="E282" s="73"/>
      <c r="F282" s="73"/>
    </row>
    <row r="283" spans="1:6" s="406" customFormat="1" ht="13.8" x14ac:dyDescent="0.25">
      <c r="A283" s="219"/>
      <c r="B283" s="405"/>
      <c r="C283" s="2"/>
      <c r="D283" s="73"/>
      <c r="E283" s="73"/>
      <c r="F283" s="73"/>
    </row>
    <row r="284" spans="1:6" s="406" customFormat="1" ht="13.8" x14ac:dyDescent="0.25">
      <c r="A284" s="219"/>
      <c r="B284" s="405"/>
      <c r="C284" s="2"/>
      <c r="D284" s="73"/>
      <c r="E284" s="73"/>
      <c r="F284" s="73"/>
    </row>
    <row r="285" spans="1:6" s="406" customFormat="1" ht="13.8" x14ac:dyDescent="0.25">
      <c r="A285" s="219"/>
      <c r="B285" s="405"/>
      <c r="C285" s="2"/>
      <c r="D285" s="73"/>
      <c r="E285" s="73"/>
      <c r="F285" s="73"/>
    </row>
    <row r="286" spans="1:6" s="406" customFormat="1" ht="13.8" x14ac:dyDescent="0.25">
      <c r="A286" s="219"/>
      <c r="B286" s="405"/>
      <c r="C286" s="2"/>
      <c r="D286" s="73"/>
      <c r="E286" s="73"/>
      <c r="F286" s="73"/>
    </row>
    <row r="287" spans="1:6" s="406" customFormat="1" ht="13.8" x14ac:dyDescent="0.25">
      <c r="A287" s="219"/>
      <c r="B287" s="405"/>
      <c r="C287" s="2"/>
      <c r="D287" s="73"/>
      <c r="E287" s="73"/>
      <c r="F287" s="73"/>
    </row>
    <row r="288" spans="1:6" s="406" customFormat="1" ht="13.8" x14ac:dyDescent="0.25">
      <c r="A288" s="219"/>
      <c r="B288" s="405"/>
      <c r="C288" s="2"/>
      <c r="D288" s="73"/>
      <c r="E288" s="73"/>
      <c r="F288" s="73"/>
    </row>
    <row r="289" spans="1:6" s="406" customFormat="1" ht="13.8" x14ac:dyDescent="0.25">
      <c r="A289" s="219"/>
      <c r="B289" s="405"/>
      <c r="C289" s="2"/>
      <c r="D289" s="73"/>
      <c r="E289" s="73"/>
      <c r="F289" s="73"/>
    </row>
    <row r="290" spans="1:6" s="406" customFormat="1" ht="13.8" x14ac:dyDescent="0.25">
      <c r="A290" s="219"/>
      <c r="B290" s="405"/>
      <c r="C290" s="2"/>
      <c r="D290" s="73"/>
      <c r="E290" s="73"/>
      <c r="F290" s="73"/>
    </row>
    <row r="291" spans="1:6" s="406" customFormat="1" ht="13.8" x14ac:dyDescent="0.25">
      <c r="A291" s="219"/>
      <c r="B291" s="405"/>
      <c r="C291" s="2"/>
      <c r="D291" s="73"/>
      <c r="E291" s="73"/>
      <c r="F291" s="73"/>
    </row>
    <row r="292" spans="1:6" s="406" customFormat="1" ht="13.8" x14ac:dyDescent="0.25">
      <c r="A292" s="219"/>
      <c r="B292" s="405"/>
      <c r="C292" s="2"/>
      <c r="D292" s="73"/>
      <c r="E292" s="73"/>
      <c r="F292" s="73"/>
    </row>
    <row r="293" spans="1:6" s="406" customFormat="1" ht="13.8" x14ac:dyDescent="0.25">
      <c r="A293" s="219"/>
      <c r="B293" s="405"/>
      <c r="C293" s="2"/>
      <c r="D293" s="73"/>
      <c r="E293" s="73"/>
      <c r="F293" s="73"/>
    </row>
    <row r="294" spans="1:6" s="406" customFormat="1" ht="13.8" x14ac:dyDescent="0.25">
      <c r="A294" s="219"/>
      <c r="B294" s="405"/>
      <c r="C294" s="2"/>
      <c r="D294" s="73"/>
      <c r="E294" s="73"/>
      <c r="F294" s="73"/>
    </row>
    <row r="295" spans="1:6" s="406" customFormat="1" ht="13.8" x14ac:dyDescent="0.25">
      <c r="A295" s="219"/>
      <c r="B295" s="405"/>
      <c r="C295" s="2"/>
      <c r="D295" s="73"/>
      <c r="E295" s="73"/>
      <c r="F295" s="73"/>
    </row>
    <row r="296" spans="1:6" s="406" customFormat="1" ht="13.8" x14ac:dyDescent="0.25">
      <c r="A296" s="219"/>
      <c r="B296" s="405"/>
      <c r="C296" s="2"/>
      <c r="D296" s="73"/>
      <c r="E296" s="73"/>
      <c r="F296" s="73"/>
    </row>
    <row r="297" spans="1:6" s="406" customFormat="1" ht="13.8" x14ac:dyDescent="0.25">
      <c r="A297" s="219"/>
      <c r="B297" s="405"/>
      <c r="C297" s="2"/>
      <c r="D297" s="73"/>
      <c r="E297" s="73"/>
      <c r="F297" s="73"/>
    </row>
    <row r="298" spans="1:6" s="406" customFormat="1" ht="13.8" x14ac:dyDescent="0.25">
      <c r="A298" s="219"/>
      <c r="B298" s="405"/>
      <c r="C298" s="2"/>
      <c r="D298" s="73"/>
      <c r="E298" s="73"/>
      <c r="F298" s="73"/>
    </row>
    <row r="299" spans="1:6" s="406" customFormat="1" ht="13.8" x14ac:dyDescent="0.25">
      <c r="A299" s="219"/>
      <c r="B299" s="405"/>
      <c r="C299" s="2"/>
      <c r="D299" s="73"/>
      <c r="E299" s="73"/>
      <c r="F299" s="73"/>
    </row>
    <row r="300" spans="1:6" s="406" customFormat="1" ht="13.8" x14ac:dyDescent="0.25">
      <c r="A300" s="219"/>
      <c r="B300" s="405"/>
      <c r="C300" s="2"/>
      <c r="D300" s="73"/>
      <c r="E300" s="73"/>
      <c r="F300" s="73"/>
    </row>
    <row r="301" spans="1:6" s="406" customFormat="1" ht="13.8" x14ac:dyDescent="0.25">
      <c r="A301" s="219"/>
      <c r="B301" s="405"/>
      <c r="C301" s="2"/>
      <c r="D301" s="73"/>
      <c r="E301" s="73"/>
      <c r="F301" s="73"/>
    </row>
    <row r="302" spans="1:6" s="406" customFormat="1" ht="13.8" x14ac:dyDescent="0.25">
      <c r="A302" s="219"/>
      <c r="B302" s="405"/>
      <c r="C302" s="2"/>
      <c r="D302" s="73"/>
      <c r="E302" s="73"/>
      <c r="F302" s="73"/>
    </row>
    <row r="303" spans="1:6" s="406" customFormat="1" ht="13.8" x14ac:dyDescent="0.25">
      <c r="A303" s="219"/>
      <c r="B303" s="405"/>
      <c r="C303" s="2"/>
      <c r="D303" s="73"/>
      <c r="E303" s="73"/>
      <c r="F303" s="73"/>
    </row>
    <row r="304" spans="1:6" s="406" customFormat="1" ht="13.8" x14ac:dyDescent="0.25">
      <c r="A304" s="219"/>
      <c r="B304" s="405"/>
      <c r="C304" s="2"/>
      <c r="D304" s="73"/>
      <c r="E304" s="73"/>
      <c r="F304" s="73"/>
    </row>
    <row r="305" spans="1:6" s="406" customFormat="1" ht="13.8" x14ac:dyDescent="0.25">
      <c r="A305" s="219"/>
      <c r="B305" s="405"/>
      <c r="C305" s="2"/>
      <c r="D305" s="73"/>
      <c r="E305" s="73"/>
      <c r="F305" s="73"/>
    </row>
    <row r="306" spans="1:6" s="406" customFormat="1" ht="13.8" x14ac:dyDescent="0.25">
      <c r="A306" s="219"/>
      <c r="B306" s="405"/>
      <c r="C306" s="2"/>
      <c r="D306" s="73"/>
      <c r="E306" s="73"/>
      <c r="F306" s="73"/>
    </row>
    <row r="307" spans="1:6" s="406" customFormat="1" ht="13.8" x14ac:dyDescent="0.25">
      <c r="A307" s="219"/>
      <c r="B307" s="405"/>
      <c r="C307" s="2"/>
      <c r="D307" s="73"/>
      <c r="E307" s="73"/>
      <c r="F307" s="73"/>
    </row>
    <row r="308" spans="1:6" s="406" customFormat="1" ht="13.8" x14ac:dyDescent="0.25">
      <c r="A308" s="219"/>
      <c r="B308" s="405"/>
      <c r="C308" s="2"/>
      <c r="D308" s="73"/>
      <c r="E308" s="73"/>
      <c r="F308" s="73"/>
    </row>
    <row r="309" spans="1:6" s="406" customFormat="1" ht="13.8" x14ac:dyDescent="0.25">
      <c r="A309" s="219"/>
      <c r="B309" s="405"/>
      <c r="C309" s="2"/>
      <c r="D309" s="73"/>
      <c r="E309" s="73"/>
      <c r="F309" s="73"/>
    </row>
    <row r="310" spans="1:6" s="406" customFormat="1" ht="13.8" x14ac:dyDescent="0.25">
      <c r="A310" s="219"/>
      <c r="B310" s="405"/>
      <c r="C310" s="2"/>
      <c r="D310" s="73"/>
      <c r="E310" s="73"/>
      <c r="F310" s="73"/>
    </row>
    <row r="311" spans="1:6" s="406" customFormat="1" ht="13.8" x14ac:dyDescent="0.25">
      <c r="A311" s="219"/>
      <c r="B311" s="405"/>
      <c r="C311" s="2"/>
      <c r="D311" s="73"/>
      <c r="E311" s="73"/>
      <c r="F311" s="73"/>
    </row>
    <row r="312" spans="1:6" s="406" customFormat="1" ht="13.8" x14ac:dyDescent="0.25">
      <c r="A312" s="219"/>
      <c r="B312" s="405"/>
      <c r="C312" s="2"/>
      <c r="D312" s="73"/>
      <c r="E312" s="73"/>
      <c r="F312" s="73"/>
    </row>
    <row r="313" spans="1:6" s="406" customFormat="1" ht="13.8" x14ac:dyDescent="0.25">
      <c r="A313" s="219"/>
      <c r="B313" s="405"/>
      <c r="C313" s="2"/>
      <c r="D313" s="73"/>
      <c r="E313" s="73"/>
      <c r="F313" s="73"/>
    </row>
    <row r="314" spans="1:6" s="406" customFormat="1" ht="13.8" x14ac:dyDescent="0.25">
      <c r="A314" s="219"/>
      <c r="B314" s="405"/>
      <c r="C314" s="2"/>
      <c r="D314" s="73"/>
      <c r="E314" s="73"/>
      <c r="F314" s="73"/>
    </row>
    <row r="315" spans="1:6" s="406" customFormat="1" ht="13.8" x14ac:dyDescent="0.25">
      <c r="A315" s="219"/>
      <c r="B315" s="405"/>
      <c r="C315" s="2"/>
      <c r="D315" s="73"/>
      <c r="E315" s="73"/>
      <c r="F315" s="73"/>
    </row>
    <row r="316" spans="1:6" s="406" customFormat="1" ht="13.8" x14ac:dyDescent="0.25">
      <c r="A316" s="219"/>
      <c r="B316" s="405"/>
      <c r="C316" s="2"/>
      <c r="D316" s="73"/>
      <c r="E316" s="73"/>
      <c r="F316" s="73"/>
    </row>
    <row r="317" spans="1:6" s="406" customFormat="1" ht="13.8" x14ac:dyDescent="0.25">
      <c r="A317" s="219"/>
      <c r="B317" s="405"/>
      <c r="C317" s="2"/>
      <c r="D317" s="73"/>
      <c r="E317" s="73"/>
      <c r="F317" s="73"/>
    </row>
    <row r="318" spans="1:6" s="406" customFormat="1" ht="13.8" x14ac:dyDescent="0.25">
      <c r="A318" s="219"/>
      <c r="B318" s="405"/>
      <c r="C318" s="2"/>
      <c r="D318" s="73"/>
      <c r="E318" s="73"/>
      <c r="F318" s="73"/>
    </row>
    <row r="319" spans="1:6" s="406" customFormat="1" ht="13.8" x14ac:dyDescent="0.25">
      <c r="A319" s="219"/>
      <c r="B319" s="405"/>
      <c r="C319" s="2"/>
      <c r="D319" s="73"/>
      <c r="E319" s="73"/>
      <c r="F319" s="73"/>
    </row>
    <row r="320" spans="1:6" s="406" customFormat="1" ht="13.8" x14ac:dyDescent="0.25">
      <c r="A320" s="219"/>
      <c r="B320" s="405"/>
      <c r="C320" s="2"/>
      <c r="D320" s="73"/>
      <c r="E320" s="73"/>
      <c r="F320" s="73"/>
    </row>
    <row r="321" spans="1:6" s="406" customFormat="1" ht="13.8" x14ac:dyDescent="0.25">
      <c r="A321" s="219"/>
      <c r="B321" s="405"/>
      <c r="C321" s="2"/>
      <c r="D321" s="73"/>
      <c r="E321" s="73"/>
      <c r="F321" s="73"/>
    </row>
    <row r="322" spans="1:6" s="406" customFormat="1" ht="13.8" x14ac:dyDescent="0.25">
      <c r="A322" s="219"/>
      <c r="B322" s="405"/>
      <c r="C322" s="2"/>
      <c r="D322" s="73"/>
      <c r="E322" s="73"/>
      <c r="F322" s="73"/>
    </row>
    <row r="323" spans="1:6" s="406" customFormat="1" ht="13.8" x14ac:dyDescent="0.25">
      <c r="A323" s="219"/>
      <c r="B323" s="405"/>
      <c r="C323" s="2"/>
      <c r="D323" s="73"/>
      <c r="E323" s="73"/>
      <c r="F323" s="73"/>
    </row>
    <row r="324" spans="1:6" s="406" customFormat="1" ht="13.8" x14ac:dyDescent="0.25">
      <c r="A324" s="219"/>
      <c r="B324" s="405"/>
      <c r="C324" s="2"/>
      <c r="D324" s="73"/>
      <c r="E324" s="73"/>
      <c r="F324" s="73"/>
    </row>
    <row r="325" spans="1:6" s="406" customFormat="1" ht="13.8" x14ac:dyDescent="0.25">
      <c r="A325" s="219"/>
      <c r="B325" s="405"/>
      <c r="C325" s="2"/>
      <c r="D325" s="73"/>
      <c r="E325" s="73"/>
      <c r="F325" s="73"/>
    </row>
    <row r="326" spans="1:6" s="406" customFormat="1" ht="13.8" x14ac:dyDescent="0.25">
      <c r="A326" s="219"/>
      <c r="B326" s="405"/>
      <c r="C326" s="2"/>
      <c r="D326" s="73"/>
      <c r="E326" s="73"/>
      <c r="F326" s="73"/>
    </row>
    <row r="327" spans="1:6" s="406" customFormat="1" ht="13.8" x14ac:dyDescent="0.25">
      <c r="A327" s="219"/>
      <c r="B327" s="405"/>
      <c r="C327" s="2"/>
      <c r="D327" s="73"/>
      <c r="E327" s="73"/>
      <c r="F327" s="73"/>
    </row>
    <row r="328" spans="1:6" s="406" customFormat="1" ht="13.8" x14ac:dyDescent="0.25">
      <c r="A328" s="219"/>
      <c r="B328" s="405"/>
      <c r="C328" s="2"/>
      <c r="D328" s="73"/>
      <c r="E328" s="73"/>
      <c r="F328" s="73"/>
    </row>
    <row r="329" spans="1:6" s="406" customFormat="1" ht="13.8" x14ac:dyDescent="0.25">
      <c r="A329" s="219"/>
      <c r="B329" s="405"/>
      <c r="C329" s="2"/>
      <c r="D329" s="73"/>
      <c r="E329" s="73"/>
      <c r="F329" s="73"/>
    </row>
    <row r="330" spans="1:6" s="406" customFormat="1" ht="13.8" x14ac:dyDescent="0.25">
      <c r="A330" s="219"/>
      <c r="B330" s="405"/>
      <c r="C330" s="2"/>
      <c r="D330" s="73"/>
      <c r="E330" s="73"/>
      <c r="F330" s="73"/>
    </row>
    <row r="331" spans="1:6" s="406" customFormat="1" ht="13.8" x14ac:dyDescent="0.25">
      <c r="A331" s="219"/>
      <c r="B331" s="405"/>
      <c r="C331" s="2"/>
      <c r="D331" s="73"/>
      <c r="E331" s="73"/>
      <c r="F331" s="73"/>
    </row>
    <row r="332" spans="1:6" s="406" customFormat="1" ht="13.8" x14ac:dyDescent="0.25">
      <c r="A332" s="219"/>
      <c r="B332" s="405"/>
      <c r="C332" s="2"/>
      <c r="D332" s="73"/>
      <c r="E332" s="73"/>
      <c r="F332" s="73"/>
    </row>
    <row r="333" spans="1:6" s="406" customFormat="1" ht="13.8" x14ac:dyDescent="0.25">
      <c r="A333" s="219"/>
      <c r="B333" s="405"/>
      <c r="C333" s="2"/>
      <c r="D333" s="73"/>
      <c r="E333" s="73"/>
      <c r="F333" s="73"/>
    </row>
    <row r="334" spans="1:6" s="406" customFormat="1" ht="13.8" x14ac:dyDescent="0.25">
      <c r="A334" s="219"/>
      <c r="B334" s="405"/>
      <c r="C334" s="2"/>
      <c r="D334" s="73"/>
      <c r="E334" s="73"/>
      <c r="F334" s="73"/>
    </row>
    <row r="335" spans="1:6" s="406" customFormat="1" ht="13.8" x14ac:dyDescent="0.25">
      <c r="A335" s="219"/>
      <c r="B335" s="405"/>
      <c r="C335" s="2"/>
      <c r="D335" s="73"/>
      <c r="E335" s="73"/>
      <c r="F335" s="73"/>
    </row>
    <row r="336" spans="1:6" s="406" customFormat="1" ht="13.8" x14ac:dyDescent="0.25">
      <c r="A336" s="219"/>
      <c r="B336" s="405"/>
      <c r="C336" s="2"/>
      <c r="D336" s="73"/>
      <c r="E336" s="73"/>
      <c r="F336" s="73"/>
    </row>
    <row r="337" spans="1:6" s="406" customFormat="1" ht="13.8" x14ac:dyDescent="0.25">
      <c r="A337" s="219"/>
      <c r="B337" s="405"/>
      <c r="C337" s="2"/>
      <c r="D337" s="73"/>
      <c r="E337" s="73"/>
      <c r="F337" s="73"/>
    </row>
    <row r="338" spans="1:6" s="406" customFormat="1" ht="13.8" x14ac:dyDescent="0.25">
      <c r="A338" s="219"/>
      <c r="B338" s="405"/>
      <c r="C338" s="2"/>
      <c r="D338" s="73"/>
      <c r="E338" s="73"/>
      <c r="F338" s="73"/>
    </row>
    <row r="339" spans="1:6" s="406" customFormat="1" ht="13.8" x14ac:dyDescent="0.25">
      <c r="A339" s="219"/>
      <c r="B339" s="405"/>
      <c r="C339" s="2"/>
      <c r="D339" s="73"/>
      <c r="E339" s="73"/>
      <c r="F339" s="73"/>
    </row>
    <row r="340" spans="1:6" s="406" customFormat="1" ht="13.8" x14ac:dyDescent="0.25">
      <c r="A340" s="219"/>
      <c r="B340" s="405"/>
      <c r="C340" s="2"/>
      <c r="D340" s="73"/>
      <c r="E340" s="73"/>
      <c r="F340" s="73"/>
    </row>
    <row r="341" spans="1:6" s="406" customFormat="1" ht="13.8" x14ac:dyDescent="0.25">
      <c r="A341" s="219"/>
      <c r="B341" s="405"/>
      <c r="C341" s="2"/>
      <c r="D341" s="73"/>
      <c r="E341" s="73"/>
      <c r="F341" s="73"/>
    </row>
    <row r="342" spans="1:6" s="406" customFormat="1" ht="13.8" x14ac:dyDescent="0.25">
      <c r="A342" s="219"/>
      <c r="B342" s="405"/>
      <c r="C342" s="2"/>
      <c r="D342" s="73"/>
      <c r="E342" s="73"/>
      <c r="F342" s="73"/>
    </row>
    <row r="343" spans="1:6" s="406" customFormat="1" ht="13.8" x14ac:dyDescent="0.25">
      <c r="A343" s="219"/>
      <c r="B343" s="405"/>
      <c r="C343" s="2"/>
      <c r="D343" s="73"/>
      <c r="E343" s="73"/>
      <c r="F343" s="73"/>
    </row>
    <row r="344" spans="1:6" s="406" customFormat="1" ht="13.8" x14ac:dyDescent="0.25">
      <c r="A344" s="219"/>
      <c r="B344" s="405"/>
      <c r="C344" s="2"/>
      <c r="D344" s="73"/>
      <c r="E344" s="73"/>
      <c r="F344" s="73"/>
    </row>
    <row r="345" spans="1:6" s="406" customFormat="1" ht="13.8" x14ac:dyDescent="0.25">
      <c r="A345" s="219"/>
      <c r="B345" s="405"/>
      <c r="C345" s="2"/>
      <c r="D345" s="73"/>
      <c r="E345" s="73"/>
      <c r="F345" s="73"/>
    </row>
    <row r="346" spans="1:6" s="406" customFormat="1" ht="13.8" x14ac:dyDescent="0.25">
      <c r="A346" s="219"/>
      <c r="B346" s="405"/>
      <c r="C346" s="2"/>
      <c r="D346" s="73"/>
      <c r="E346" s="73"/>
      <c r="F346" s="73"/>
    </row>
    <row r="347" spans="1:6" s="406" customFormat="1" ht="13.8" x14ac:dyDescent="0.25">
      <c r="A347" s="219"/>
      <c r="B347" s="405"/>
      <c r="C347" s="2"/>
      <c r="D347" s="73"/>
      <c r="E347" s="73"/>
      <c r="F347" s="73"/>
    </row>
    <row r="348" spans="1:6" s="406" customFormat="1" ht="13.8" x14ac:dyDescent="0.25">
      <c r="A348" s="219"/>
      <c r="B348" s="405"/>
      <c r="C348" s="2"/>
      <c r="D348" s="73"/>
      <c r="E348" s="73"/>
      <c r="F348" s="73"/>
    </row>
    <row r="349" spans="1:6" s="406" customFormat="1" ht="13.8" x14ac:dyDescent="0.25">
      <c r="A349" s="219"/>
      <c r="B349" s="405"/>
      <c r="C349" s="2"/>
      <c r="D349" s="73"/>
      <c r="E349" s="73"/>
      <c r="F349" s="73"/>
    </row>
    <row r="350" spans="1:6" s="406" customFormat="1" ht="13.8" x14ac:dyDescent="0.25">
      <c r="A350" s="219"/>
      <c r="B350" s="405"/>
      <c r="C350" s="2"/>
      <c r="D350" s="73"/>
      <c r="E350" s="73"/>
      <c r="F350" s="73"/>
    </row>
    <row r="351" spans="1:6" s="406" customFormat="1" ht="13.8" x14ac:dyDescent="0.25">
      <c r="A351" s="219"/>
      <c r="B351" s="405"/>
      <c r="C351" s="2"/>
      <c r="D351" s="73"/>
      <c r="E351" s="73"/>
      <c r="F351" s="73"/>
    </row>
    <row r="352" spans="1:6" s="406" customFormat="1" ht="13.8" x14ac:dyDescent="0.25">
      <c r="A352" s="219"/>
      <c r="B352" s="405"/>
      <c r="C352" s="2"/>
      <c r="D352" s="73"/>
      <c r="E352" s="73"/>
      <c r="F352" s="73"/>
    </row>
    <row r="353" spans="1:6" s="406" customFormat="1" ht="13.8" x14ac:dyDescent="0.25">
      <c r="A353" s="219"/>
      <c r="B353" s="405"/>
      <c r="C353" s="2"/>
      <c r="D353" s="73"/>
      <c r="E353" s="73"/>
      <c r="F353" s="73"/>
    </row>
    <row r="354" spans="1:6" s="406" customFormat="1" ht="13.8" x14ac:dyDescent="0.25">
      <c r="A354" s="219"/>
      <c r="B354" s="405"/>
      <c r="C354" s="2"/>
      <c r="D354" s="73"/>
      <c r="E354" s="73"/>
      <c r="F354" s="73"/>
    </row>
    <row r="355" spans="1:6" s="406" customFormat="1" ht="13.8" x14ac:dyDescent="0.25">
      <c r="A355" s="219"/>
      <c r="B355" s="405"/>
      <c r="C355" s="2"/>
      <c r="D355" s="73"/>
      <c r="E355" s="73"/>
      <c r="F355" s="73"/>
    </row>
    <row r="356" spans="1:6" s="406" customFormat="1" ht="13.8" x14ac:dyDescent="0.25">
      <c r="A356" s="219"/>
      <c r="B356" s="405"/>
      <c r="C356" s="2"/>
      <c r="D356" s="73"/>
      <c r="E356" s="73"/>
      <c r="F356" s="73"/>
    </row>
    <row r="357" spans="1:6" s="406" customFormat="1" ht="13.8" x14ac:dyDescent="0.25">
      <c r="A357" s="219"/>
      <c r="B357" s="405"/>
      <c r="C357" s="2"/>
      <c r="D357" s="73"/>
      <c r="E357" s="73"/>
      <c r="F357" s="73"/>
    </row>
    <row r="358" spans="1:6" s="406" customFormat="1" ht="13.8" x14ac:dyDescent="0.25">
      <c r="A358" s="219"/>
      <c r="B358" s="405"/>
      <c r="C358" s="2"/>
      <c r="D358" s="73"/>
      <c r="E358" s="73"/>
      <c r="F358" s="73"/>
    </row>
    <row r="359" spans="1:6" s="406" customFormat="1" ht="13.8" x14ac:dyDescent="0.25">
      <c r="A359" s="219"/>
      <c r="B359" s="405"/>
      <c r="C359" s="2"/>
      <c r="D359" s="73"/>
      <c r="E359" s="73"/>
      <c r="F359" s="73"/>
    </row>
    <row r="360" spans="1:6" s="406" customFormat="1" ht="13.8" x14ac:dyDescent="0.25">
      <c r="A360" s="219"/>
      <c r="B360" s="405"/>
      <c r="C360" s="2"/>
      <c r="D360" s="73"/>
      <c r="E360" s="73"/>
      <c r="F360" s="73"/>
    </row>
    <row r="361" spans="1:6" s="406" customFormat="1" ht="13.8" x14ac:dyDescent="0.25">
      <c r="A361" s="219"/>
      <c r="B361" s="405"/>
      <c r="C361" s="2"/>
      <c r="D361" s="73"/>
      <c r="E361" s="73"/>
      <c r="F361" s="73"/>
    </row>
    <row r="362" spans="1:6" s="406" customFormat="1" ht="13.8" x14ac:dyDescent="0.25">
      <c r="A362" s="219"/>
      <c r="B362" s="405"/>
      <c r="C362" s="2"/>
      <c r="D362" s="73"/>
      <c r="E362" s="73"/>
      <c r="F362" s="73"/>
    </row>
    <row r="363" spans="1:6" s="406" customFormat="1" ht="13.8" x14ac:dyDescent="0.25">
      <c r="A363" s="219"/>
      <c r="B363" s="405"/>
      <c r="C363" s="2"/>
      <c r="D363" s="73"/>
      <c r="E363" s="73"/>
      <c r="F363" s="73"/>
    </row>
    <row r="364" spans="1:6" s="406" customFormat="1" ht="13.8" x14ac:dyDescent="0.25">
      <c r="A364" s="219"/>
      <c r="B364" s="405"/>
      <c r="C364" s="2"/>
      <c r="D364" s="73"/>
      <c r="E364" s="73"/>
      <c r="F364" s="73"/>
    </row>
    <row r="365" spans="1:6" s="406" customFormat="1" ht="13.8" x14ac:dyDescent="0.25">
      <c r="A365" s="219"/>
      <c r="B365" s="405"/>
      <c r="C365" s="2"/>
      <c r="D365" s="73"/>
      <c r="E365" s="73"/>
      <c r="F365" s="73"/>
    </row>
    <row r="366" spans="1:6" s="406" customFormat="1" ht="13.8" x14ac:dyDescent="0.25">
      <c r="A366" s="219"/>
      <c r="B366" s="405"/>
      <c r="C366" s="2"/>
      <c r="D366" s="73"/>
      <c r="E366" s="73"/>
      <c r="F366" s="73"/>
    </row>
    <row r="367" spans="1:6" s="406" customFormat="1" ht="13.8" x14ac:dyDescent="0.25">
      <c r="A367" s="219"/>
      <c r="B367" s="405"/>
      <c r="C367" s="2"/>
      <c r="D367" s="73"/>
      <c r="E367" s="73"/>
      <c r="F367" s="73"/>
    </row>
    <row r="368" spans="1:6" s="406" customFormat="1" ht="13.8" x14ac:dyDescent="0.25">
      <c r="A368" s="219"/>
      <c r="B368" s="405"/>
      <c r="C368" s="2"/>
      <c r="D368" s="73"/>
      <c r="E368" s="73"/>
      <c r="F368" s="73"/>
    </row>
    <row r="369" spans="1:6" s="406" customFormat="1" ht="13.8" x14ac:dyDescent="0.25">
      <c r="A369" s="219"/>
      <c r="B369" s="405"/>
      <c r="C369" s="2"/>
      <c r="D369" s="73"/>
      <c r="E369" s="73"/>
      <c r="F369" s="73"/>
    </row>
    <row r="370" spans="1:6" s="406" customFormat="1" ht="13.8" x14ac:dyDescent="0.25">
      <c r="A370" s="219"/>
      <c r="B370" s="405"/>
      <c r="C370" s="2"/>
      <c r="D370" s="73"/>
      <c r="E370" s="73"/>
      <c r="F370" s="73"/>
    </row>
    <row r="371" spans="1:6" s="406" customFormat="1" ht="13.8" x14ac:dyDescent="0.25">
      <c r="A371" s="219"/>
      <c r="B371" s="405"/>
      <c r="C371" s="2"/>
      <c r="D371" s="73"/>
      <c r="E371" s="73"/>
      <c r="F371" s="73"/>
    </row>
    <row r="372" spans="1:6" s="406" customFormat="1" ht="13.8" x14ac:dyDescent="0.25">
      <c r="A372" s="219"/>
      <c r="B372" s="405"/>
      <c r="C372" s="2"/>
      <c r="D372" s="73"/>
      <c r="E372" s="73"/>
      <c r="F372" s="73"/>
    </row>
    <row r="373" spans="1:6" s="406" customFormat="1" ht="13.8" x14ac:dyDescent="0.25">
      <c r="A373" s="219"/>
      <c r="B373" s="405"/>
      <c r="C373" s="2"/>
      <c r="D373" s="73"/>
      <c r="E373" s="73"/>
      <c r="F373" s="73"/>
    </row>
    <row r="374" spans="1:6" s="406" customFormat="1" ht="13.8" x14ac:dyDescent="0.25">
      <c r="A374" s="219"/>
      <c r="B374" s="405"/>
      <c r="C374" s="2"/>
      <c r="D374" s="73"/>
      <c r="E374" s="73"/>
      <c r="F374" s="73"/>
    </row>
    <row r="375" spans="1:6" s="406" customFormat="1" ht="13.8" x14ac:dyDescent="0.25">
      <c r="A375" s="219"/>
      <c r="B375" s="405"/>
      <c r="C375" s="2"/>
      <c r="D375" s="73"/>
      <c r="E375" s="73"/>
      <c r="F375" s="73"/>
    </row>
    <row r="376" spans="1:6" s="406" customFormat="1" ht="13.8" x14ac:dyDescent="0.25">
      <c r="A376" s="219"/>
      <c r="B376" s="405"/>
      <c r="C376" s="2"/>
      <c r="D376" s="73"/>
      <c r="E376" s="73"/>
      <c r="F376" s="73"/>
    </row>
    <row r="377" spans="1:6" s="406" customFormat="1" ht="13.8" x14ac:dyDescent="0.25">
      <c r="A377" s="219"/>
      <c r="B377" s="405"/>
      <c r="C377" s="2"/>
      <c r="D377" s="73"/>
      <c r="E377" s="73"/>
      <c r="F377" s="73"/>
    </row>
    <row r="378" spans="1:6" s="406" customFormat="1" ht="13.8" x14ac:dyDescent="0.25">
      <c r="A378" s="219"/>
      <c r="B378" s="405"/>
      <c r="C378" s="2"/>
      <c r="D378" s="73"/>
      <c r="E378" s="73"/>
      <c r="F378" s="73"/>
    </row>
    <row r="379" spans="1:6" s="406" customFormat="1" ht="13.8" x14ac:dyDescent="0.25">
      <c r="A379" s="219"/>
      <c r="B379" s="405"/>
      <c r="C379" s="2"/>
      <c r="D379" s="73"/>
      <c r="E379" s="73"/>
      <c r="F379" s="73"/>
    </row>
    <row r="380" spans="1:6" s="406" customFormat="1" ht="13.8" x14ac:dyDescent="0.25">
      <c r="A380" s="219"/>
      <c r="B380" s="405"/>
      <c r="C380" s="2"/>
      <c r="D380" s="73"/>
      <c r="E380" s="73"/>
      <c r="F380" s="73"/>
    </row>
    <row r="381" spans="1:6" s="406" customFormat="1" ht="13.8" x14ac:dyDescent="0.25">
      <c r="A381" s="219"/>
      <c r="B381" s="405"/>
      <c r="C381" s="2"/>
      <c r="D381" s="73"/>
      <c r="E381" s="73"/>
      <c r="F381" s="73"/>
    </row>
    <row r="382" spans="1:6" s="406" customFormat="1" ht="13.8" x14ac:dyDescent="0.25">
      <c r="A382" s="219"/>
      <c r="B382" s="405"/>
      <c r="C382" s="2"/>
      <c r="D382" s="73"/>
      <c r="E382" s="73"/>
      <c r="F382" s="73"/>
    </row>
    <row r="383" spans="1:6" s="406" customFormat="1" ht="13.8" x14ac:dyDescent="0.25">
      <c r="A383" s="219"/>
      <c r="B383" s="405"/>
      <c r="C383" s="2"/>
      <c r="D383" s="73"/>
      <c r="E383" s="73"/>
      <c r="F383" s="73"/>
    </row>
    <row r="384" spans="1:6" s="406" customFormat="1" ht="13.8" x14ac:dyDescent="0.25">
      <c r="A384" s="219"/>
      <c r="B384" s="405"/>
      <c r="C384" s="2"/>
      <c r="D384" s="73"/>
      <c r="E384" s="73"/>
      <c r="F384" s="73"/>
    </row>
    <row r="385" spans="1:6" s="406" customFormat="1" ht="13.8" x14ac:dyDescent="0.25">
      <c r="A385" s="219"/>
      <c r="B385" s="405"/>
      <c r="C385" s="2"/>
      <c r="D385" s="73"/>
      <c r="E385" s="73"/>
      <c r="F385" s="73"/>
    </row>
    <row r="386" spans="1:6" s="406" customFormat="1" ht="13.8" x14ac:dyDescent="0.25">
      <c r="A386" s="219"/>
      <c r="B386" s="405"/>
      <c r="C386" s="2"/>
      <c r="D386" s="73"/>
      <c r="E386" s="73"/>
      <c r="F386" s="73"/>
    </row>
    <row r="387" spans="1:6" s="406" customFormat="1" ht="13.8" x14ac:dyDescent="0.25">
      <c r="A387" s="219"/>
      <c r="B387" s="405"/>
      <c r="C387" s="2"/>
      <c r="D387" s="73"/>
      <c r="E387" s="73"/>
      <c r="F387" s="73"/>
    </row>
    <row r="388" spans="1:6" s="406" customFormat="1" ht="13.8" x14ac:dyDescent="0.25">
      <c r="A388" s="219"/>
      <c r="B388" s="405"/>
      <c r="C388" s="2"/>
      <c r="D388" s="73"/>
      <c r="E388" s="73"/>
      <c r="F388" s="73"/>
    </row>
    <row r="389" spans="1:6" s="406" customFormat="1" ht="13.8" x14ac:dyDescent="0.25">
      <c r="A389" s="219"/>
      <c r="B389" s="405"/>
      <c r="C389" s="2"/>
      <c r="D389" s="73"/>
      <c r="E389" s="73"/>
      <c r="F389" s="73"/>
    </row>
    <row r="390" spans="1:6" s="406" customFormat="1" ht="13.8" x14ac:dyDescent="0.25">
      <c r="A390" s="219"/>
      <c r="B390" s="405"/>
      <c r="C390" s="2"/>
      <c r="D390" s="73"/>
      <c r="E390" s="73"/>
      <c r="F390" s="73"/>
    </row>
    <row r="391" spans="1:6" s="406" customFormat="1" ht="13.8" x14ac:dyDescent="0.25">
      <c r="A391" s="219"/>
      <c r="B391" s="405"/>
      <c r="C391" s="2"/>
      <c r="D391" s="73"/>
      <c r="E391" s="73"/>
      <c r="F391" s="73"/>
    </row>
    <row r="392" spans="1:6" s="406" customFormat="1" ht="13.8" x14ac:dyDescent="0.25">
      <c r="A392" s="219"/>
      <c r="B392" s="405"/>
      <c r="C392" s="2"/>
      <c r="D392" s="73"/>
      <c r="E392" s="73"/>
      <c r="F392" s="73"/>
    </row>
    <row r="393" spans="1:6" s="406" customFormat="1" ht="13.8" x14ac:dyDescent="0.25">
      <c r="A393" s="219"/>
      <c r="B393" s="405"/>
      <c r="C393" s="2"/>
      <c r="D393" s="73"/>
      <c r="E393" s="73"/>
      <c r="F393" s="73"/>
    </row>
    <row r="394" spans="1:6" s="406" customFormat="1" ht="13.8" x14ac:dyDescent="0.25">
      <c r="A394" s="219"/>
      <c r="B394" s="405"/>
      <c r="C394" s="2"/>
      <c r="D394" s="73"/>
      <c r="E394" s="73"/>
      <c r="F394" s="73"/>
    </row>
    <row r="395" spans="1:6" s="406" customFormat="1" ht="13.8" x14ac:dyDescent="0.25">
      <c r="A395" s="219"/>
      <c r="B395" s="405"/>
      <c r="C395" s="2"/>
      <c r="D395" s="73"/>
      <c r="E395" s="73"/>
      <c r="F395" s="73"/>
    </row>
    <row r="396" spans="1:6" s="406" customFormat="1" ht="13.8" x14ac:dyDescent="0.25">
      <c r="A396" s="219"/>
      <c r="B396" s="405"/>
      <c r="C396" s="2"/>
      <c r="D396" s="73"/>
      <c r="E396" s="73"/>
      <c r="F396" s="73"/>
    </row>
    <row r="397" spans="1:6" s="406" customFormat="1" ht="13.8" x14ac:dyDescent="0.25">
      <c r="A397" s="219"/>
      <c r="B397" s="405"/>
      <c r="C397" s="2"/>
      <c r="D397" s="73"/>
      <c r="E397" s="73"/>
      <c r="F397" s="73"/>
    </row>
    <row r="398" spans="1:6" s="406" customFormat="1" ht="13.8" x14ac:dyDescent="0.25">
      <c r="A398" s="219"/>
      <c r="B398" s="405"/>
      <c r="C398" s="2"/>
      <c r="D398" s="73"/>
      <c r="E398" s="73"/>
      <c r="F398" s="73"/>
    </row>
    <row r="399" spans="1:6" s="406" customFormat="1" ht="13.8" x14ac:dyDescent="0.25">
      <c r="A399" s="219"/>
      <c r="B399" s="405"/>
      <c r="C399" s="2"/>
      <c r="D399" s="73"/>
      <c r="E399" s="73"/>
      <c r="F399" s="73"/>
    </row>
    <row r="400" spans="1:6" s="406" customFormat="1" ht="13.8" x14ac:dyDescent="0.25">
      <c r="A400" s="219"/>
      <c r="B400" s="405"/>
      <c r="C400" s="2"/>
      <c r="D400" s="73"/>
      <c r="E400" s="73"/>
      <c r="F400" s="73"/>
    </row>
    <row r="401" spans="1:6" s="406" customFormat="1" ht="13.8" x14ac:dyDescent="0.25">
      <c r="A401" s="219"/>
      <c r="B401" s="405"/>
      <c r="C401" s="2"/>
      <c r="D401" s="73"/>
      <c r="E401" s="73"/>
      <c r="F401" s="73"/>
    </row>
    <row r="402" spans="1:6" s="406" customFormat="1" ht="13.8" x14ac:dyDescent="0.25">
      <c r="A402" s="219"/>
      <c r="B402" s="405"/>
      <c r="C402" s="2"/>
      <c r="D402" s="73"/>
      <c r="E402" s="73"/>
      <c r="F402" s="73"/>
    </row>
    <row r="403" spans="1:6" s="406" customFormat="1" ht="13.8" x14ac:dyDescent="0.25">
      <c r="A403" s="219"/>
      <c r="B403" s="405"/>
      <c r="C403" s="2"/>
      <c r="D403" s="73"/>
      <c r="E403" s="73"/>
      <c r="F403" s="73"/>
    </row>
    <row r="404" spans="1:6" s="406" customFormat="1" ht="13.8" x14ac:dyDescent="0.25">
      <c r="A404" s="219"/>
      <c r="B404" s="405"/>
      <c r="C404" s="2"/>
      <c r="D404" s="73"/>
      <c r="E404" s="73"/>
      <c r="F404" s="73"/>
    </row>
    <row r="405" spans="1:6" s="406" customFormat="1" ht="13.8" x14ac:dyDescent="0.25">
      <c r="A405" s="219"/>
      <c r="B405" s="405"/>
      <c r="C405" s="2"/>
      <c r="D405" s="73"/>
      <c r="E405" s="73"/>
      <c r="F405" s="73"/>
    </row>
    <row r="406" spans="1:6" s="406" customFormat="1" ht="13.8" x14ac:dyDescent="0.25">
      <c r="A406" s="219"/>
      <c r="B406" s="405"/>
      <c r="C406" s="2"/>
      <c r="D406" s="73"/>
      <c r="E406" s="73"/>
      <c r="F406" s="73"/>
    </row>
    <row r="407" spans="1:6" s="406" customFormat="1" ht="13.8" x14ac:dyDescent="0.25">
      <c r="A407" s="219"/>
      <c r="B407" s="405"/>
      <c r="C407" s="2"/>
      <c r="D407" s="73"/>
      <c r="E407" s="73"/>
      <c r="F407" s="73"/>
    </row>
    <row r="408" spans="1:6" s="406" customFormat="1" ht="13.8" x14ac:dyDescent="0.25">
      <c r="A408" s="219"/>
      <c r="B408" s="405"/>
      <c r="C408" s="2"/>
      <c r="D408" s="73"/>
      <c r="E408" s="73"/>
      <c r="F408" s="73"/>
    </row>
    <row r="409" spans="1:6" s="406" customFormat="1" ht="13.8" x14ac:dyDescent="0.25">
      <c r="A409" s="219"/>
      <c r="B409" s="405"/>
      <c r="C409" s="2"/>
      <c r="D409" s="73"/>
      <c r="E409" s="73"/>
      <c r="F409" s="73"/>
    </row>
    <row r="410" spans="1:6" s="406" customFormat="1" ht="13.8" x14ac:dyDescent="0.25">
      <c r="A410" s="219"/>
      <c r="B410" s="405"/>
      <c r="C410" s="2"/>
      <c r="D410" s="73"/>
      <c r="E410" s="73"/>
      <c r="F410" s="73"/>
    </row>
    <row r="411" spans="1:6" s="406" customFormat="1" ht="13.8" x14ac:dyDescent="0.25">
      <c r="A411" s="219"/>
      <c r="B411" s="405"/>
      <c r="C411" s="2"/>
      <c r="D411" s="73"/>
      <c r="E411" s="73"/>
      <c r="F411" s="73"/>
    </row>
    <row r="412" spans="1:6" s="406" customFormat="1" ht="13.8" x14ac:dyDescent="0.25">
      <c r="A412" s="219"/>
      <c r="B412" s="405"/>
      <c r="C412" s="2"/>
      <c r="D412" s="73"/>
      <c r="E412" s="73"/>
      <c r="F412" s="73"/>
    </row>
    <row r="413" spans="1:6" s="406" customFormat="1" ht="13.8" x14ac:dyDescent="0.25">
      <c r="A413" s="219"/>
      <c r="B413" s="405"/>
      <c r="C413" s="2"/>
      <c r="D413" s="73"/>
      <c r="E413" s="73"/>
      <c r="F413" s="73"/>
    </row>
    <row r="414" spans="1:6" s="406" customFormat="1" ht="13.8" x14ac:dyDescent="0.25">
      <c r="A414" s="219"/>
      <c r="B414" s="405"/>
      <c r="C414" s="2"/>
      <c r="D414" s="73"/>
      <c r="E414" s="73"/>
      <c r="F414" s="73"/>
    </row>
    <row r="415" spans="1:6" s="406" customFormat="1" ht="13.8" x14ac:dyDescent="0.25">
      <c r="A415" s="219"/>
      <c r="B415" s="405"/>
      <c r="C415" s="2"/>
      <c r="D415" s="73"/>
      <c r="E415" s="73"/>
      <c r="F415" s="73"/>
    </row>
    <row r="416" spans="1:6" s="406" customFormat="1" ht="13.8" x14ac:dyDescent="0.25">
      <c r="A416" s="219"/>
      <c r="B416" s="405"/>
      <c r="C416" s="2"/>
      <c r="D416" s="73"/>
      <c r="E416" s="73"/>
      <c r="F416" s="73"/>
    </row>
    <row r="417" spans="1:6" s="406" customFormat="1" ht="13.8" x14ac:dyDescent="0.25">
      <c r="A417" s="219"/>
      <c r="B417" s="405"/>
      <c r="C417" s="2"/>
      <c r="D417" s="73"/>
      <c r="E417" s="73"/>
      <c r="F417" s="73"/>
    </row>
    <row r="418" spans="1:6" s="406" customFormat="1" ht="13.8" x14ac:dyDescent="0.25">
      <c r="A418" s="219"/>
      <c r="B418" s="405"/>
      <c r="C418" s="2"/>
      <c r="D418" s="73"/>
      <c r="E418" s="73"/>
      <c r="F418" s="73"/>
    </row>
    <row r="419" spans="1:6" s="406" customFormat="1" ht="13.8" x14ac:dyDescent="0.25">
      <c r="A419" s="219"/>
      <c r="B419" s="405"/>
      <c r="C419" s="2"/>
      <c r="D419" s="73"/>
      <c r="E419" s="73"/>
      <c r="F419" s="73"/>
    </row>
    <row r="420" spans="1:6" s="406" customFormat="1" ht="13.8" x14ac:dyDescent="0.25">
      <c r="A420" s="219"/>
      <c r="B420" s="405"/>
      <c r="C420" s="2"/>
      <c r="D420" s="73"/>
      <c r="E420" s="73"/>
      <c r="F420" s="73"/>
    </row>
    <row r="421" spans="1:6" s="406" customFormat="1" ht="13.8" x14ac:dyDescent="0.25">
      <c r="A421" s="219"/>
      <c r="B421" s="405"/>
      <c r="C421" s="2"/>
      <c r="D421" s="73"/>
      <c r="E421" s="73"/>
      <c r="F421" s="73"/>
    </row>
    <row r="422" spans="1:6" s="406" customFormat="1" ht="13.8" x14ac:dyDescent="0.25">
      <c r="A422" s="219"/>
      <c r="B422" s="405"/>
      <c r="C422" s="2"/>
      <c r="D422" s="73"/>
      <c r="E422" s="73"/>
      <c r="F422" s="73"/>
    </row>
    <row r="423" spans="1:6" s="406" customFormat="1" ht="13.8" x14ac:dyDescent="0.25">
      <c r="A423" s="219"/>
      <c r="B423" s="405"/>
      <c r="C423" s="2"/>
      <c r="D423" s="73"/>
      <c r="E423" s="73"/>
      <c r="F423" s="73"/>
    </row>
    <row r="424" spans="1:6" s="406" customFormat="1" ht="13.8" x14ac:dyDescent="0.25">
      <c r="A424" s="219"/>
      <c r="B424" s="405"/>
      <c r="C424" s="2"/>
      <c r="D424" s="73"/>
      <c r="E424" s="73"/>
      <c r="F424" s="73"/>
    </row>
    <row r="425" spans="1:6" s="406" customFormat="1" ht="13.8" x14ac:dyDescent="0.25">
      <c r="A425" s="219"/>
      <c r="B425" s="405"/>
      <c r="C425" s="2"/>
      <c r="D425" s="73"/>
      <c r="E425" s="73"/>
      <c r="F425" s="73"/>
    </row>
    <row r="426" spans="1:6" s="406" customFormat="1" ht="13.8" x14ac:dyDescent="0.25">
      <c r="A426" s="219"/>
      <c r="B426" s="405"/>
      <c r="C426" s="2"/>
      <c r="D426" s="73"/>
      <c r="E426" s="73"/>
      <c r="F426" s="73"/>
    </row>
    <row r="427" spans="1:6" s="406" customFormat="1" ht="13.8" x14ac:dyDescent="0.25">
      <c r="A427" s="219"/>
      <c r="B427" s="405"/>
      <c r="C427" s="2"/>
      <c r="D427" s="73"/>
      <c r="E427" s="73"/>
      <c r="F427" s="73"/>
    </row>
    <row r="428" spans="1:6" s="406" customFormat="1" ht="13.8" x14ac:dyDescent="0.25">
      <c r="A428" s="219"/>
      <c r="B428" s="405"/>
      <c r="C428" s="2"/>
      <c r="D428" s="73"/>
      <c r="E428" s="73"/>
      <c r="F428" s="73"/>
    </row>
    <row r="429" spans="1:6" s="406" customFormat="1" ht="13.8" x14ac:dyDescent="0.25">
      <c r="A429" s="219"/>
      <c r="B429" s="405"/>
      <c r="C429" s="2"/>
      <c r="D429" s="73"/>
      <c r="E429" s="73"/>
      <c r="F429" s="73"/>
    </row>
    <row r="430" spans="1:6" s="406" customFormat="1" ht="13.8" x14ac:dyDescent="0.25">
      <c r="A430" s="219"/>
      <c r="B430" s="405"/>
      <c r="C430" s="2"/>
      <c r="D430" s="73"/>
      <c r="E430" s="73"/>
      <c r="F430" s="73"/>
    </row>
    <row r="431" spans="1:6" s="406" customFormat="1" ht="13.8" x14ac:dyDescent="0.25">
      <c r="A431" s="219"/>
      <c r="B431" s="405"/>
      <c r="C431" s="2"/>
      <c r="D431" s="73"/>
      <c r="E431" s="73"/>
      <c r="F431" s="73"/>
    </row>
    <row r="432" spans="1:6" s="406" customFormat="1" ht="13.8" x14ac:dyDescent="0.25">
      <c r="A432" s="219"/>
      <c r="B432" s="405"/>
      <c r="C432" s="2"/>
      <c r="D432" s="73"/>
      <c r="E432" s="73"/>
      <c r="F432" s="73"/>
    </row>
    <row r="433" spans="1:6" s="406" customFormat="1" ht="13.8" x14ac:dyDescent="0.25">
      <c r="A433" s="219"/>
      <c r="B433" s="405"/>
      <c r="C433" s="2"/>
      <c r="D433" s="73"/>
      <c r="E433" s="73"/>
      <c r="F433" s="73"/>
    </row>
    <row r="434" spans="1:6" s="406" customFormat="1" ht="13.8" x14ac:dyDescent="0.25">
      <c r="A434" s="219"/>
      <c r="B434" s="405"/>
      <c r="C434" s="2"/>
      <c r="D434" s="73"/>
      <c r="E434" s="73"/>
      <c r="F434" s="73"/>
    </row>
    <row r="435" spans="1:6" s="406" customFormat="1" ht="13.8" x14ac:dyDescent="0.25">
      <c r="A435" s="219"/>
      <c r="B435" s="405"/>
      <c r="C435" s="2"/>
      <c r="D435" s="73"/>
      <c r="E435" s="73"/>
      <c r="F435" s="73"/>
    </row>
    <row r="436" spans="1:6" s="406" customFormat="1" ht="13.8" x14ac:dyDescent="0.25">
      <c r="A436" s="219"/>
      <c r="B436" s="405"/>
      <c r="C436" s="2"/>
      <c r="D436" s="73"/>
      <c r="E436" s="73"/>
      <c r="F436" s="73"/>
    </row>
    <row r="437" spans="1:6" s="406" customFormat="1" ht="13.8" x14ac:dyDescent="0.25">
      <c r="A437" s="219"/>
      <c r="B437" s="405"/>
      <c r="C437" s="2"/>
      <c r="D437" s="73"/>
      <c r="E437" s="73"/>
      <c r="F437" s="73"/>
    </row>
    <row r="438" spans="1:6" s="406" customFormat="1" ht="13.8" x14ac:dyDescent="0.25">
      <c r="A438" s="219"/>
      <c r="B438" s="405"/>
      <c r="C438" s="2"/>
      <c r="D438" s="73"/>
      <c r="E438" s="73"/>
      <c r="F438" s="73"/>
    </row>
    <row r="439" spans="1:6" s="406" customFormat="1" ht="13.8" x14ac:dyDescent="0.25">
      <c r="A439" s="219"/>
      <c r="B439" s="405"/>
      <c r="C439" s="2"/>
      <c r="D439" s="73"/>
      <c r="E439" s="73"/>
      <c r="F439" s="73"/>
    </row>
    <row r="440" spans="1:6" s="406" customFormat="1" ht="13.8" x14ac:dyDescent="0.25">
      <c r="A440" s="219"/>
      <c r="B440" s="405"/>
      <c r="C440" s="2"/>
      <c r="D440" s="73"/>
      <c r="E440" s="73"/>
      <c r="F440" s="73"/>
    </row>
    <row r="441" spans="1:6" s="406" customFormat="1" ht="13.8" x14ac:dyDescent="0.25">
      <c r="A441" s="219"/>
      <c r="B441" s="405"/>
      <c r="C441" s="2"/>
      <c r="D441" s="73"/>
      <c r="E441" s="73"/>
      <c r="F441" s="73"/>
    </row>
    <row r="442" spans="1:6" s="406" customFormat="1" ht="13.8" x14ac:dyDescent="0.25">
      <c r="A442" s="219"/>
      <c r="B442" s="405"/>
      <c r="C442" s="2"/>
      <c r="D442" s="73"/>
      <c r="E442" s="73"/>
      <c r="F442" s="73"/>
    </row>
    <row r="443" spans="1:6" s="406" customFormat="1" ht="13.8" x14ac:dyDescent="0.25">
      <c r="A443" s="219"/>
      <c r="B443" s="405"/>
      <c r="C443" s="2"/>
      <c r="D443" s="73"/>
      <c r="E443" s="73"/>
      <c r="F443" s="73"/>
    </row>
    <row r="444" spans="1:6" s="406" customFormat="1" ht="13.8" x14ac:dyDescent="0.25">
      <c r="A444" s="219"/>
      <c r="B444" s="405"/>
      <c r="C444" s="2"/>
      <c r="D444" s="73"/>
      <c r="E444" s="73"/>
      <c r="F444" s="73"/>
    </row>
    <row r="445" spans="1:6" s="406" customFormat="1" ht="13.8" x14ac:dyDescent="0.25">
      <c r="A445" s="219"/>
      <c r="B445" s="405"/>
      <c r="C445" s="2"/>
      <c r="D445" s="73"/>
      <c r="E445" s="73"/>
      <c r="F445" s="73"/>
    </row>
    <row r="446" spans="1:6" s="406" customFormat="1" ht="13.8" x14ac:dyDescent="0.25">
      <c r="A446" s="219"/>
      <c r="B446" s="405"/>
      <c r="C446" s="2"/>
      <c r="D446" s="73"/>
      <c r="E446" s="73"/>
      <c r="F446" s="73"/>
    </row>
    <row r="447" spans="1:6" s="406" customFormat="1" ht="13.8" x14ac:dyDescent="0.25">
      <c r="A447" s="219"/>
      <c r="B447" s="405"/>
      <c r="C447" s="2"/>
      <c r="D447" s="73"/>
      <c r="E447" s="73"/>
      <c r="F447" s="73"/>
    </row>
    <row r="448" spans="1:6" s="406" customFormat="1" ht="13.8" x14ac:dyDescent="0.25">
      <c r="A448" s="219"/>
      <c r="B448" s="405"/>
      <c r="C448" s="2"/>
      <c r="D448" s="73"/>
      <c r="E448" s="73"/>
      <c r="F448" s="73"/>
    </row>
    <row r="449" spans="1:6" s="406" customFormat="1" ht="13.8" x14ac:dyDescent="0.25">
      <c r="A449" s="219"/>
      <c r="B449" s="405"/>
      <c r="C449" s="2"/>
      <c r="D449" s="73"/>
      <c r="E449" s="73"/>
      <c r="F449" s="73"/>
    </row>
    <row r="450" spans="1:6" s="406" customFormat="1" ht="13.8" x14ac:dyDescent="0.25">
      <c r="A450" s="219"/>
      <c r="B450" s="405"/>
      <c r="C450" s="2"/>
      <c r="D450" s="73"/>
      <c r="E450" s="73"/>
      <c r="F450" s="73"/>
    </row>
    <row r="451" spans="1:6" s="406" customFormat="1" ht="13.8" x14ac:dyDescent="0.25">
      <c r="A451" s="219"/>
      <c r="B451" s="405"/>
      <c r="C451" s="2"/>
      <c r="D451" s="73"/>
      <c r="E451" s="73"/>
      <c r="F451" s="73"/>
    </row>
    <row r="452" spans="1:6" s="406" customFormat="1" ht="13.8" x14ac:dyDescent="0.25">
      <c r="A452" s="219"/>
      <c r="B452" s="405"/>
      <c r="C452" s="2"/>
      <c r="D452" s="73"/>
      <c r="E452" s="73"/>
      <c r="F452" s="73"/>
    </row>
    <row r="453" spans="1:6" s="406" customFormat="1" ht="13.8" x14ac:dyDescent="0.25">
      <c r="A453" s="219"/>
      <c r="B453" s="405"/>
      <c r="C453" s="2"/>
      <c r="D453" s="73"/>
      <c r="E453" s="73"/>
      <c r="F453" s="73"/>
    </row>
    <row r="454" spans="1:6" s="406" customFormat="1" ht="13.8" x14ac:dyDescent="0.25">
      <c r="A454" s="219"/>
      <c r="B454" s="405"/>
      <c r="C454" s="2"/>
      <c r="D454" s="73"/>
      <c r="E454" s="73"/>
      <c r="F454" s="73"/>
    </row>
    <row r="455" spans="1:6" s="406" customFormat="1" ht="13.8" x14ac:dyDescent="0.25">
      <c r="A455" s="219"/>
      <c r="B455" s="405"/>
      <c r="C455" s="2"/>
      <c r="D455" s="73"/>
      <c r="E455" s="73"/>
      <c r="F455" s="73"/>
    </row>
    <row r="456" spans="1:6" s="406" customFormat="1" ht="13.8" x14ac:dyDescent="0.25">
      <c r="A456" s="219"/>
      <c r="B456" s="405"/>
      <c r="C456" s="2"/>
      <c r="D456" s="73"/>
      <c r="E456" s="73"/>
      <c r="F456" s="73"/>
    </row>
    <row r="457" spans="1:6" s="406" customFormat="1" ht="13.8" x14ac:dyDescent="0.25">
      <c r="A457" s="219"/>
      <c r="B457" s="405"/>
      <c r="C457" s="2"/>
      <c r="D457" s="73"/>
      <c r="E457" s="73"/>
      <c r="F457" s="73"/>
    </row>
    <row r="458" spans="1:6" s="406" customFormat="1" ht="13.8" x14ac:dyDescent="0.25">
      <c r="A458" s="219"/>
      <c r="B458" s="405"/>
      <c r="C458" s="2"/>
      <c r="D458" s="73"/>
      <c r="E458" s="73"/>
      <c r="F458" s="73"/>
    </row>
    <row r="459" spans="1:6" s="406" customFormat="1" ht="13.8" x14ac:dyDescent="0.25">
      <c r="A459" s="219"/>
      <c r="B459" s="405"/>
      <c r="C459" s="2"/>
      <c r="D459" s="73"/>
      <c r="E459" s="73"/>
      <c r="F459" s="73"/>
    </row>
    <row r="460" spans="1:6" s="406" customFormat="1" ht="13.8" x14ac:dyDescent="0.25">
      <c r="A460" s="219"/>
      <c r="B460" s="405"/>
      <c r="C460" s="2"/>
      <c r="D460" s="73"/>
      <c r="E460" s="73"/>
      <c r="F460" s="73"/>
    </row>
    <row r="461" spans="1:6" s="406" customFormat="1" ht="13.8" x14ac:dyDescent="0.25">
      <c r="A461" s="219"/>
      <c r="B461" s="405"/>
      <c r="C461" s="2"/>
      <c r="D461" s="73"/>
      <c r="E461" s="73"/>
      <c r="F461" s="73"/>
    </row>
    <row r="462" spans="1:6" s="406" customFormat="1" ht="13.8" x14ac:dyDescent="0.25">
      <c r="A462" s="219"/>
      <c r="B462" s="405"/>
      <c r="C462" s="2"/>
      <c r="D462" s="73"/>
      <c r="E462" s="73"/>
      <c r="F462" s="73"/>
    </row>
    <row r="463" spans="1:6" s="406" customFormat="1" ht="13.8" x14ac:dyDescent="0.25">
      <c r="A463" s="219"/>
      <c r="B463" s="405"/>
      <c r="C463" s="2"/>
      <c r="D463" s="73"/>
      <c r="E463" s="73"/>
      <c r="F463" s="73"/>
    </row>
    <row r="464" spans="1:6" s="406" customFormat="1" ht="13.8" x14ac:dyDescent="0.25">
      <c r="A464" s="219"/>
      <c r="B464" s="405"/>
      <c r="C464" s="2"/>
      <c r="D464" s="73"/>
      <c r="E464" s="73"/>
      <c r="F464" s="73"/>
    </row>
    <row r="465" spans="1:6" s="406" customFormat="1" ht="13.8" x14ac:dyDescent="0.25">
      <c r="A465" s="219"/>
      <c r="B465" s="405"/>
      <c r="C465" s="2"/>
      <c r="D465" s="73"/>
      <c r="E465" s="73"/>
      <c r="F465" s="73"/>
    </row>
    <row r="466" spans="1:6" s="406" customFormat="1" ht="13.8" x14ac:dyDescent="0.25">
      <c r="A466" s="219"/>
      <c r="B466" s="405"/>
      <c r="C466" s="2"/>
      <c r="D466" s="73"/>
      <c r="E466" s="73"/>
      <c r="F466" s="73"/>
    </row>
    <row r="467" spans="1:6" s="406" customFormat="1" ht="13.8" x14ac:dyDescent="0.25">
      <c r="A467" s="219"/>
      <c r="B467" s="405"/>
      <c r="C467" s="2"/>
      <c r="D467" s="73"/>
      <c r="E467" s="73"/>
      <c r="F467" s="73"/>
    </row>
    <row r="468" spans="1:6" s="406" customFormat="1" ht="13.8" x14ac:dyDescent="0.25">
      <c r="A468" s="219"/>
      <c r="B468" s="405"/>
      <c r="C468" s="2"/>
      <c r="D468" s="73"/>
      <c r="E468" s="73"/>
      <c r="F468" s="73"/>
    </row>
    <row r="469" spans="1:6" s="406" customFormat="1" ht="13.8" x14ac:dyDescent="0.25">
      <c r="A469" s="219"/>
      <c r="B469" s="405"/>
      <c r="C469" s="2"/>
      <c r="D469" s="73"/>
      <c r="E469" s="73"/>
      <c r="F469" s="73"/>
    </row>
    <row r="470" spans="1:6" s="406" customFormat="1" ht="13.8" x14ac:dyDescent="0.25">
      <c r="A470" s="219"/>
      <c r="B470" s="405"/>
      <c r="C470" s="2"/>
      <c r="D470" s="73"/>
      <c r="E470" s="73"/>
      <c r="F470" s="73"/>
    </row>
    <row r="471" spans="1:6" s="406" customFormat="1" ht="13.8" x14ac:dyDescent="0.25">
      <c r="A471" s="219"/>
      <c r="B471" s="405"/>
      <c r="C471" s="2"/>
      <c r="D471" s="73"/>
      <c r="E471" s="73"/>
      <c r="F471" s="73"/>
    </row>
    <row r="472" spans="1:6" s="406" customFormat="1" ht="13.8" x14ac:dyDescent="0.25">
      <c r="A472" s="219"/>
      <c r="B472" s="405"/>
      <c r="C472" s="2"/>
      <c r="D472" s="73"/>
      <c r="E472" s="73"/>
      <c r="F472" s="73"/>
    </row>
    <row r="473" spans="1:6" s="406" customFormat="1" ht="13.8" x14ac:dyDescent="0.25">
      <c r="A473" s="219"/>
      <c r="B473" s="405"/>
      <c r="C473" s="2"/>
      <c r="D473" s="73"/>
      <c r="E473" s="73"/>
      <c r="F473" s="73"/>
    </row>
    <row r="474" spans="1:6" s="406" customFormat="1" ht="13.8" x14ac:dyDescent="0.25">
      <c r="A474" s="219"/>
      <c r="B474" s="405"/>
      <c r="C474" s="2"/>
      <c r="D474" s="73"/>
      <c r="E474" s="73"/>
      <c r="F474" s="73"/>
    </row>
    <row r="475" spans="1:6" s="406" customFormat="1" ht="13.8" x14ac:dyDescent="0.25">
      <c r="A475" s="219"/>
      <c r="B475" s="405"/>
      <c r="C475" s="2"/>
      <c r="D475" s="73"/>
      <c r="E475" s="73"/>
      <c r="F475" s="73"/>
    </row>
    <row r="476" spans="1:6" s="406" customFormat="1" ht="13.8" x14ac:dyDescent="0.25">
      <c r="A476" s="219"/>
      <c r="B476" s="405"/>
      <c r="C476" s="2"/>
      <c r="D476" s="73"/>
      <c r="E476" s="73"/>
      <c r="F476" s="73"/>
    </row>
    <row r="477" spans="1:6" s="406" customFormat="1" ht="13.8" x14ac:dyDescent="0.25">
      <c r="A477" s="219"/>
      <c r="B477" s="405"/>
      <c r="C477" s="2"/>
      <c r="D477" s="73"/>
      <c r="E477" s="73"/>
      <c r="F477" s="73"/>
    </row>
    <row r="478" spans="1:6" s="406" customFormat="1" ht="13.8" x14ac:dyDescent="0.25">
      <c r="A478" s="219"/>
      <c r="B478" s="405"/>
      <c r="C478" s="2"/>
      <c r="D478" s="73"/>
      <c r="E478" s="73"/>
      <c r="F478" s="73"/>
    </row>
    <row r="479" spans="1:6" s="406" customFormat="1" ht="13.8" x14ac:dyDescent="0.25">
      <c r="A479" s="219"/>
      <c r="B479" s="405"/>
      <c r="C479" s="2"/>
      <c r="D479" s="73"/>
      <c r="E479" s="73"/>
      <c r="F479" s="73"/>
    </row>
    <row r="480" spans="1:6" s="406" customFormat="1" ht="13.8" x14ac:dyDescent="0.25">
      <c r="A480" s="219"/>
      <c r="B480" s="405"/>
      <c r="C480" s="2"/>
      <c r="D480" s="73"/>
      <c r="E480" s="73"/>
      <c r="F480" s="73"/>
    </row>
    <row r="481" spans="1:6" s="406" customFormat="1" ht="13.8" x14ac:dyDescent="0.25">
      <c r="A481" s="219"/>
      <c r="B481" s="405"/>
      <c r="C481" s="2"/>
      <c r="D481" s="73"/>
      <c r="E481" s="73"/>
      <c r="F481" s="73"/>
    </row>
    <row r="482" spans="1:6" s="406" customFormat="1" ht="13.8" x14ac:dyDescent="0.25">
      <c r="A482" s="219"/>
      <c r="B482" s="405"/>
      <c r="C482" s="2"/>
      <c r="D482" s="73"/>
      <c r="E482" s="73"/>
      <c r="F482" s="73"/>
    </row>
    <row r="483" spans="1:6" s="406" customFormat="1" ht="13.8" x14ac:dyDescent="0.25">
      <c r="A483" s="219"/>
      <c r="B483" s="405"/>
      <c r="C483" s="2"/>
      <c r="D483" s="73"/>
      <c r="E483" s="73"/>
      <c r="F483" s="73"/>
    </row>
    <row r="484" spans="1:6" s="406" customFormat="1" ht="13.8" x14ac:dyDescent="0.25">
      <c r="A484" s="219"/>
      <c r="B484" s="405"/>
      <c r="C484" s="2"/>
      <c r="D484" s="73"/>
      <c r="E484" s="73"/>
      <c r="F484" s="73"/>
    </row>
    <row r="485" spans="1:6" s="406" customFormat="1" ht="13.8" x14ac:dyDescent="0.25">
      <c r="A485" s="219"/>
      <c r="B485" s="405"/>
      <c r="C485" s="2"/>
      <c r="D485" s="73"/>
      <c r="E485" s="73"/>
      <c r="F485" s="73"/>
    </row>
    <row r="486" spans="1:6" s="406" customFormat="1" ht="13.8" x14ac:dyDescent="0.25">
      <c r="A486" s="219"/>
      <c r="B486" s="405"/>
      <c r="C486" s="2"/>
      <c r="D486" s="73"/>
      <c r="E486" s="73"/>
      <c r="F486" s="73"/>
    </row>
    <row r="487" spans="1:6" s="406" customFormat="1" ht="13.8" x14ac:dyDescent="0.25">
      <c r="A487" s="219"/>
      <c r="B487" s="405"/>
      <c r="C487" s="2"/>
      <c r="D487" s="73"/>
      <c r="E487" s="73"/>
      <c r="F487" s="73"/>
    </row>
    <row r="488" spans="1:6" s="406" customFormat="1" ht="13.8" x14ac:dyDescent="0.25">
      <c r="A488" s="219"/>
      <c r="B488" s="405"/>
      <c r="C488" s="2"/>
      <c r="D488" s="73"/>
      <c r="E488" s="73"/>
      <c r="F488" s="73"/>
    </row>
    <row r="489" spans="1:6" s="406" customFormat="1" ht="13.8" x14ac:dyDescent="0.25">
      <c r="A489" s="219"/>
      <c r="B489" s="405"/>
      <c r="C489" s="2"/>
      <c r="D489" s="73"/>
      <c r="E489" s="73"/>
      <c r="F489" s="73"/>
    </row>
    <row r="490" spans="1:6" s="406" customFormat="1" ht="13.8" x14ac:dyDescent="0.25">
      <c r="A490" s="219"/>
      <c r="B490" s="405"/>
      <c r="C490" s="2"/>
      <c r="D490" s="73"/>
      <c r="E490" s="73"/>
      <c r="F490" s="73"/>
    </row>
    <row r="491" spans="1:6" s="406" customFormat="1" ht="13.8" x14ac:dyDescent="0.25">
      <c r="A491" s="219"/>
      <c r="B491" s="405"/>
      <c r="C491" s="2"/>
      <c r="D491" s="73"/>
      <c r="E491" s="73"/>
      <c r="F491" s="73"/>
    </row>
    <row r="492" spans="1:6" s="406" customFormat="1" ht="13.8" x14ac:dyDescent="0.25">
      <c r="A492" s="219"/>
      <c r="B492" s="405"/>
      <c r="C492" s="2"/>
      <c r="D492" s="73"/>
      <c r="E492" s="73"/>
      <c r="F492" s="73"/>
    </row>
    <row r="493" spans="1:6" s="406" customFormat="1" ht="13.8" x14ac:dyDescent="0.25">
      <c r="A493" s="219"/>
      <c r="B493" s="405"/>
      <c r="C493" s="2"/>
      <c r="D493" s="73"/>
      <c r="E493" s="73"/>
      <c r="F493" s="73"/>
    </row>
    <row r="494" spans="1:6" s="406" customFormat="1" ht="13.8" x14ac:dyDescent="0.25">
      <c r="A494" s="219"/>
      <c r="B494" s="405"/>
      <c r="C494" s="2"/>
      <c r="D494" s="73"/>
      <c r="E494" s="73"/>
      <c r="F494" s="73"/>
    </row>
    <row r="495" spans="1:6" s="406" customFormat="1" ht="13.8" x14ac:dyDescent="0.25">
      <c r="A495" s="219"/>
      <c r="B495" s="405"/>
      <c r="C495" s="2"/>
      <c r="D495" s="73"/>
      <c r="E495" s="73"/>
      <c r="F495" s="73"/>
    </row>
    <row r="496" spans="1:6" s="406" customFormat="1" ht="13.8" x14ac:dyDescent="0.25">
      <c r="A496" s="219"/>
      <c r="B496" s="405"/>
      <c r="C496" s="2"/>
      <c r="D496" s="73"/>
      <c r="E496" s="73"/>
      <c r="F496" s="73"/>
    </row>
    <row r="497" spans="1:6" s="406" customFormat="1" ht="13.8" x14ac:dyDescent="0.25">
      <c r="A497" s="219"/>
      <c r="B497" s="405"/>
      <c r="C497" s="2"/>
      <c r="D497" s="73"/>
      <c r="E497" s="73"/>
      <c r="F497" s="73"/>
    </row>
    <row r="498" spans="1:6" s="406" customFormat="1" ht="13.8" x14ac:dyDescent="0.25">
      <c r="A498" s="219"/>
      <c r="B498" s="405"/>
      <c r="C498" s="2"/>
      <c r="D498" s="73"/>
      <c r="E498" s="73"/>
      <c r="F498" s="73"/>
    </row>
    <row r="499" spans="1:6" s="406" customFormat="1" ht="13.8" x14ac:dyDescent="0.25">
      <c r="A499" s="219"/>
      <c r="B499" s="405"/>
      <c r="C499" s="2"/>
      <c r="D499" s="73"/>
      <c r="E499" s="73"/>
      <c r="F499" s="73"/>
    </row>
    <row r="500" spans="1:6" s="406" customFormat="1" ht="13.8" x14ac:dyDescent="0.25">
      <c r="A500" s="219"/>
      <c r="B500" s="405"/>
      <c r="C500" s="2"/>
      <c r="D500" s="73"/>
      <c r="E500" s="73"/>
      <c r="F500" s="73"/>
    </row>
    <row r="501" spans="1:6" s="406" customFormat="1" ht="13.8" x14ac:dyDescent="0.25">
      <c r="A501" s="219"/>
      <c r="B501" s="405"/>
      <c r="C501" s="2"/>
      <c r="D501" s="73"/>
      <c r="E501" s="73"/>
      <c r="F501" s="73"/>
    </row>
    <row r="502" spans="1:6" s="406" customFormat="1" ht="13.8" x14ac:dyDescent="0.25">
      <c r="A502" s="219"/>
      <c r="B502" s="405"/>
      <c r="C502" s="2"/>
      <c r="D502" s="73"/>
      <c r="E502" s="73"/>
      <c r="F502" s="73"/>
    </row>
    <row r="503" spans="1:6" s="406" customFormat="1" ht="13.8" x14ac:dyDescent="0.25">
      <c r="A503" s="219"/>
      <c r="B503" s="405"/>
      <c r="C503" s="2"/>
      <c r="D503" s="73"/>
      <c r="E503" s="73"/>
      <c r="F503" s="73"/>
    </row>
    <row r="504" spans="1:6" s="406" customFormat="1" ht="13.8" x14ac:dyDescent="0.25">
      <c r="A504" s="219"/>
      <c r="B504" s="405"/>
      <c r="C504" s="2"/>
      <c r="D504" s="73"/>
      <c r="E504" s="73"/>
      <c r="F504" s="73"/>
    </row>
    <row r="505" spans="1:6" s="406" customFormat="1" ht="13.8" x14ac:dyDescent="0.25">
      <c r="A505" s="219"/>
      <c r="B505" s="405"/>
      <c r="C505" s="2"/>
      <c r="D505" s="73"/>
      <c r="E505" s="73"/>
      <c r="F505" s="73"/>
    </row>
    <row r="506" spans="1:6" s="406" customFormat="1" ht="13.8" x14ac:dyDescent="0.25">
      <c r="A506" s="219"/>
      <c r="B506" s="405"/>
      <c r="C506" s="2"/>
      <c r="D506" s="73"/>
      <c r="E506" s="73"/>
      <c r="F506" s="73"/>
    </row>
    <row r="507" spans="1:6" s="406" customFormat="1" ht="13.8" x14ac:dyDescent="0.25">
      <c r="A507" s="219"/>
      <c r="B507" s="405"/>
      <c r="C507" s="2"/>
      <c r="D507" s="73"/>
      <c r="E507" s="73"/>
      <c r="F507" s="73"/>
    </row>
    <row r="508" spans="1:6" s="406" customFormat="1" ht="13.8" x14ac:dyDescent="0.25">
      <c r="A508" s="219"/>
      <c r="B508" s="405"/>
      <c r="C508" s="2"/>
      <c r="D508" s="73"/>
      <c r="E508" s="73"/>
      <c r="F508" s="73"/>
    </row>
    <row r="509" spans="1:6" s="406" customFormat="1" ht="13.8" x14ac:dyDescent="0.25">
      <c r="A509" s="219"/>
      <c r="B509" s="405"/>
      <c r="C509" s="2"/>
      <c r="D509" s="73"/>
      <c r="E509" s="73"/>
      <c r="F509" s="73"/>
    </row>
    <row r="510" spans="1:6" s="406" customFormat="1" ht="13.8" x14ac:dyDescent="0.25">
      <c r="A510" s="219"/>
      <c r="B510" s="405"/>
      <c r="C510" s="2"/>
      <c r="D510" s="73"/>
      <c r="E510" s="73"/>
      <c r="F510" s="73"/>
    </row>
    <row r="511" spans="1:6" s="406" customFormat="1" ht="13.8" x14ac:dyDescent="0.25">
      <c r="A511" s="219"/>
      <c r="B511" s="405"/>
      <c r="C511" s="2"/>
      <c r="D511" s="73"/>
      <c r="E511" s="73"/>
      <c r="F511" s="73"/>
    </row>
    <row r="512" spans="1:6" s="406" customFormat="1" ht="13.8" x14ac:dyDescent="0.25">
      <c r="A512" s="219"/>
      <c r="B512" s="405"/>
      <c r="C512" s="2"/>
      <c r="D512" s="73"/>
      <c r="E512" s="73"/>
      <c r="F512" s="73"/>
    </row>
  </sheetData>
  <sheetProtection algorithmName="SHA-512" hashValue="NOlajaCF8jUDzPOP3qFH5WRj1qPfCx0U77kXOsIi5chIcudAYCeLFLr+PlUvDCH9v1l/Pq27C7gpd+FR1WvTkA==" saltValue="yl96c57RiWhm4dB+QBlCRw==" spinCount="100000" sheet="1" objects="1" scenarios="1"/>
  <protectedRanges>
    <protectedRange sqref="B27:B32" name="Range3"/>
    <protectedRange sqref="B14:B20" name="Range2"/>
    <protectedRange sqref="B7:B11"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37"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95"/>
  <sheetViews>
    <sheetView showGridLines="0" topLeftCell="A8" zoomScale="75" zoomScaleNormal="75" workbookViewId="0">
      <selection activeCell="A92" sqref="A92"/>
    </sheetView>
  </sheetViews>
  <sheetFormatPr defaultColWidth="8.88671875" defaultRowHeight="14.4" x14ac:dyDescent="0.3"/>
  <cols>
    <col min="1" max="1" width="81.6640625" style="2" customWidth="1"/>
    <col min="2" max="2" width="10.109375" customWidth="1"/>
    <col min="3" max="12" width="11.6640625" customWidth="1"/>
    <col min="13" max="13" width="2.88671875" customWidth="1"/>
    <col min="14" max="23" width="10.88671875" customWidth="1"/>
    <col min="25" max="38" width="0" hidden="1" customWidth="1"/>
  </cols>
  <sheetData>
    <row r="1" spans="1:37" ht="30" customHeight="1" x14ac:dyDescent="0.3">
      <c r="A1" s="207" t="str">
        <f>'Assumptions input'!A1</f>
        <v>Rimegepant for preventing migraine</v>
      </c>
      <c r="B1" s="222" t="s">
        <v>3</v>
      </c>
      <c r="C1" s="222" t="s">
        <v>3</v>
      </c>
      <c r="D1" s="222" t="s">
        <v>3</v>
      </c>
      <c r="E1" s="222" t="s">
        <v>3</v>
      </c>
      <c r="F1" s="222" t="s">
        <v>3</v>
      </c>
      <c r="G1" s="222" t="s">
        <v>3</v>
      </c>
      <c r="H1" s="222" t="s">
        <v>3</v>
      </c>
      <c r="I1" s="222" t="s">
        <v>3</v>
      </c>
      <c r="J1" s="222" t="s">
        <v>3</v>
      </c>
      <c r="K1" s="222" t="s">
        <v>3</v>
      </c>
      <c r="L1" s="222" t="s">
        <v>3</v>
      </c>
      <c r="M1" s="222" t="s">
        <v>3</v>
      </c>
      <c r="N1" s="222" t="s">
        <v>3</v>
      </c>
      <c r="O1" s="222" t="s">
        <v>3</v>
      </c>
      <c r="P1" s="222" t="s">
        <v>3</v>
      </c>
      <c r="Q1" s="222" t="s">
        <v>3</v>
      </c>
      <c r="R1" s="222" t="s">
        <v>3</v>
      </c>
      <c r="S1" s="222" t="s">
        <v>3</v>
      </c>
      <c r="T1" s="222" t="s">
        <v>3</v>
      </c>
      <c r="U1" s="222" t="s">
        <v>3</v>
      </c>
      <c r="V1" s="222" t="s">
        <v>3</v>
      </c>
      <c r="W1" s="222" t="s">
        <v>3</v>
      </c>
    </row>
    <row r="2" spans="1:37" ht="30" customHeight="1" x14ac:dyDescent="0.3">
      <c r="A2" s="221" t="s">
        <v>550</v>
      </c>
      <c r="B2" s="222" t="s">
        <v>3</v>
      </c>
      <c r="C2" s="222" t="s">
        <v>3</v>
      </c>
      <c r="D2" s="222" t="s">
        <v>3</v>
      </c>
      <c r="E2" s="222" t="s">
        <v>3</v>
      </c>
      <c r="F2" s="222" t="s">
        <v>3</v>
      </c>
      <c r="G2" s="222" t="s">
        <v>3</v>
      </c>
      <c r="H2" s="222" t="s">
        <v>3</v>
      </c>
      <c r="I2" s="222"/>
      <c r="J2" s="222" t="s">
        <v>3</v>
      </c>
      <c r="K2" s="222" t="s">
        <v>3</v>
      </c>
      <c r="L2" s="222" t="s">
        <v>3</v>
      </c>
      <c r="M2" s="222" t="s">
        <v>3</v>
      </c>
      <c r="N2" s="222" t="s">
        <v>3</v>
      </c>
      <c r="O2" s="222" t="s">
        <v>3</v>
      </c>
      <c r="P2" s="222" t="s">
        <v>3</v>
      </c>
      <c r="Q2" s="222" t="s">
        <v>3</v>
      </c>
      <c r="R2" s="222" t="s">
        <v>3</v>
      </c>
      <c r="S2" s="222" t="s">
        <v>3</v>
      </c>
      <c r="T2" s="222" t="s">
        <v>3</v>
      </c>
      <c r="U2" s="222" t="s">
        <v>3</v>
      </c>
      <c r="V2" s="222" t="s">
        <v>3</v>
      </c>
      <c r="W2" s="222" t="s">
        <v>3</v>
      </c>
    </row>
    <row r="3" spans="1:37" ht="15" thickBot="1" x14ac:dyDescent="0.35">
      <c r="A3" s="368" t="s">
        <v>3</v>
      </c>
      <c r="B3" s="375" t="s">
        <v>3</v>
      </c>
      <c r="C3" s="375" t="s">
        <v>3</v>
      </c>
      <c r="D3" s="375" t="s">
        <v>3</v>
      </c>
      <c r="E3" s="375" t="s">
        <v>3</v>
      </c>
      <c r="F3" s="375" t="s">
        <v>3</v>
      </c>
      <c r="G3" s="375" t="s">
        <v>3</v>
      </c>
      <c r="H3" s="375" t="s">
        <v>3</v>
      </c>
      <c r="I3" s="375" t="s">
        <v>3</v>
      </c>
      <c r="J3" s="375" t="s">
        <v>3</v>
      </c>
      <c r="K3" s="375" t="s">
        <v>3</v>
      </c>
      <c r="L3" s="375" t="s">
        <v>3</v>
      </c>
      <c r="M3" s="375" t="s">
        <v>3</v>
      </c>
      <c r="N3" s="375" t="s">
        <v>3</v>
      </c>
      <c r="O3" s="375" t="s">
        <v>3</v>
      </c>
      <c r="P3" s="375" t="s">
        <v>3</v>
      </c>
      <c r="Q3" s="375" t="s">
        <v>3</v>
      </c>
      <c r="R3" s="375" t="s">
        <v>3</v>
      </c>
      <c r="S3" s="375" t="s">
        <v>3</v>
      </c>
      <c r="T3" s="375" t="s">
        <v>3</v>
      </c>
      <c r="U3" s="375" t="s">
        <v>3</v>
      </c>
      <c r="V3" s="375" t="s">
        <v>3</v>
      </c>
      <c r="W3" s="375" t="s">
        <v>3</v>
      </c>
    </row>
    <row r="4" spans="1:37" s="456" customFormat="1" ht="31.5" customHeight="1" thickBot="1" x14ac:dyDescent="0.35">
      <c r="A4" s="457" t="s">
        <v>759</v>
      </c>
      <c r="B4" s="458">
        <v>6</v>
      </c>
      <c r="C4" s="248" t="str">
        <f>VLOOKUP(B4,'Population selection'!B561:C577,2,0)</f>
        <v>Adults 18 years and over</v>
      </c>
      <c r="D4" s="459"/>
      <c r="E4" s="459"/>
      <c r="F4" s="455"/>
      <c r="G4" s="455"/>
      <c r="H4" s="455"/>
      <c r="I4" s="455"/>
      <c r="J4" s="455"/>
      <c r="K4" s="455"/>
      <c r="L4" s="455"/>
      <c r="M4" s="455"/>
      <c r="N4" s="455"/>
      <c r="O4" s="455"/>
      <c r="P4" s="455"/>
      <c r="Q4" s="455"/>
      <c r="R4" s="455"/>
      <c r="S4" s="455"/>
      <c r="T4" s="455"/>
      <c r="U4" s="455"/>
      <c r="V4" s="455"/>
      <c r="W4" s="455"/>
    </row>
    <row r="5" spans="1:37" x14ac:dyDescent="0.3">
      <c r="A5" s="368"/>
      <c r="B5" s="375"/>
      <c r="C5" s="375"/>
      <c r="D5" s="375"/>
      <c r="E5" s="375"/>
      <c r="F5" s="375"/>
      <c r="G5" s="375"/>
      <c r="H5" s="375"/>
      <c r="I5" s="375"/>
      <c r="J5" s="375"/>
      <c r="K5" s="375"/>
      <c r="L5" s="375"/>
      <c r="M5" s="375"/>
      <c r="N5" s="375"/>
      <c r="O5" s="375"/>
      <c r="P5" s="375"/>
      <c r="Q5" s="375"/>
      <c r="R5" s="375"/>
      <c r="S5" s="375"/>
      <c r="T5" s="375"/>
      <c r="U5" s="375"/>
      <c r="V5" s="375"/>
      <c r="W5" s="375"/>
    </row>
    <row r="6" spans="1:37" x14ac:dyDescent="0.3">
      <c r="A6" s="6" t="s">
        <v>359</v>
      </c>
      <c r="E6" s="375" t="s">
        <v>3</v>
      </c>
      <c r="F6" s="375" t="s">
        <v>3</v>
      </c>
      <c r="G6" s="375" t="s">
        <v>3</v>
      </c>
      <c r="H6" s="375" t="s">
        <v>3</v>
      </c>
      <c r="I6" s="375" t="s">
        <v>3</v>
      </c>
      <c r="J6" s="375" t="s">
        <v>3</v>
      </c>
      <c r="K6" s="375" t="s">
        <v>3</v>
      </c>
      <c r="L6" s="375" t="s">
        <v>3</v>
      </c>
      <c r="M6" s="375" t="s">
        <v>3</v>
      </c>
      <c r="N6" s="375" t="s">
        <v>3</v>
      </c>
      <c r="O6" s="375" t="s">
        <v>3</v>
      </c>
      <c r="P6" s="375" t="s">
        <v>3</v>
      </c>
      <c r="Q6" s="375" t="s">
        <v>3</v>
      </c>
      <c r="R6" s="375" t="s">
        <v>3</v>
      </c>
      <c r="S6" s="375" t="s">
        <v>3</v>
      </c>
      <c r="T6" s="375" t="s">
        <v>3</v>
      </c>
      <c r="U6" s="375" t="s">
        <v>3</v>
      </c>
      <c r="V6" s="375" t="s">
        <v>3</v>
      </c>
      <c r="W6" s="375" t="s">
        <v>3</v>
      </c>
    </row>
    <row r="7" spans="1:37" ht="15" thickBot="1" x14ac:dyDescent="0.35">
      <c r="A7" s="6" t="s">
        <v>274</v>
      </c>
      <c r="B7" s="375" t="s">
        <v>3</v>
      </c>
      <c r="C7" s="375" t="s">
        <v>3</v>
      </c>
      <c r="D7" s="375" t="s">
        <v>3</v>
      </c>
      <c r="E7" s="375" t="s">
        <v>3</v>
      </c>
      <c r="F7" s="375" t="s">
        <v>3</v>
      </c>
      <c r="G7" s="375" t="s">
        <v>3</v>
      </c>
      <c r="H7" s="375" t="s">
        <v>3</v>
      </c>
      <c r="I7" s="375" t="s">
        <v>3</v>
      </c>
      <c r="J7" s="375" t="s">
        <v>3</v>
      </c>
      <c r="K7" s="375" t="s">
        <v>3</v>
      </c>
      <c r="L7" s="375" t="s">
        <v>3</v>
      </c>
      <c r="M7" s="375" t="s">
        <v>3</v>
      </c>
      <c r="N7" s="375" t="s">
        <v>3</v>
      </c>
      <c r="O7" s="375" t="s">
        <v>3</v>
      </c>
      <c r="P7" s="375" t="s">
        <v>3</v>
      </c>
      <c r="Q7" s="375" t="s">
        <v>3</v>
      </c>
      <c r="R7" s="375" t="s">
        <v>3</v>
      </c>
      <c r="S7" s="375" t="s">
        <v>3</v>
      </c>
      <c r="T7" s="375" t="s">
        <v>3</v>
      </c>
      <c r="U7" s="375" t="s">
        <v>3</v>
      </c>
      <c r="V7" s="375" t="s">
        <v>3</v>
      </c>
      <c r="W7" s="375" t="s">
        <v>3</v>
      </c>
    </row>
    <row r="8" spans="1:37" ht="90" customHeight="1" x14ac:dyDescent="0.3">
      <c r="A8" s="522" t="s">
        <v>733</v>
      </c>
      <c r="B8" s="223" t="s">
        <v>476</v>
      </c>
      <c r="C8" s="449" t="s">
        <v>575</v>
      </c>
      <c r="D8" s="450" t="s">
        <v>576</v>
      </c>
      <c r="E8" s="450" t="s">
        <v>577</v>
      </c>
      <c r="F8" s="450" t="s">
        <v>578</v>
      </c>
      <c r="G8" s="451" t="s">
        <v>579</v>
      </c>
      <c r="H8" s="528" t="s">
        <v>580</v>
      </c>
      <c r="I8" s="460" t="s">
        <v>581</v>
      </c>
      <c r="J8" s="452" t="s">
        <v>582</v>
      </c>
      <c r="K8" s="452" t="s">
        <v>583</v>
      </c>
      <c r="L8" s="529" t="s">
        <v>584</v>
      </c>
      <c r="M8" s="375" t="s">
        <v>3</v>
      </c>
      <c r="N8" s="375" t="s">
        <v>3</v>
      </c>
      <c r="O8" s="375" t="s">
        <v>3</v>
      </c>
      <c r="P8" s="375" t="s">
        <v>3</v>
      </c>
      <c r="Q8" s="375" t="s">
        <v>3</v>
      </c>
      <c r="R8" s="375" t="s">
        <v>3</v>
      </c>
      <c r="S8" s="375" t="s">
        <v>3</v>
      </c>
      <c r="T8" s="375" t="s">
        <v>3</v>
      </c>
      <c r="U8" s="375" t="s">
        <v>3</v>
      </c>
      <c r="V8" s="375" t="s">
        <v>3</v>
      </c>
      <c r="W8" s="375" t="s">
        <v>3</v>
      </c>
    </row>
    <row r="9" spans="1:37" s="537" customFormat="1" ht="24" customHeight="1" x14ac:dyDescent="0.3">
      <c r="A9" s="533" t="s">
        <v>832</v>
      </c>
      <c r="B9" s="534"/>
      <c r="C9" s="535"/>
      <c r="D9" s="535"/>
      <c r="E9" s="535"/>
      <c r="F9" s="535"/>
      <c r="G9" s="535"/>
      <c r="H9" s="535"/>
      <c r="I9" s="535"/>
      <c r="J9" s="535"/>
      <c r="K9" s="535"/>
      <c r="L9" s="536"/>
      <c r="M9" s="410" t="s">
        <v>3</v>
      </c>
      <c r="N9" s="410" t="s">
        <v>3</v>
      </c>
      <c r="O9" s="410" t="s">
        <v>3</v>
      </c>
      <c r="P9" s="410" t="s">
        <v>3</v>
      </c>
      <c r="Q9" s="410" t="s">
        <v>3</v>
      </c>
      <c r="R9" s="410" t="s">
        <v>3</v>
      </c>
      <c r="S9" s="410" t="s">
        <v>3</v>
      </c>
      <c r="T9" s="410" t="s">
        <v>3</v>
      </c>
      <c r="U9" s="410" t="s">
        <v>3</v>
      </c>
      <c r="V9" s="410" t="s">
        <v>3</v>
      </c>
      <c r="W9" s="410" t="s">
        <v>3</v>
      </c>
    </row>
    <row r="10" spans="1:37" s="537" customFormat="1" ht="30" customHeight="1" x14ac:dyDescent="0.3">
      <c r="A10" s="538" t="s">
        <v>752</v>
      </c>
      <c r="B10" s="539"/>
      <c r="C10" s="607">
        <f>VLOOKUP($B$4,'Population selection'!$B$561:$I$577,4,0)</f>
        <v>1.0158417431734368</v>
      </c>
      <c r="D10" s="607">
        <f>VLOOKUP($B$4,'Population selection'!$B$561:$I$577,5,0)</f>
        <v>1.0219028338714957</v>
      </c>
      <c r="E10" s="607">
        <f>VLOOKUP($B$4,'Population selection'!$B$561:$I$577,6,0)</f>
        <v>1.0280568686265446</v>
      </c>
      <c r="F10" s="608">
        <f>VLOOKUP($B$4,'Population selection'!$B$561:$I$577,7,0)</f>
        <v>1.0345147935582482</v>
      </c>
      <c r="G10" s="609">
        <f>VLOOKUP($B$4,'Population selection'!$B$561:$I$577,8,0)</f>
        <v>1.0406315337231495</v>
      </c>
      <c r="H10" s="610">
        <f>C10</f>
        <v>1.0158417431734368</v>
      </c>
      <c r="I10" s="611">
        <f>D10</f>
        <v>1.0219028338714957</v>
      </c>
      <c r="J10" s="611">
        <f>E10</f>
        <v>1.0280568686265446</v>
      </c>
      <c r="K10" s="611">
        <f>F10</f>
        <v>1.0345147935582482</v>
      </c>
      <c r="L10" s="612">
        <f>G10</f>
        <v>1.0406315337231495</v>
      </c>
      <c r="M10" s="410" t="s">
        <v>3</v>
      </c>
      <c r="N10" s="410" t="s">
        <v>3</v>
      </c>
      <c r="O10" s="410" t="s">
        <v>3</v>
      </c>
      <c r="P10" s="410" t="s">
        <v>3</v>
      </c>
      <c r="Q10" s="410" t="s">
        <v>3</v>
      </c>
      <c r="R10" s="410" t="s">
        <v>3</v>
      </c>
      <c r="S10" s="410" t="s">
        <v>3</v>
      </c>
      <c r="T10" s="410" t="s">
        <v>3</v>
      </c>
      <c r="U10" s="410" t="s">
        <v>3</v>
      </c>
      <c r="V10" s="410" t="s">
        <v>3</v>
      </c>
      <c r="W10" s="410" t="s">
        <v>3</v>
      </c>
    </row>
    <row r="11" spans="1:37" s="537" customFormat="1" ht="30" customHeight="1" x14ac:dyDescent="0.3">
      <c r="A11" s="548" t="s">
        <v>753</v>
      </c>
      <c r="B11" s="539"/>
      <c r="C11" s="607">
        <v>1</v>
      </c>
      <c r="D11" s="607">
        <v>1</v>
      </c>
      <c r="E11" s="607">
        <v>1</v>
      </c>
      <c r="F11" s="607">
        <v>1</v>
      </c>
      <c r="G11" s="613">
        <v>1</v>
      </c>
      <c r="H11" s="609">
        <v>1</v>
      </c>
      <c r="I11" s="607">
        <v>1</v>
      </c>
      <c r="J11" s="607">
        <v>1</v>
      </c>
      <c r="K11" s="607">
        <v>1</v>
      </c>
      <c r="L11" s="613">
        <v>1</v>
      </c>
      <c r="M11" s="410"/>
      <c r="N11" s="410"/>
      <c r="O11" s="410"/>
      <c r="P11" s="410"/>
      <c r="Q11" s="410"/>
      <c r="R11" s="410"/>
      <c r="S11" s="410"/>
      <c r="T11" s="410"/>
      <c r="U11" s="410"/>
      <c r="V11" s="410"/>
      <c r="W11" s="410"/>
    </row>
    <row r="12" spans="1:37" s="537" customFormat="1" ht="30" customHeight="1" x14ac:dyDescent="0.3">
      <c r="A12" s="538" t="s">
        <v>830</v>
      </c>
      <c r="B12" s="539"/>
      <c r="C12" s="540">
        <f>IF('Population selection'!$J$23="",'Population selection'!$J$15*C10,C10*'Population selection'!$J$23)</f>
        <v>45161124</v>
      </c>
      <c r="D12" s="540">
        <f>IF('Population selection'!$J$23="",'Population selection'!$J$15*D10,D10*'Population selection'!$J$23)</f>
        <v>45430581.000000007</v>
      </c>
      <c r="E12" s="540">
        <f>IF('Population selection'!$J$23="",'Population selection'!$J$15*E10,E10*'Population selection'!$J$23)</f>
        <v>45704170</v>
      </c>
      <c r="F12" s="540">
        <f>IF('Population selection'!$J$23="",'Population selection'!$J$15*F10,F10*'Population selection'!$J$23)</f>
        <v>45991269.000000007</v>
      </c>
      <c r="G12" s="541">
        <f>IF('Population selection'!$J$23="",'Population selection'!$J$15*G10,G10*'Population selection'!$J$23)</f>
        <v>46263200</v>
      </c>
      <c r="H12" s="542">
        <f>IF('Population selection'!$J$23="",'Population selection'!$J$15*H10,H10*'Population selection'!$J$23)</f>
        <v>45161124</v>
      </c>
      <c r="I12" s="540">
        <f>IF('Population selection'!$J$23="",'Population selection'!$J$15*I10,I10*'Population selection'!$J$23)</f>
        <v>45430581.000000007</v>
      </c>
      <c r="J12" s="540">
        <f>IF('Population selection'!$J$23="",'Population selection'!$J$15*J10,J10*'Population selection'!$J$23)</f>
        <v>45704170</v>
      </c>
      <c r="K12" s="540">
        <f>IF('Population selection'!$J$23="",'Population selection'!$J$15*K10,K10*'Population selection'!$J$23)</f>
        <v>45991269.000000007</v>
      </c>
      <c r="L12" s="541">
        <f>IF('Population selection'!$J$23="",'Population selection'!$J$15*L10,L10*'Population selection'!$J$23)</f>
        <v>46263200</v>
      </c>
      <c r="M12" s="410" t="s">
        <v>3</v>
      </c>
      <c r="N12" s="410" t="s">
        <v>3</v>
      </c>
      <c r="O12" s="410" t="s">
        <v>3</v>
      </c>
      <c r="P12" s="410" t="s">
        <v>3</v>
      </c>
      <c r="Q12" s="410" t="s">
        <v>3</v>
      </c>
      <c r="R12" s="410" t="s">
        <v>3</v>
      </c>
      <c r="S12" s="410" t="s">
        <v>3</v>
      </c>
      <c r="T12" s="410" t="s">
        <v>3</v>
      </c>
      <c r="U12" s="410" t="s">
        <v>3</v>
      </c>
      <c r="V12" s="410" t="s">
        <v>3</v>
      </c>
      <c r="W12" s="410" t="s">
        <v>3</v>
      </c>
    </row>
    <row r="13" spans="1:37" s="537" customFormat="1" ht="30" customHeight="1" x14ac:dyDescent="0.3">
      <c r="A13" s="773" t="s">
        <v>875</v>
      </c>
      <c r="B13" s="774"/>
      <c r="C13" s="775">
        <f>C12*'Assumptions input'!$B$16*'Assumptions input'!$B$17*'Assumptions input'!$B$18*'Assumptions input'!$B$19</f>
        <v>4658.2434894528005</v>
      </c>
      <c r="D13" s="775">
        <f>D12*'Assumptions input'!$B$16*'Assumptions input'!$B$17*'Assumptions input'!$B$18*'Assumptions input'!$B$19</f>
        <v>4686.0372245232011</v>
      </c>
      <c r="E13" s="775">
        <f>E12*'Assumptions input'!$B$16*'Assumptions input'!$B$17*'Assumptions input'!$B$18*'Assumptions input'!$B$19</f>
        <v>4714.2571638240006</v>
      </c>
      <c r="F13" s="775">
        <f>F12*'Assumptions input'!$B$16*'Assumptions input'!$B$17*'Assumptions input'!$B$18*'Assumptions input'!$B$19</f>
        <v>4743.8706217968011</v>
      </c>
      <c r="G13" s="541">
        <f>G12*'Assumptions input'!$B$16*'Assumptions input'!$B$17*'Assumptions input'!$B$18*'Assumptions input'!$B$19</f>
        <v>4771.9195430399996</v>
      </c>
      <c r="H13" s="776">
        <f>H12*'Assumptions input'!$D$16*'Assumptions input'!$D$17*'Assumptions input'!$D$18*'Assumptions input'!$D$19</f>
        <v>4658.2434894528005</v>
      </c>
      <c r="I13" s="777">
        <f>I12*'Assumptions input'!$D$16*'Assumptions input'!$D$17*'Assumptions input'!$D$18*'Assumptions input'!$D$19</f>
        <v>4686.0372245232011</v>
      </c>
      <c r="J13" s="777">
        <f>J12*'Assumptions input'!$D$16*'Assumptions input'!$D$17*'Assumptions input'!$D$18*'Assumptions input'!$D$19</f>
        <v>4714.2571638240006</v>
      </c>
      <c r="K13" s="777">
        <f>K12*'Assumptions input'!$D$16*'Assumptions input'!$D$17*'Assumptions input'!$D$18*'Assumptions input'!$D$19</f>
        <v>4743.8706217968011</v>
      </c>
      <c r="L13" s="541">
        <f>L12*'Assumptions input'!$D$16*'Assumptions input'!$D$17*'Assumptions input'!$D$18*'Assumptions input'!$D$19</f>
        <v>4771.9195430399996</v>
      </c>
      <c r="M13" s="410"/>
      <c r="N13" s="410"/>
      <c r="O13" s="410"/>
      <c r="P13" s="410"/>
      <c r="Q13" s="410"/>
      <c r="R13" s="410"/>
      <c r="S13" s="410"/>
      <c r="T13" s="410"/>
      <c r="U13" s="410"/>
      <c r="V13" s="410"/>
      <c r="W13" s="410"/>
    </row>
    <row r="14" spans="1:37" s="456" customFormat="1" ht="30" customHeight="1" thickBot="1" x14ac:dyDescent="0.35">
      <c r="A14" s="543" t="s">
        <v>876</v>
      </c>
      <c r="B14" s="544"/>
      <c r="C14" s="545">
        <f>(C12*'Assumptions input'!$B$24*'Assumptions input'!$B$25*'Assumptions input'!$B$26*'Assumptions input'!$B$27*'Assumptions input'!$B$29)</f>
        <v>14686.935122820099</v>
      </c>
      <c r="D14" s="545">
        <f>(D12*'Assumptions input'!$B$24*'Assumptions input'!$B$25*'Assumptions input'!$B$26*'Assumptions input'!$B$27*'Assumptions input'!$B$29)</f>
        <v>14774.565746836228</v>
      </c>
      <c r="E14" s="545">
        <f>(E12*'Assumptions input'!$B$24*'Assumptions input'!$B$25*'Assumptions input'!$B$26*'Assumptions input'!$B$27*'Assumptions input'!$B$29)</f>
        <v>14863.540146439682</v>
      </c>
      <c r="F14" s="545">
        <f>(F12*'Assumptions input'!$B$24*'Assumptions input'!$B$25*'Assumptions input'!$B$26*'Assumptions input'!$B$27*'Assumptions input'!$B$29)</f>
        <v>14956.908158866179</v>
      </c>
      <c r="G14" s="546">
        <f>(G12*'Assumptions input'!$B$24*'Assumptions input'!$B$25*'Assumptions input'!$B$26*'Assumptions input'!$B$27*'Assumptions input'!$B$29)</f>
        <v>15045.343357132802</v>
      </c>
      <c r="H14" s="547">
        <f>(H12*'Assumptions input'!$D$24*'Assumptions input'!$D$25*'Assumptions input'!$D$26*'Assumptions input'!$D$27*'Assumptions input'!$D$29)</f>
        <v>14686.935122820099</v>
      </c>
      <c r="I14" s="545">
        <f>(I12*'Assumptions input'!$D$24*'Assumptions input'!$D$25*'Assumptions input'!$D$26*'Assumptions input'!$D$27*'Assumptions input'!$D$29)</f>
        <v>14774.565746836228</v>
      </c>
      <c r="J14" s="545">
        <f>(J12*'Assumptions input'!$D$24*'Assumptions input'!$D$25*'Assumptions input'!$D$26*'Assumptions input'!$D$27*'Assumptions input'!$D$29)</f>
        <v>14863.540146439682</v>
      </c>
      <c r="K14" s="545">
        <f>(K12*'Assumptions input'!$D$24*'Assumptions input'!$D$25*'Assumptions input'!$D$26*'Assumptions input'!$D$27*'Assumptions input'!$D$29)</f>
        <v>14956.908158866179</v>
      </c>
      <c r="L14" s="546">
        <f>(L12*'Assumptions input'!$D$24*'Assumptions input'!$D$25*'Assumptions input'!$D$26*'Assumptions input'!$D$27*'Assumptions input'!$D$29)</f>
        <v>15045.343357132802</v>
      </c>
      <c r="M14" s="455" t="s">
        <v>3</v>
      </c>
      <c r="N14" s="455" t="s">
        <v>3</v>
      </c>
      <c r="O14" s="716"/>
      <c r="P14" s="716"/>
      <c r="Q14" s="716"/>
      <c r="R14" s="716"/>
      <c r="S14" s="716"/>
      <c r="T14" s="716"/>
      <c r="U14" s="716"/>
      <c r="V14" s="455" t="s">
        <v>3</v>
      </c>
      <c r="W14" s="455" t="s">
        <v>3</v>
      </c>
    </row>
    <row r="15" spans="1:37" ht="15" thickBot="1" x14ac:dyDescent="0.35">
      <c r="A15" s="789" t="s">
        <v>826</v>
      </c>
      <c r="B15" s="787" t="s">
        <v>3</v>
      </c>
      <c r="C15" s="807">
        <f>SUM(C13:C14)</f>
        <v>19345.178612272899</v>
      </c>
      <c r="D15" s="807">
        <f t="shared" ref="D15:G15" si="0">SUM(D13:D14)</f>
        <v>19460.602971359429</v>
      </c>
      <c r="E15" s="807">
        <f t="shared" si="0"/>
        <v>19577.797310263682</v>
      </c>
      <c r="F15" s="807">
        <f t="shared" si="0"/>
        <v>19700.778780662979</v>
      </c>
      <c r="G15" s="807">
        <f t="shared" si="0"/>
        <v>19817.262900172802</v>
      </c>
      <c r="H15" s="807">
        <f>SUM(H13:H14)</f>
        <v>19345.178612272899</v>
      </c>
      <c r="I15" s="807">
        <f t="shared" ref="I15" si="1">SUM(I13:I14)</f>
        <v>19460.602971359429</v>
      </c>
      <c r="J15" s="807">
        <f t="shared" ref="J15" si="2">SUM(J13:J14)</f>
        <v>19577.797310263682</v>
      </c>
      <c r="K15" s="807">
        <f t="shared" ref="K15" si="3">SUM(K13:K14)</f>
        <v>19700.778780662979</v>
      </c>
      <c r="L15" s="808">
        <f t="shared" ref="L15" si="4">SUM(L13:L14)</f>
        <v>19817.262900172802</v>
      </c>
      <c r="M15" s="375" t="s">
        <v>3</v>
      </c>
      <c r="N15" s="375" t="s">
        <v>3</v>
      </c>
      <c r="O15" s="375" t="s">
        <v>3</v>
      </c>
      <c r="P15" s="375" t="s">
        <v>3</v>
      </c>
      <c r="Q15" s="375" t="s">
        <v>3</v>
      </c>
      <c r="R15" s="375" t="s">
        <v>3</v>
      </c>
      <c r="S15" s="375" t="s">
        <v>3</v>
      </c>
      <c r="T15" s="375" t="s">
        <v>3</v>
      </c>
      <c r="U15" s="375" t="s">
        <v>3</v>
      </c>
      <c r="V15" s="375" t="s">
        <v>3</v>
      </c>
      <c r="W15" s="375" t="s">
        <v>3</v>
      </c>
      <c r="AG15" s="216" t="e">
        <f>#REF!-#REF!</f>
        <v>#REF!</v>
      </c>
      <c r="AH15" s="216" t="e">
        <f>#REF!-#REF!</f>
        <v>#REF!</v>
      </c>
      <c r="AI15" s="216" t="e">
        <f>#REF!-#REF!</f>
        <v>#REF!</v>
      </c>
      <c r="AJ15" s="216" t="e">
        <f>#REF!-#REF!</f>
        <v>#REF!</v>
      </c>
      <c r="AK15" s="216" t="e">
        <f>#REF!-#REF!</f>
        <v>#REF!</v>
      </c>
    </row>
    <row r="16" spans="1:37" ht="18.899999999999999" customHeight="1" thickBot="1" x14ac:dyDescent="0.35">
      <c r="A16" s="943"/>
      <c r="B16" s="935"/>
      <c r="C16" s="935"/>
      <c r="D16" s="935"/>
      <c r="E16" s="935"/>
      <c r="F16" s="935"/>
      <c r="G16" s="935"/>
      <c r="H16" s="935"/>
      <c r="I16" s="935"/>
      <c r="J16" s="935"/>
      <c r="K16" s="935"/>
      <c r="L16" s="935"/>
      <c r="M16" s="375"/>
      <c r="N16" s="375"/>
      <c r="O16" s="375"/>
      <c r="P16" s="375"/>
      <c r="Q16" s="375"/>
      <c r="R16" s="375"/>
      <c r="S16" s="375"/>
      <c r="T16" s="375"/>
      <c r="U16" s="375"/>
      <c r="V16" s="375"/>
      <c r="W16" s="375"/>
      <c r="AG16" s="216"/>
      <c r="AH16" s="216"/>
      <c r="AI16" s="216"/>
      <c r="AJ16" s="216"/>
      <c r="AK16" s="216"/>
    </row>
    <row r="17" spans="1:23" ht="90" customHeight="1" x14ac:dyDescent="0.3">
      <c r="A17" s="525" t="s">
        <v>847</v>
      </c>
      <c r="B17" s="223" t="s">
        <v>476</v>
      </c>
      <c r="C17" s="420" t="s">
        <v>575</v>
      </c>
      <c r="D17" s="424" t="s">
        <v>576</v>
      </c>
      <c r="E17" s="424" t="s">
        <v>577</v>
      </c>
      <c r="F17" s="424" t="s">
        <v>578</v>
      </c>
      <c r="G17" s="422" t="s">
        <v>579</v>
      </c>
      <c r="H17" s="421" t="s">
        <v>580</v>
      </c>
      <c r="I17" s="425" t="s">
        <v>581</v>
      </c>
      <c r="J17" s="425" t="s">
        <v>582</v>
      </c>
      <c r="K17" s="425" t="s">
        <v>583</v>
      </c>
      <c r="L17" s="423" t="s">
        <v>584</v>
      </c>
      <c r="M17" s="384"/>
      <c r="N17" s="416" t="s">
        <v>565</v>
      </c>
      <c r="O17" s="417" t="s">
        <v>566</v>
      </c>
      <c r="P17" s="417" t="s">
        <v>567</v>
      </c>
      <c r="Q17" s="417" t="s">
        <v>568</v>
      </c>
      <c r="R17" s="416" t="s">
        <v>569</v>
      </c>
      <c r="S17" s="418" t="s">
        <v>570</v>
      </c>
      <c r="T17" s="417" t="s">
        <v>571</v>
      </c>
      <c r="U17" s="417" t="s">
        <v>572</v>
      </c>
      <c r="V17" s="417" t="s">
        <v>573</v>
      </c>
      <c r="W17" s="419" t="s">
        <v>574</v>
      </c>
    </row>
    <row r="18" spans="1:23" x14ac:dyDescent="0.3">
      <c r="A18" s="523" t="s">
        <v>490</v>
      </c>
      <c r="B18" s="240"/>
      <c r="C18" s="527"/>
      <c r="D18" s="527"/>
      <c r="E18" s="527"/>
      <c r="F18" s="527"/>
      <c r="G18" s="446"/>
      <c r="H18" s="759"/>
      <c r="I18" s="760"/>
      <c r="J18" s="760"/>
      <c r="K18" s="760"/>
      <c r="L18" s="761"/>
      <c r="M18" s="385"/>
      <c r="N18" s="446"/>
      <c r="O18" s="527"/>
      <c r="P18" s="527"/>
      <c r="Q18" s="527"/>
      <c r="R18" s="446"/>
      <c r="S18" s="447"/>
      <c r="T18" s="527"/>
      <c r="U18" s="527"/>
      <c r="V18" s="527"/>
      <c r="W18" s="448"/>
    </row>
    <row r="19" spans="1:23" x14ac:dyDescent="0.3">
      <c r="A19" s="823" t="s">
        <v>874</v>
      </c>
      <c r="B19" s="790"/>
      <c r="C19" s="758"/>
      <c r="D19" s="758"/>
      <c r="E19" s="758"/>
      <c r="F19" s="758"/>
      <c r="G19" s="748"/>
      <c r="H19" s="759"/>
      <c r="I19" s="762"/>
      <c r="J19" s="762"/>
      <c r="K19" s="762"/>
      <c r="L19" s="761"/>
      <c r="M19" s="386"/>
      <c r="N19" s="748"/>
      <c r="O19" s="758"/>
      <c r="P19" s="758"/>
      <c r="Q19" s="758"/>
      <c r="R19" s="748"/>
      <c r="S19" s="447"/>
      <c r="T19" s="758"/>
      <c r="U19" s="758"/>
      <c r="V19" s="758"/>
      <c r="W19" s="448"/>
    </row>
    <row r="20" spans="1:23" x14ac:dyDescent="0.3">
      <c r="A20" s="686" t="e">
        <f>'Resource impact template'!#REF!</f>
        <v>#REF!</v>
      </c>
      <c r="B20" s="758"/>
      <c r="C20" s="687">
        <v>0</v>
      </c>
      <c r="D20" s="687">
        <v>0</v>
      </c>
      <c r="E20" s="687">
        <v>0</v>
      </c>
      <c r="F20" s="687">
        <v>0</v>
      </c>
      <c r="G20" s="687">
        <v>0</v>
      </c>
      <c r="H20" s="549">
        <v>0.02</v>
      </c>
      <c r="I20" s="757">
        <v>0.04</v>
      </c>
      <c r="J20" s="757">
        <v>0.06</v>
      </c>
      <c r="K20" s="757">
        <v>0.06</v>
      </c>
      <c r="L20" s="550">
        <v>0.06</v>
      </c>
      <c r="M20" s="386"/>
      <c r="N20" s="748"/>
      <c r="O20" s="758"/>
      <c r="P20" s="758"/>
      <c r="Q20" s="758"/>
      <c r="R20" s="748"/>
      <c r="S20" s="447"/>
      <c r="T20" s="758"/>
      <c r="U20" s="758"/>
      <c r="V20" s="758"/>
      <c r="W20" s="448"/>
    </row>
    <row r="21" spans="1:23" x14ac:dyDescent="0.3">
      <c r="A21" s="686" t="e">
        <f>'Resource impact template'!#REF!</f>
        <v>#REF!</v>
      </c>
      <c r="B21" s="758"/>
      <c r="C21" s="763">
        <v>0.05</v>
      </c>
      <c r="D21" s="763">
        <v>0.05</v>
      </c>
      <c r="E21" s="763">
        <v>0.05</v>
      </c>
      <c r="F21" s="763">
        <v>0.05</v>
      </c>
      <c r="G21" s="763">
        <v>0.05</v>
      </c>
      <c r="H21" s="765">
        <v>0.04</v>
      </c>
      <c r="I21" s="765">
        <v>0.04</v>
      </c>
      <c r="J21" s="765">
        <v>0.04</v>
      </c>
      <c r="K21" s="765">
        <v>0.04</v>
      </c>
      <c r="L21" s="765">
        <v>0.04</v>
      </c>
      <c r="M21" s="386"/>
      <c r="N21" s="748"/>
      <c r="O21" s="758"/>
      <c r="P21" s="758"/>
      <c r="Q21" s="758"/>
      <c r="R21" s="748"/>
      <c r="S21" s="447"/>
      <c r="T21" s="758"/>
      <c r="U21" s="758"/>
      <c r="V21" s="758"/>
      <c r="W21" s="448"/>
    </row>
    <row r="22" spans="1:23" x14ac:dyDescent="0.3">
      <c r="A22" s="686" t="e">
        <f>'Resource impact template'!#REF!</f>
        <v>#REF!</v>
      </c>
      <c r="B22" s="758"/>
      <c r="C22" s="763">
        <v>0.05</v>
      </c>
      <c r="D22" s="763">
        <v>0.05</v>
      </c>
      <c r="E22" s="763">
        <v>0.05</v>
      </c>
      <c r="F22" s="763">
        <v>0.05</v>
      </c>
      <c r="G22" s="763">
        <v>0.05</v>
      </c>
      <c r="H22" s="765">
        <v>0.05</v>
      </c>
      <c r="I22" s="767">
        <v>0.05</v>
      </c>
      <c r="J22" s="767">
        <v>0.05</v>
      </c>
      <c r="K22" s="767">
        <v>0.05</v>
      </c>
      <c r="L22" s="766">
        <v>0.05</v>
      </c>
      <c r="M22" s="386"/>
      <c r="N22" s="748"/>
      <c r="O22" s="758"/>
      <c r="P22" s="758"/>
      <c r="Q22" s="758"/>
      <c r="R22" s="748"/>
      <c r="S22" s="447"/>
      <c r="T22" s="758"/>
      <c r="U22" s="758"/>
      <c r="V22" s="758"/>
      <c r="W22" s="448"/>
    </row>
    <row r="23" spans="1:23" x14ac:dyDescent="0.3">
      <c r="A23" s="686" t="e">
        <f>'Resource impact template'!#REF!</f>
        <v>#REF!</v>
      </c>
      <c r="B23" s="758"/>
      <c r="C23" s="763">
        <v>0.05</v>
      </c>
      <c r="D23" s="763">
        <v>0.05</v>
      </c>
      <c r="E23" s="763">
        <v>0.05</v>
      </c>
      <c r="F23" s="763">
        <v>0.05</v>
      </c>
      <c r="G23" s="763">
        <v>0.05</v>
      </c>
      <c r="H23" s="765">
        <v>0.05</v>
      </c>
      <c r="I23" s="767">
        <v>0.05</v>
      </c>
      <c r="J23" s="767">
        <v>0.05</v>
      </c>
      <c r="K23" s="767">
        <v>0.05</v>
      </c>
      <c r="L23" s="766">
        <v>0.05</v>
      </c>
      <c r="M23" s="386"/>
      <c r="N23" s="748"/>
      <c r="O23" s="758"/>
      <c r="P23" s="758"/>
      <c r="Q23" s="758"/>
      <c r="R23" s="748"/>
      <c r="S23" s="447"/>
      <c r="T23" s="758"/>
      <c r="U23" s="758"/>
      <c r="V23" s="758"/>
      <c r="W23" s="448"/>
    </row>
    <row r="24" spans="1:23" x14ac:dyDescent="0.3">
      <c r="A24" s="686" t="e">
        <f>'Resource impact template'!#REF!</f>
        <v>#REF!</v>
      </c>
      <c r="B24" s="758"/>
      <c r="C24" s="763">
        <v>0.05</v>
      </c>
      <c r="D24" s="763">
        <v>0.05</v>
      </c>
      <c r="E24" s="763">
        <v>0.05</v>
      </c>
      <c r="F24" s="763">
        <v>0.05</v>
      </c>
      <c r="G24" s="763">
        <v>0.05</v>
      </c>
      <c r="H24" s="765">
        <v>0.05</v>
      </c>
      <c r="I24" s="767">
        <v>0.05</v>
      </c>
      <c r="J24" s="767">
        <v>0.05</v>
      </c>
      <c r="K24" s="767">
        <v>0.05</v>
      </c>
      <c r="L24" s="766">
        <v>0.05</v>
      </c>
      <c r="M24" s="386"/>
      <c r="N24" s="748"/>
      <c r="O24" s="758"/>
      <c r="P24" s="758"/>
      <c r="Q24" s="758"/>
      <c r="R24" s="748"/>
      <c r="S24" s="447"/>
      <c r="T24" s="758"/>
      <c r="U24" s="758"/>
      <c r="V24" s="758"/>
      <c r="W24" s="448"/>
    </row>
    <row r="25" spans="1:23" x14ac:dyDescent="0.3">
      <c r="A25" s="686" t="s">
        <v>833</v>
      </c>
      <c r="B25" s="240"/>
      <c r="C25" s="763">
        <v>0.8</v>
      </c>
      <c r="D25" s="763">
        <v>0.8</v>
      </c>
      <c r="E25" s="763">
        <v>0.8</v>
      </c>
      <c r="F25" s="763">
        <v>0.8</v>
      </c>
      <c r="G25" s="763">
        <v>0.8</v>
      </c>
      <c r="H25" s="765">
        <v>0.79</v>
      </c>
      <c r="I25" s="767">
        <v>0.77</v>
      </c>
      <c r="J25" s="767">
        <v>0.75</v>
      </c>
      <c r="K25" s="767">
        <v>0.75</v>
      </c>
      <c r="L25" s="766">
        <v>0.75</v>
      </c>
      <c r="M25" s="386"/>
      <c r="N25" s="748"/>
      <c r="O25" s="758"/>
      <c r="P25" s="758"/>
      <c r="Q25" s="758"/>
      <c r="R25" s="748"/>
      <c r="S25" s="447"/>
      <c r="T25" s="758"/>
      <c r="U25" s="758"/>
      <c r="V25" s="758"/>
      <c r="W25" s="448"/>
    </row>
    <row r="26" spans="1:23" x14ac:dyDescent="0.3">
      <c r="A26" s="523" t="s">
        <v>826</v>
      </c>
      <c r="B26" s="240"/>
      <c r="C26" s="770">
        <f t="shared" ref="C26:L26" si="5">SUM(C20:C25)</f>
        <v>1</v>
      </c>
      <c r="D26" s="770">
        <f t="shared" si="5"/>
        <v>1</v>
      </c>
      <c r="E26" s="770">
        <f t="shared" si="5"/>
        <v>1</v>
      </c>
      <c r="F26" s="770">
        <f t="shared" si="5"/>
        <v>1</v>
      </c>
      <c r="G26" s="772">
        <f t="shared" si="5"/>
        <v>1</v>
      </c>
      <c r="H26" s="771">
        <f t="shared" si="5"/>
        <v>1</v>
      </c>
      <c r="I26" s="770">
        <f t="shared" si="5"/>
        <v>1</v>
      </c>
      <c r="J26" s="770">
        <f t="shared" si="5"/>
        <v>1</v>
      </c>
      <c r="K26" s="770">
        <f t="shared" si="5"/>
        <v>1</v>
      </c>
      <c r="L26" s="770">
        <f t="shared" si="5"/>
        <v>1</v>
      </c>
      <c r="M26" s="386"/>
      <c r="N26" s="748"/>
      <c r="O26" s="758"/>
      <c r="P26" s="758"/>
      <c r="Q26" s="758"/>
      <c r="R26" s="748"/>
      <c r="S26" s="447"/>
      <c r="T26" s="758"/>
      <c r="U26" s="758"/>
      <c r="V26" s="758"/>
      <c r="W26" s="448"/>
    </row>
    <row r="27" spans="1:23" x14ac:dyDescent="0.3">
      <c r="A27" s="686" t="e">
        <f t="shared" ref="A27:A31" si="6">A20</f>
        <v>#REF!</v>
      </c>
      <c r="B27" s="240">
        <f>'Resource impact template'!B7</f>
        <v>2600.64</v>
      </c>
      <c r="C27" s="804"/>
      <c r="D27" s="804"/>
      <c r="E27" s="804"/>
      <c r="F27" s="804"/>
      <c r="G27" s="805"/>
      <c r="H27" s="795" t="e">
        <f>(H13*H20)*'Assumptions input'!#REF!</f>
        <v>#REF!</v>
      </c>
      <c r="I27" s="794" t="e">
        <f>(I13*I20)*'Assumptions input'!#REF!</f>
        <v>#REF!</v>
      </c>
      <c r="J27" s="794" t="e">
        <f>(J13*J20)*'Assumptions input'!#REF!</f>
        <v>#REF!</v>
      </c>
      <c r="K27" s="794" t="e">
        <f>(K13*K20)*'Assumptions input'!#REF!</f>
        <v>#REF!</v>
      </c>
      <c r="L27" s="794" t="e">
        <f>(L13*L20)*'Assumptions input'!#REF!</f>
        <v>#REF!</v>
      </c>
      <c r="M27" s="386"/>
      <c r="N27" s="382" t="e">
        <f t="shared" ref="N27:N31" si="7">H27-C27</f>
        <v>#REF!</v>
      </c>
      <c r="O27" s="225" t="e">
        <f t="shared" ref="O27:O31" si="8">I27-D27</f>
        <v>#REF!</v>
      </c>
      <c r="P27" s="225" t="e">
        <f t="shared" ref="P27:P31" si="9">J27-E27</f>
        <v>#REF!</v>
      </c>
      <c r="Q27" s="225" t="e">
        <f t="shared" ref="Q27:Q31" si="10">K27-F27</f>
        <v>#REF!</v>
      </c>
      <c r="R27" s="378" t="e">
        <f t="shared" ref="R27:R31" si="11">L27-G27</f>
        <v>#REF!</v>
      </c>
      <c r="S27" s="380" t="e">
        <f t="shared" ref="S27:S31" si="12">N27*$B27/1000</f>
        <v>#REF!</v>
      </c>
      <c r="T27" s="226" t="e">
        <f t="shared" ref="T27:T31" si="13">O27*$B27/1000</f>
        <v>#REF!</v>
      </c>
      <c r="U27" s="226" t="e">
        <f t="shared" ref="U27:U31" si="14">P27*$B27/1000</f>
        <v>#REF!</v>
      </c>
      <c r="V27" s="226" t="e">
        <f t="shared" ref="V27" si="15">Q27*$B27/1000</f>
        <v>#REF!</v>
      </c>
      <c r="W27" s="227" t="e">
        <f t="shared" ref="W27:W31" si="16">R27*$B27/1000</f>
        <v>#REF!</v>
      </c>
    </row>
    <row r="28" spans="1:23" x14ac:dyDescent="0.3">
      <c r="A28" s="686" t="e">
        <f t="shared" si="6"/>
        <v>#REF!</v>
      </c>
      <c r="B28" s="240">
        <f>'Resource impact template'!B8</f>
        <v>0</v>
      </c>
      <c r="C28" s="730" t="e">
        <f>(C$13*C21)*'Assumptions input'!#REF!</f>
        <v>#REF!</v>
      </c>
      <c r="D28" s="730" t="e">
        <f>(D$13*D21)*'Assumptions input'!#REF!</f>
        <v>#REF!</v>
      </c>
      <c r="E28" s="730" t="e">
        <f>(E$13*E21)*'Assumptions input'!#REF!</f>
        <v>#REF!</v>
      </c>
      <c r="F28" s="730" t="e">
        <f>(F$13*F21)*'Assumptions input'!#REF!</f>
        <v>#REF!</v>
      </c>
      <c r="G28" s="462" t="e">
        <f>(G$13*G21)*'Assumptions input'!#REF!</f>
        <v>#REF!</v>
      </c>
      <c r="H28" s="796" t="e">
        <f>(H$13*H21)*'Assumptions input'!#REF!</f>
        <v>#REF!</v>
      </c>
      <c r="I28" s="730" t="e">
        <f>(I$13*I21)*'Assumptions input'!#REF!</f>
        <v>#REF!</v>
      </c>
      <c r="J28" s="730" t="e">
        <f>(J$13*J21)*'Assumptions input'!#REF!</f>
        <v>#REF!</v>
      </c>
      <c r="K28" s="730" t="e">
        <f>(K$13*K21)*'Assumptions input'!#REF!</f>
        <v>#REF!</v>
      </c>
      <c r="L28" s="730" t="e">
        <f>(L$13*L21)*'Assumptions input'!#REF!</f>
        <v>#REF!</v>
      </c>
      <c r="M28" s="386"/>
      <c r="N28" s="382" t="e">
        <f t="shared" si="7"/>
        <v>#REF!</v>
      </c>
      <c r="O28" s="225" t="e">
        <f t="shared" si="8"/>
        <v>#REF!</v>
      </c>
      <c r="P28" s="225" t="e">
        <f t="shared" si="9"/>
        <v>#REF!</v>
      </c>
      <c r="Q28" s="225" t="e">
        <f t="shared" si="10"/>
        <v>#REF!</v>
      </c>
      <c r="R28" s="378" t="e">
        <f t="shared" si="11"/>
        <v>#REF!</v>
      </c>
      <c r="S28" s="380" t="e">
        <f t="shared" si="12"/>
        <v>#REF!</v>
      </c>
      <c r="T28" s="226" t="e">
        <f t="shared" si="13"/>
        <v>#REF!</v>
      </c>
      <c r="U28" s="226" t="e">
        <f t="shared" si="14"/>
        <v>#REF!</v>
      </c>
      <c r="V28" s="226" t="e">
        <f>Q28*$B28/1000</f>
        <v>#REF!</v>
      </c>
      <c r="W28" s="227" t="e">
        <f t="shared" si="16"/>
        <v>#REF!</v>
      </c>
    </row>
    <row r="29" spans="1:23" x14ac:dyDescent="0.3">
      <c r="A29" s="686" t="e">
        <f t="shared" si="6"/>
        <v>#REF!</v>
      </c>
      <c r="B29" s="240">
        <f>'Resource impact template'!B9</f>
        <v>0</v>
      </c>
      <c r="C29" s="730" t="e">
        <f>C$13*C22*'Assumptions input'!#REF!</f>
        <v>#REF!</v>
      </c>
      <c r="D29" s="730" t="e">
        <f>D$13*D22*'Assumptions input'!#REF!</f>
        <v>#REF!</v>
      </c>
      <c r="E29" s="730" t="e">
        <f>E$13*E22*'Assumptions input'!#REF!</f>
        <v>#REF!</v>
      </c>
      <c r="F29" s="730" t="e">
        <f>F$13*F22*'Assumptions input'!#REF!</f>
        <v>#REF!</v>
      </c>
      <c r="G29" s="462" t="e">
        <f>G$13*G22*'Assumptions input'!#REF!</f>
        <v>#REF!</v>
      </c>
      <c r="H29" s="796" t="e">
        <f>H$13*H22*'Assumptions input'!#REF!</f>
        <v>#REF!</v>
      </c>
      <c r="I29" s="730" t="e">
        <f>I$13*I22*'Assumptions input'!#REF!</f>
        <v>#REF!</v>
      </c>
      <c r="J29" s="730" t="e">
        <f>J$13*J22*'Assumptions input'!#REF!</f>
        <v>#REF!</v>
      </c>
      <c r="K29" s="730" t="e">
        <f>K$13*K22*'Assumptions input'!#REF!</f>
        <v>#REF!</v>
      </c>
      <c r="L29" s="730" t="e">
        <f>L$13*L22*'Assumptions input'!#REF!</f>
        <v>#REF!</v>
      </c>
      <c r="M29" s="386"/>
      <c r="N29" s="382" t="e">
        <f t="shared" si="7"/>
        <v>#REF!</v>
      </c>
      <c r="O29" s="225" t="e">
        <f t="shared" si="8"/>
        <v>#REF!</v>
      </c>
      <c r="P29" s="225" t="e">
        <f t="shared" si="9"/>
        <v>#REF!</v>
      </c>
      <c r="Q29" s="225" t="e">
        <f t="shared" si="10"/>
        <v>#REF!</v>
      </c>
      <c r="R29" s="378" t="e">
        <f t="shared" si="11"/>
        <v>#REF!</v>
      </c>
      <c r="S29" s="380" t="e">
        <f t="shared" si="12"/>
        <v>#REF!</v>
      </c>
      <c r="T29" s="226" t="e">
        <f t="shared" si="13"/>
        <v>#REF!</v>
      </c>
      <c r="U29" s="226" t="e">
        <f t="shared" si="14"/>
        <v>#REF!</v>
      </c>
      <c r="V29" s="226" t="e">
        <f t="shared" ref="V29:V31" si="17">Q29*$B29/1000</f>
        <v>#REF!</v>
      </c>
      <c r="W29" s="227" t="e">
        <f t="shared" si="16"/>
        <v>#REF!</v>
      </c>
    </row>
    <row r="30" spans="1:23" x14ac:dyDescent="0.3">
      <c r="A30" s="686" t="e">
        <f t="shared" si="6"/>
        <v>#REF!</v>
      </c>
      <c r="B30" s="240">
        <f>'Resource impact template'!B10</f>
        <v>0</v>
      </c>
      <c r="C30" s="730" t="e">
        <f>C$13*C23*'Assumptions input'!#REF!</f>
        <v>#REF!</v>
      </c>
      <c r="D30" s="730" t="e">
        <f>D$13*D23*'Assumptions input'!#REF!</f>
        <v>#REF!</v>
      </c>
      <c r="E30" s="730" t="e">
        <f>E$13*E23*'Assumptions input'!#REF!</f>
        <v>#REF!</v>
      </c>
      <c r="F30" s="730" t="e">
        <f>F$13*F23*'Assumptions input'!#REF!</f>
        <v>#REF!</v>
      </c>
      <c r="G30" s="462" t="e">
        <f>G$13*G23*'Assumptions input'!#REF!</f>
        <v>#REF!</v>
      </c>
      <c r="H30" s="796" t="e">
        <f>H$13*H23*'Assumptions input'!#REF!</f>
        <v>#REF!</v>
      </c>
      <c r="I30" s="730" t="e">
        <f>I$13*I23*'Assumptions input'!#REF!</f>
        <v>#REF!</v>
      </c>
      <c r="J30" s="730" t="e">
        <f>J$13*J23*'Assumptions input'!#REF!</f>
        <v>#REF!</v>
      </c>
      <c r="K30" s="730" t="e">
        <f>K$13*K23*'Assumptions input'!#REF!</f>
        <v>#REF!</v>
      </c>
      <c r="L30" s="730" t="e">
        <f>L$13*L23*'Assumptions input'!#REF!</f>
        <v>#REF!</v>
      </c>
      <c r="M30" s="386"/>
      <c r="N30" s="382" t="e">
        <f t="shared" si="7"/>
        <v>#REF!</v>
      </c>
      <c r="O30" s="225" t="e">
        <f t="shared" si="8"/>
        <v>#REF!</v>
      </c>
      <c r="P30" s="225" t="e">
        <f t="shared" si="9"/>
        <v>#REF!</v>
      </c>
      <c r="Q30" s="225" t="e">
        <f t="shared" si="10"/>
        <v>#REF!</v>
      </c>
      <c r="R30" s="378" t="e">
        <f t="shared" si="11"/>
        <v>#REF!</v>
      </c>
      <c r="S30" s="380" t="e">
        <f t="shared" si="12"/>
        <v>#REF!</v>
      </c>
      <c r="T30" s="226" t="e">
        <f t="shared" si="13"/>
        <v>#REF!</v>
      </c>
      <c r="U30" s="226" t="e">
        <f t="shared" si="14"/>
        <v>#REF!</v>
      </c>
      <c r="V30" s="226" t="e">
        <f t="shared" si="17"/>
        <v>#REF!</v>
      </c>
      <c r="W30" s="227" t="e">
        <f t="shared" si="16"/>
        <v>#REF!</v>
      </c>
    </row>
    <row r="31" spans="1:23" x14ac:dyDescent="0.3">
      <c r="A31" s="686" t="e">
        <f t="shared" si="6"/>
        <v>#REF!</v>
      </c>
      <c r="B31" s="240">
        <f>'Resource impact template'!B11</f>
        <v>0</v>
      </c>
      <c r="C31" s="730" t="e">
        <f>C$13*C24*'Assumptions input'!#REF!</f>
        <v>#REF!</v>
      </c>
      <c r="D31" s="730" t="e">
        <f>D$13*D24*'Assumptions input'!#REF!</f>
        <v>#REF!</v>
      </c>
      <c r="E31" s="730" t="e">
        <f>E$13*E24*'Assumptions input'!#REF!</f>
        <v>#REF!</v>
      </c>
      <c r="F31" s="730" t="e">
        <f>F$13*F24*'Assumptions input'!#REF!</f>
        <v>#REF!</v>
      </c>
      <c r="G31" s="462" t="e">
        <f>G$13*G24*'Assumptions input'!#REF!</f>
        <v>#REF!</v>
      </c>
      <c r="H31" s="796" t="e">
        <f>H$13*H24*'Assumptions input'!#REF!</f>
        <v>#REF!</v>
      </c>
      <c r="I31" s="730" t="e">
        <f>I$13*I24*'Assumptions input'!#REF!</f>
        <v>#REF!</v>
      </c>
      <c r="J31" s="730" t="e">
        <f>J$13*J24*'Assumptions input'!#REF!</f>
        <v>#REF!</v>
      </c>
      <c r="K31" s="730" t="e">
        <f>K$13*K24*'Assumptions input'!#REF!</f>
        <v>#REF!</v>
      </c>
      <c r="L31" s="730" t="e">
        <f>L$13*L24*'Assumptions input'!#REF!</f>
        <v>#REF!</v>
      </c>
      <c r="M31" s="386"/>
      <c r="N31" s="382" t="e">
        <f t="shared" si="7"/>
        <v>#REF!</v>
      </c>
      <c r="O31" s="225" t="e">
        <f t="shared" si="8"/>
        <v>#REF!</v>
      </c>
      <c r="P31" s="225" t="e">
        <f t="shared" si="9"/>
        <v>#REF!</v>
      </c>
      <c r="Q31" s="225" t="e">
        <f t="shared" si="10"/>
        <v>#REF!</v>
      </c>
      <c r="R31" s="378" t="e">
        <f t="shared" si="11"/>
        <v>#REF!</v>
      </c>
      <c r="S31" s="380" t="e">
        <f t="shared" si="12"/>
        <v>#REF!</v>
      </c>
      <c r="T31" s="226" t="e">
        <f t="shared" si="13"/>
        <v>#REF!</v>
      </c>
      <c r="U31" s="226" t="e">
        <f t="shared" si="14"/>
        <v>#REF!</v>
      </c>
      <c r="V31" s="226" t="e">
        <f t="shared" si="17"/>
        <v>#REF!</v>
      </c>
      <c r="W31" s="227" t="e">
        <f t="shared" si="16"/>
        <v>#REF!</v>
      </c>
    </row>
    <row r="32" spans="1:23" x14ac:dyDescent="0.3">
      <c r="A32" s="523" t="s">
        <v>877</v>
      </c>
      <c r="B32" s="240"/>
      <c r="C32" s="791" t="e">
        <f t="shared" ref="C32:L32" si="18">SUM(C27:C31)</f>
        <v>#REF!</v>
      </c>
      <c r="D32" s="791" t="e">
        <f t="shared" si="18"/>
        <v>#REF!</v>
      </c>
      <c r="E32" s="791" t="e">
        <f t="shared" si="18"/>
        <v>#REF!</v>
      </c>
      <c r="F32" s="791" t="e">
        <f t="shared" si="18"/>
        <v>#REF!</v>
      </c>
      <c r="G32" s="792" t="e">
        <f t="shared" si="18"/>
        <v>#REF!</v>
      </c>
      <c r="H32" s="793" t="e">
        <f t="shared" si="18"/>
        <v>#REF!</v>
      </c>
      <c r="I32" s="791" t="e">
        <f t="shared" si="18"/>
        <v>#REF!</v>
      </c>
      <c r="J32" s="791" t="e">
        <f t="shared" si="18"/>
        <v>#REF!</v>
      </c>
      <c r="K32" s="791" t="e">
        <f t="shared" si="18"/>
        <v>#REF!</v>
      </c>
      <c r="L32" s="791" t="e">
        <f t="shared" si="18"/>
        <v>#REF!</v>
      </c>
      <c r="M32" s="386"/>
      <c r="N32" s="806" t="e">
        <f t="shared" ref="N32:W32" si="19">SUM(N27:N31)</f>
        <v>#REF!</v>
      </c>
      <c r="O32" s="791" t="e">
        <f t="shared" si="19"/>
        <v>#REF!</v>
      </c>
      <c r="P32" s="791" t="e">
        <f t="shared" si="19"/>
        <v>#REF!</v>
      </c>
      <c r="Q32" s="791" t="e">
        <f t="shared" si="19"/>
        <v>#REF!</v>
      </c>
      <c r="R32" s="792" t="e">
        <f t="shared" si="19"/>
        <v>#REF!</v>
      </c>
      <c r="S32" s="806" t="e">
        <f t="shared" si="19"/>
        <v>#REF!</v>
      </c>
      <c r="T32" s="791" t="e">
        <f t="shared" si="19"/>
        <v>#REF!</v>
      </c>
      <c r="U32" s="791" t="e">
        <f t="shared" si="19"/>
        <v>#REF!</v>
      </c>
      <c r="V32" s="791" t="e">
        <f t="shared" si="19"/>
        <v>#REF!</v>
      </c>
      <c r="W32" s="792" t="e">
        <f t="shared" si="19"/>
        <v>#REF!</v>
      </c>
    </row>
    <row r="33" spans="1:37" x14ac:dyDescent="0.3">
      <c r="A33" s="823" t="s">
        <v>825</v>
      </c>
      <c r="B33" s="240"/>
      <c r="C33" s="764"/>
      <c r="D33" s="764"/>
      <c r="E33" s="764"/>
      <c r="F33" s="764"/>
      <c r="G33" s="764"/>
      <c r="H33" s="768"/>
      <c r="I33" s="762"/>
      <c r="J33" s="762"/>
      <c r="K33" s="762"/>
      <c r="L33" s="769"/>
      <c r="M33" s="386"/>
      <c r="N33" s="748"/>
      <c r="O33" s="758"/>
      <c r="P33" s="758"/>
      <c r="Q33" s="758"/>
      <c r="R33" s="748"/>
      <c r="S33" s="447"/>
      <c r="T33" s="758"/>
      <c r="U33" s="758"/>
      <c r="V33" s="758"/>
      <c r="W33" s="448"/>
    </row>
    <row r="34" spans="1:37" x14ac:dyDescent="0.3">
      <c r="A34" s="686" t="str">
        <f>'Resource impact template'!A8</f>
        <v>People receiving eptinezumab (IV infusion)</v>
      </c>
      <c r="B34" s="240"/>
      <c r="C34" s="687">
        <v>0.05</v>
      </c>
      <c r="D34" s="687">
        <v>0.05</v>
      </c>
      <c r="E34" s="687">
        <v>0.05</v>
      </c>
      <c r="F34" s="687">
        <v>0.05</v>
      </c>
      <c r="G34" s="687">
        <v>0.05</v>
      </c>
      <c r="H34" s="687">
        <v>0.05</v>
      </c>
      <c r="I34" s="687">
        <v>0.05</v>
      </c>
      <c r="J34" s="687">
        <v>0.05</v>
      </c>
      <c r="K34" s="687">
        <v>0.05</v>
      </c>
      <c r="L34" s="687">
        <v>0.05</v>
      </c>
      <c r="M34" s="386"/>
      <c r="N34" s="446"/>
      <c r="O34" s="527"/>
      <c r="P34" s="527"/>
      <c r="Q34" s="527"/>
      <c r="R34" s="446"/>
      <c r="S34" s="447"/>
      <c r="T34" s="527"/>
      <c r="U34" s="527"/>
      <c r="V34" s="527"/>
      <c r="W34" s="448"/>
    </row>
    <row r="35" spans="1:37" x14ac:dyDescent="0.3">
      <c r="A35" s="686" t="str">
        <f>'Resource impact template'!A9</f>
        <v>People receiving erenumab (subcutaneous injection)</v>
      </c>
      <c r="B35" s="240"/>
      <c r="C35" s="687">
        <v>0.05</v>
      </c>
      <c r="D35" s="687">
        <v>0.05</v>
      </c>
      <c r="E35" s="687">
        <v>0.05</v>
      </c>
      <c r="F35" s="687">
        <v>0.05</v>
      </c>
      <c r="G35" s="687">
        <v>0.05</v>
      </c>
      <c r="H35" s="687">
        <v>0.05</v>
      </c>
      <c r="I35" s="687">
        <v>0.05</v>
      </c>
      <c r="J35" s="687">
        <v>0.05</v>
      </c>
      <c r="K35" s="687">
        <v>0.05</v>
      </c>
      <c r="L35" s="687">
        <v>0.05</v>
      </c>
      <c r="M35" s="386"/>
      <c r="N35" s="446"/>
      <c r="O35" s="527"/>
      <c r="P35" s="527"/>
      <c r="Q35" s="527"/>
      <c r="R35" s="446"/>
      <c r="S35" s="447"/>
      <c r="T35" s="527"/>
      <c r="U35" s="527"/>
      <c r="V35" s="527"/>
      <c r="W35" s="448"/>
    </row>
    <row r="36" spans="1:37" x14ac:dyDescent="0.3">
      <c r="A36" s="686" t="str">
        <f>'Resource impact template'!A10</f>
        <v>People receiving galcanezumab (subcutaneous injection)</v>
      </c>
      <c r="B36" s="240"/>
      <c r="C36" s="687">
        <v>0.05</v>
      </c>
      <c r="D36" s="687">
        <v>0.05</v>
      </c>
      <c r="E36" s="687">
        <v>0.05</v>
      </c>
      <c r="F36" s="687">
        <v>0.05</v>
      </c>
      <c r="G36" s="687">
        <v>0.05</v>
      </c>
      <c r="H36" s="687">
        <v>0.05</v>
      </c>
      <c r="I36" s="687">
        <v>0.05</v>
      </c>
      <c r="J36" s="687">
        <v>0.05</v>
      </c>
      <c r="K36" s="687">
        <v>0.05</v>
      </c>
      <c r="L36" s="687">
        <v>0.05</v>
      </c>
      <c r="M36" s="386"/>
      <c r="N36" s="446"/>
      <c r="O36" s="527"/>
      <c r="P36" s="527"/>
      <c r="Q36" s="527"/>
      <c r="R36" s="446"/>
      <c r="S36" s="447"/>
      <c r="T36" s="527"/>
      <c r="U36" s="527"/>
      <c r="V36" s="527"/>
      <c r="W36" s="448"/>
    </row>
    <row r="37" spans="1:37" x14ac:dyDescent="0.3">
      <c r="A37" s="686" t="str">
        <f>'Resource impact template'!A11</f>
        <v>People receiving fremanezumab (subcutaneous injection)</v>
      </c>
      <c r="B37" s="240"/>
      <c r="C37" s="687">
        <v>0.05</v>
      </c>
      <c r="D37" s="687">
        <v>0.05</v>
      </c>
      <c r="E37" s="687">
        <v>0.05</v>
      </c>
      <c r="F37" s="687">
        <v>0.05</v>
      </c>
      <c r="G37" s="687">
        <v>0.05</v>
      </c>
      <c r="H37" s="687">
        <v>0.05</v>
      </c>
      <c r="I37" s="687">
        <v>0.05</v>
      </c>
      <c r="J37" s="687">
        <v>0.05</v>
      </c>
      <c r="K37" s="687">
        <v>0.05</v>
      </c>
      <c r="L37" s="687">
        <v>0.05</v>
      </c>
      <c r="M37" s="386"/>
      <c r="N37" s="446"/>
      <c r="O37" s="527"/>
      <c r="P37" s="527"/>
      <c r="Q37" s="527"/>
      <c r="R37" s="446"/>
      <c r="S37" s="447"/>
      <c r="T37" s="527"/>
      <c r="U37" s="527"/>
      <c r="V37" s="527"/>
      <c r="W37" s="448"/>
    </row>
    <row r="38" spans="1:37" x14ac:dyDescent="0.3">
      <c r="A38" s="686" t="str">
        <f>'Resource impact template'!A18</f>
        <v>People receiving Botox (IV infusion)</v>
      </c>
      <c r="B38" s="240"/>
      <c r="C38" s="687">
        <v>0.8</v>
      </c>
      <c r="D38" s="687">
        <v>0.8</v>
      </c>
      <c r="E38" s="687">
        <v>0.8</v>
      </c>
      <c r="F38" s="687">
        <v>0.8</v>
      </c>
      <c r="G38" s="687">
        <v>0.8</v>
      </c>
      <c r="H38" s="687">
        <v>0.8</v>
      </c>
      <c r="I38" s="687">
        <v>0.8</v>
      </c>
      <c r="J38" s="687">
        <v>0.8</v>
      </c>
      <c r="K38" s="687">
        <v>0.8</v>
      </c>
      <c r="L38" s="687">
        <v>0.8</v>
      </c>
      <c r="M38" s="386"/>
      <c r="N38" s="446"/>
      <c r="O38" s="527"/>
      <c r="P38" s="527"/>
      <c r="Q38" s="527"/>
      <c r="R38" s="446"/>
      <c r="S38" s="447"/>
      <c r="T38" s="527"/>
      <c r="U38" s="527"/>
      <c r="V38" s="527"/>
      <c r="W38" s="448"/>
    </row>
    <row r="39" spans="1:37" x14ac:dyDescent="0.3">
      <c r="A39" s="523" t="s">
        <v>826</v>
      </c>
      <c r="B39" s="240"/>
      <c r="C39" s="696">
        <f>SUM(C34:C38)</f>
        <v>1</v>
      </c>
      <c r="D39" s="696">
        <f t="shared" ref="D39:L39" si="20">SUM(D34:D38)</f>
        <v>1</v>
      </c>
      <c r="E39" s="696">
        <f t="shared" si="20"/>
        <v>1</v>
      </c>
      <c r="F39" s="696">
        <f t="shared" si="20"/>
        <v>1</v>
      </c>
      <c r="G39" s="696">
        <f t="shared" si="20"/>
        <v>1</v>
      </c>
      <c r="H39" s="696">
        <f t="shared" si="20"/>
        <v>1</v>
      </c>
      <c r="I39" s="696">
        <f t="shared" si="20"/>
        <v>1</v>
      </c>
      <c r="J39" s="696">
        <f t="shared" si="20"/>
        <v>1</v>
      </c>
      <c r="K39" s="696">
        <f t="shared" si="20"/>
        <v>1</v>
      </c>
      <c r="L39" s="696">
        <f t="shared" si="20"/>
        <v>1</v>
      </c>
      <c r="M39" s="386"/>
      <c r="N39" s="446"/>
      <c r="O39" s="527"/>
      <c r="P39" s="527"/>
      <c r="Q39" s="527"/>
      <c r="R39" s="446"/>
      <c r="S39" s="447"/>
      <c r="T39" s="527"/>
      <c r="U39" s="527"/>
      <c r="V39" s="527"/>
      <c r="W39" s="448"/>
    </row>
    <row r="40" spans="1:37" x14ac:dyDescent="0.3">
      <c r="A40" s="444" t="s">
        <v>803</v>
      </c>
      <c r="B40" s="225">
        <f>'Resource impact template'!B8</f>
        <v>0</v>
      </c>
      <c r="C40" s="225" t="e">
        <f>C$14*C34*'Assumptions input'!#REF!</f>
        <v>#REF!</v>
      </c>
      <c r="D40" s="225" t="e">
        <f>D$14*D34*'Assumptions input'!#REF!</f>
        <v>#REF!</v>
      </c>
      <c r="E40" s="225" t="e">
        <f>E$14*E34*'Assumptions input'!#REF!</f>
        <v>#REF!</v>
      </c>
      <c r="F40" s="225" t="e">
        <f>F$14*F34*'Assumptions input'!#REF!</f>
        <v>#REF!</v>
      </c>
      <c r="G40" s="730" t="e">
        <f>G$14*G34*'Assumptions input'!#REF!</f>
        <v>#REF!</v>
      </c>
      <c r="H40" s="796" t="e">
        <f>H$14*H34*'Assumptions input'!#REF!</f>
        <v>#REF!</v>
      </c>
      <c r="I40" s="225" t="e">
        <f>I$14*I34*'Assumptions input'!#REF!</f>
        <v>#REF!</v>
      </c>
      <c r="J40" s="225" t="e">
        <f>J$14*J34*'Assumptions input'!#REF!</f>
        <v>#REF!</v>
      </c>
      <c r="K40" s="225" t="e">
        <f>K$14*K34*'Assumptions input'!#REF!</f>
        <v>#REF!</v>
      </c>
      <c r="L40" s="225" t="e">
        <f>L$14*L34*'Assumptions input'!#REF!</f>
        <v>#REF!</v>
      </c>
      <c r="M40" s="386"/>
      <c r="N40" s="382" t="e">
        <f t="shared" ref="N40:N44" si="21">H40-C40</f>
        <v>#REF!</v>
      </c>
      <c r="O40" s="225" t="e">
        <f t="shared" ref="O40:O44" si="22">I40-D40</f>
        <v>#REF!</v>
      </c>
      <c r="P40" s="225" t="e">
        <f t="shared" ref="P40:P44" si="23">J40-E40</f>
        <v>#REF!</v>
      </c>
      <c r="Q40" s="225" t="e">
        <f t="shared" ref="Q40:Q44" si="24">K40-F40</f>
        <v>#REF!</v>
      </c>
      <c r="R40" s="378" t="e">
        <f t="shared" ref="R40:R44" si="25">L40-G40</f>
        <v>#REF!</v>
      </c>
      <c r="S40" s="380" t="e">
        <f t="shared" ref="S40:S44" si="26">N40*$B40/1000</f>
        <v>#REF!</v>
      </c>
      <c r="T40" s="226" t="e">
        <f t="shared" ref="T40:T44" si="27">O40*$B40/1000</f>
        <v>#REF!</v>
      </c>
      <c r="U40" s="226" t="e">
        <f t="shared" ref="U40:U44" si="28">P40*$B40/1000</f>
        <v>#REF!</v>
      </c>
      <c r="V40" s="226" t="e">
        <f t="shared" ref="V40" si="29">Q40*$B40/1000</f>
        <v>#REF!</v>
      </c>
      <c r="W40" s="227" t="e">
        <f t="shared" ref="W40:W44" si="30">R40*$B40/1000</f>
        <v>#REF!</v>
      </c>
      <c r="X40" s="695"/>
      <c r="Y40" s="216"/>
      <c r="Z40" s="216"/>
      <c r="AA40" s="216"/>
      <c r="AB40" s="216"/>
      <c r="AC40" s="216"/>
      <c r="AD40" s="216"/>
      <c r="AF40" s="216"/>
      <c r="AG40" s="216"/>
      <c r="AH40" s="216"/>
      <c r="AI40" s="216"/>
      <c r="AJ40" s="216"/>
      <c r="AK40" s="216"/>
    </row>
    <row r="41" spans="1:37" x14ac:dyDescent="0.3">
      <c r="A41" s="444" t="str">
        <f>'Resource impact template'!A9</f>
        <v>People receiving erenumab (subcutaneous injection)</v>
      </c>
      <c r="B41" s="225">
        <f>'Resource impact template'!B9</f>
        <v>0</v>
      </c>
      <c r="C41" s="225" t="e">
        <f>C$14*C35*'Assumptions input'!#REF!</f>
        <v>#REF!</v>
      </c>
      <c r="D41" s="225" t="e">
        <f>D$14*D35*'Assumptions input'!#REF!</f>
        <v>#REF!</v>
      </c>
      <c r="E41" s="225" t="e">
        <f>E$14*E35*'Assumptions input'!#REF!</f>
        <v>#REF!</v>
      </c>
      <c r="F41" s="225" t="e">
        <f>F$14*F35*'Assumptions input'!#REF!</f>
        <v>#REF!</v>
      </c>
      <c r="G41" s="225" t="e">
        <f>G$14*G35*'Assumptions input'!#REF!</f>
        <v>#REF!</v>
      </c>
      <c r="H41" s="225" t="e">
        <f>H$14*H35*'Assumptions input'!#REF!</f>
        <v>#REF!</v>
      </c>
      <c r="I41" s="225" t="e">
        <f>I$14*I35*'Assumptions input'!#REF!</f>
        <v>#REF!</v>
      </c>
      <c r="J41" s="225" t="e">
        <f>J$14*J35*'Assumptions input'!#REF!</f>
        <v>#REF!</v>
      </c>
      <c r="K41" s="225" t="e">
        <f>K$14*K35*'Assumptions input'!#REF!</f>
        <v>#REF!</v>
      </c>
      <c r="L41" s="225" t="e">
        <f>L$14*L35*'Assumptions input'!#REF!</f>
        <v>#REF!</v>
      </c>
      <c r="M41" s="386"/>
      <c r="N41" s="382" t="e">
        <f t="shared" si="21"/>
        <v>#REF!</v>
      </c>
      <c r="O41" s="225" t="e">
        <f t="shared" si="22"/>
        <v>#REF!</v>
      </c>
      <c r="P41" s="225" t="e">
        <f t="shared" si="23"/>
        <v>#REF!</v>
      </c>
      <c r="Q41" s="225" t="e">
        <f t="shared" si="24"/>
        <v>#REF!</v>
      </c>
      <c r="R41" s="378" t="e">
        <f t="shared" si="25"/>
        <v>#REF!</v>
      </c>
      <c r="S41" s="380" t="e">
        <f t="shared" si="26"/>
        <v>#REF!</v>
      </c>
      <c r="T41" s="226" t="e">
        <f t="shared" si="27"/>
        <v>#REF!</v>
      </c>
      <c r="U41" s="226" t="e">
        <f t="shared" si="28"/>
        <v>#REF!</v>
      </c>
      <c r="V41" s="226" t="e">
        <f>Q41*$B41/1000</f>
        <v>#REF!</v>
      </c>
      <c r="W41" s="227" t="e">
        <f t="shared" si="30"/>
        <v>#REF!</v>
      </c>
      <c r="X41" s="695"/>
      <c r="Y41" s="216"/>
      <c r="Z41" s="216"/>
      <c r="AA41" s="216"/>
      <c r="AB41" s="216"/>
      <c r="AC41" s="216"/>
      <c r="AD41" s="216"/>
      <c r="AF41" s="216"/>
      <c r="AG41" s="216"/>
      <c r="AH41" s="216"/>
      <c r="AI41" s="216"/>
      <c r="AJ41" s="216"/>
      <c r="AK41" s="216"/>
    </row>
    <row r="42" spans="1:37" x14ac:dyDescent="0.3">
      <c r="A42" s="444" t="str">
        <f>'Resource impact template'!A10</f>
        <v>People receiving galcanezumab (subcutaneous injection)</v>
      </c>
      <c r="B42" s="225">
        <f>'Resource impact template'!B10</f>
        <v>0</v>
      </c>
      <c r="C42" s="225" t="e">
        <f>C$14*C36*'Assumptions input'!#REF!</f>
        <v>#REF!</v>
      </c>
      <c r="D42" s="225" t="e">
        <f>D$14*D36*'Assumptions input'!#REF!</f>
        <v>#REF!</v>
      </c>
      <c r="E42" s="225" t="e">
        <f>E$14*E36*'Assumptions input'!#REF!</f>
        <v>#REF!</v>
      </c>
      <c r="F42" s="225" t="e">
        <f>F$14*F36*'Assumptions input'!#REF!</f>
        <v>#REF!</v>
      </c>
      <c r="G42" s="225" t="e">
        <f>G$14*G36*'Assumptions input'!#REF!</f>
        <v>#REF!</v>
      </c>
      <c r="H42" s="796" t="e">
        <f>H$14*H36*'Assumptions input'!#REF!</f>
        <v>#REF!</v>
      </c>
      <c r="I42" s="796" t="e">
        <f>I$14*I36*'Assumptions input'!#REF!</f>
        <v>#REF!</v>
      </c>
      <c r="J42" s="796" t="e">
        <f>J$14*J36*'Assumptions input'!#REF!</f>
        <v>#REF!</v>
      </c>
      <c r="K42" s="796" t="e">
        <f>K$14*K36*'Assumptions input'!#REF!</f>
        <v>#REF!</v>
      </c>
      <c r="L42" s="796" t="e">
        <f>L$14*L36*'Assumptions input'!#REF!</f>
        <v>#REF!</v>
      </c>
      <c r="M42" s="386"/>
      <c r="N42" s="382" t="e">
        <f t="shared" si="21"/>
        <v>#REF!</v>
      </c>
      <c r="O42" s="225" t="e">
        <f t="shared" si="22"/>
        <v>#REF!</v>
      </c>
      <c r="P42" s="225" t="e">
        <f t="shared" si="23"/>
        <v>#REF!</v>
      </c>
      <c r="Q42" s="225" t="e">
        <f t="shared" si="24"/>
        <v>#REF!</v>
      </c>
      <c r="R42" s="378" t="e">
        <f t="shared" si="25"/>
        <v>#REF!</v>
      </c>
      <c r="S42" s="380" t="e">
        <f t="shared" si="26"/>
        <v>#REF!</v>
      </c>
      <c r="T42" s="226" t="e">
        <f t="shared" si="27"/>
        <v>#REF!</v>
      </c>
      <c r="U42" s="226" t="e">
        <f t="shared" si="28"/>
        <v>#REF!</v>
      </c>
      <c r="V42" s="226" t="e">
        <f t="shared" ref="V42:V44" si="31">Q42*$B42/1000</f>
        <v>#REF!</v>
      </c>
      <c r="W42" s="227" t="e">
        <f t="shared" si="30"/>
        <v>#REF!</v>
      </c>
      <c r="X42" s="695"/>
      <c r="Y42" s="216"/>
      <c r="Z42" s="216"/>
      <c r="AA42" s="216"/>
      <c r="AB42" s="216"/>
      <c r="AC42" s="216"/>
      <c r="AD42" s="216"/>
      <c r="AF42" s="216"/>
      <c r="AG42" s="216"/>
      <c r="AH42" s="216"/>
      <c r="AI42" s="216"/>
      <c r="AJ42" s="216"/>
      <c r="AK42" s="216"/>
    </row>
    <row r="43" spans="1:37" x14ac:dyDescent="0.3">
      <c r="A43" s="444" t="str">
        <f>'Resource impact template'!A11</f>
        <v>People receiving fremanezumab (subcutaneous injection)</v>
      </c>
      <c r="B43" s="225">
        <f>'Resource impact template'!B11</f>
        <v>0</v>
      </c>
      <c r="C43" s="225" t="e">
        <f>C$14*C37*'Assumptions input'!#REF!</f>
        <v>#REF!</v>
      </c>
      <c r="D43" s="225" t="e">
        <f>D$14*D37*'Assumptions input'!#REF!</f>
        <v>#REF!</v>
      </c>
      <c r="E43" s="225" t="e">
        <f>E$14*E37*'Assumptions input'!#REF!</f>
        <v>#REF!</v>
      </c>
      <c r="F43" s="225" t="e">
        <f>F$14*F37*'Assumptions input'!#REF!</f>
        <v>#REF!</v>
      </c>
      <c r="G43" s="225" t="e">
        <f>G$14*G37*'Assumptions input'!#REF!</f>
        <v>#REF!</v>
      </c>
      <c r="H43" s="796" t="e">
        <f>H$14*H37*'Assumptions input'!#REF!</f>
        <v>#REF!</v>
      </c>
      <c r="I43" s="796" t="e">
        <f>I$14*I37*'Assumptions input'!#REF!</f>
        <v>#REF!</v>
      </c>
      <c r="J43" s="796" t="e">
        <f>J$14*J37*'Assumptions input'!#REF!</f>
        <v>#REF!</v>
      </c>
      <c r="K43" s="796" t="e">
        <f>K$14*K37*'Assumptions input'!#REF!</f>
        <v>#REF!</v>
      </c>
      <c r="L43" s="796" t="e">
        <f>L$14*L37*'Assumptions input'!#REF!</f>
        <v>#REF!</v>
      </c>
      <c r="M43" s="386"/>
      <c r="N43" s="382" t="e">
        <f t="shared" si="21"/>
        <v>#REF!</v>
      </c>
      <c r="O43" s="225" t="e">
        <f t="shared" si="22"/>
        <v>#REF!</v>
      </c>
      <c r="P43" s="225" t="e">
        <f t="shared" si="23"/>
        <v>#REF!</v>
      </c>
      <c r="Q43" s="225" t="e">
        <f t="shared" si="24"/>
        <v>#REF!</v>
      </c>
      <c r="R43" s="378" t="e">
        <f t="shared" si="25"/>
        <v>#REF!</v>
      </c>
      <c r="S43" s="380" t="e">
        <f t="shared" si="26"/>
        <v>#REF!</v>
      </c>
      <c r="T43" s="226" t="e">
        <f t="shared" si="27"/>
        <v>#REF!</v>
      </c>
      <c r="U43" s="226" t="e">
        <f t="shared" si="28"/>
        <v>#REF!</v>
      </c>
      <c r="V43" s="226" t="e">
        <f t="shared" si="31"/>
        <v>#REF!</v>
      </c>
      <c r="W43" s="227" t="e">
        <f t="shared" si="30"/>
        <v>#REF!</v>
      </c>
      <c r="X43" s="695"/>
      <c r="Y43" s="216"/>
      <c r="Z43" s="216"/>
      <c r="AA43" s="216"/>
      <c r="AB43" s="216"/>
      <c r="AC43" s="216"/>
      <c r="AD43" s="216"/>
      <c r="AF43" s="216"/>
      <c r="AG43" s="216"/>
      <c r="AH43" s="216"/>
      <c r="AI43" s="216"/>
      <c r="AJ43" s="216"/>
      <c r="AK43" s="216"/>
    </row>
    <row r="44" spans="1:37" x14ac:dyDescent="0.3">
      <c r="A44" s="444" t="str">
        <f>'Resource impact template'!A18</f>
        <v>People receiving Botox (IV infusion)</v>
      </c>
      <c r="B44" s="225">
        <f>'Unit costs'!H75</f>
        <v>0</v>
      </c>
      <c r="C44" s="225" t="e">
        <f>C14*C38*'Assumptions input'!#REF!</f>
        <v>#REF!</v>
      </c>
      <c r="D44" s="225" t="e">
        <f>D14*D38*'Assumptions input'!#REF!</f>
        <v>#REF!</v>
      </c>
      <c r="E44" s="225" t="e">
        <f>E14*E38*'Assumptions input'!#REF!</f>
        <v>#REF!</v>
      </c>
      <c r="F44" s="225" t="e">
        <f>F14*F38*'Assumptions input'!#REF!</f>
        <v>#REF!</v>
      </c>
      <c r="G44" s="225" t="e">
        <f>G14*G38*'Assumptions input'!#REF!</f>
        <v>#REF!</v>
      </c>
      <c r="H44" s="225" t="e">
        <f>H14*H38*'Assumptions input'!#REF!</f>
        <v>#REF!</v>
      </c>
      <c r="I44" s="225" t="e">
        <f>I14*I38*'Assumptions input'!#REF!</f>
        <v>#REF!</v>
      </c>
      <c r="J44" s="225" t="e">
        <f>J14*J38*'Assumptions input'!#REF!</f>
        <v>#REF!</v>
      </c>
      <c r="K44" s="225" t="e">
        <f>K14*K38*'Assumptions input'!#REF!</f>
        <v>#REF!</v>
      </c>
      <c r="L44" s="225" t="e">
        <f>L14*L38*'Assumptions input'!#REF!</f>
        <v>#REF!</v>
      </c>
      <c r="M44" s="386"/>
      <c r="N44" s="382" t="e">
        <f t="shared" si="21"/>
        <v>#REF!</v>
      </c>
      <c r="O44" s="225" t="e">
        <f t="shared" si="22"/>
        <v>#REF!</v>
      </c>
      <c r="P44" s="225" t="e">
        <f t="shared" si="23"/>
        <v>#REF!</v>
      </c>
      <c r="Q44" s="225" t="e">
        <f t="shared" si="24"/>
        <v>#REF!</v>
      </c>
      <c r="R44" s="378" t="e">
        <f t="shared" si="25"/>
        <v>#REF!</v>
      </c>
      <c r="S44" s="380" t="e">
        <f t="shared" si="26"/>
        <v>#REF!</v>
      </c>
      <c r="T44" s="226" t="e">
        <f t="shared" si="27"/>
        <v>#REF!</v>
      </c>
      <c r="U44" s="226" t="e">
        <f t="shared" si="28"/>
        <v>#REF!</v>
      </c>
      <c r="V44" s="226" t="e">
        <f t="shared" si="31"/>
        <v>#REF!</v>
      </c>
      <c r="W44" s="227" t="e">
        <f t="shared" si="30"/>
        <v>#REF!</v>
      </c>
      <c r="X44" s="695"/>
      <c r="Y44" s="216"/>
      <c r="Z44" s="216"/>
      <c r="AA44" s="216"/>
      <c r="AB44" s="216"/>
      <c r="AC44" s="216"/>
      <c r="AD44" s="216"/>
      <c r="AF44" s="216"/>
      <c r="AG44" s="216"/>
      <c r="AH44" s="216"/>
      <c r="AI44" s="216"/>
      <c r="AJ44" s="216"/>
      <c r="AK44" s="216"/>
    </row>
    <row r="45" spans="1:37" ht="15" thickBot="1" x14ac:dyDescent="0.35">
      <c r="A45" s="526" t="s">
        <v>848</v>
      </c>
      <c r="B45" s="229"/>
      <c r="C45" s="228" t="e">
        <f t="shared" ref="C45:L45" si="32">SUM(C40:C44)</f>
        <v>#REF!</v>
      </c>
      <c r="D45" s="228" t="e">
        <f t="shared" si="32"/>
        <v>#REF!</v>
      </c>
      <c r="E45" s="228" t="e">
        <f t="shared" si="32"/>
        <v>#REF!</v>
      </c>
      <c r="F45" s="228" t="e">
        <f t="shared" si="32"/>
        <v>#REF!</v>
      </c>
      <c r="G45" s="379" t="e">
        <f t="shared" si="32"/>
        <v>#REF!</v>
      </c>
      <c r="H45" s="461" t="e">
        <f t="shared" si="32"/>
        <v>#REF!</v>
      </c>
      <c r="I45" s="464" t="e">
        <f t="shared" si="32"/>
        <v>#REF!</v>
      </c>
      <c r="J45" s="464" t="e">
        <f t="shared" si="32"/>
        <v>#REF!</v>
      </c>
      <c r="K45" s="464" t="e">
        <f t="shared" si="32"/>
        <v>#REF!</v>
      </c>
      <c r="L45" s="463" t="e">
        <f t="shared" si="32"/>
        <v>#REF!</v>
      </c>
      <c r="M45" s="387"/>
      <c r="N45" s="383" t="e">
        <f>SUM(N40:N44)</f>
        <v>#REF!</v>
      </c>
      <c r="O45" s="228" t="e">
        <f>SUM(O40:O44)</f>
        <v>#REF!</v>
      </c>
      <c r="P45" s="228" t="e">
        <f>SUM(P40:P44)</f>
        <v>#REF!</v>
      </c>
      <c r="Q45" s="228" t="e">
        <f>SUM(Q40:Q44)</f>
        <v>#REF!</v>
      </c>
      <c r="R45" s="379" t="e">
        <f>SUM(R40:R44)</f>
        <v>#REF!</v>
      </c>
      <c r="S45" s="381" t="e">
        <f>SUM(S32:S44)</f>
        <v>#REF!</v>
      </c>
      <c r="T45" s="381" t="e">
        <f>SUM(T32:T44)</f>
        <v>#REF!</v>
      </c>
      <c r="U45" s="381" t="e">
        <f>SUM(U32:U44)</f>
        <v>#REF!</v>
      </c>
      <c r="V45" s="381" t="e">
        <f>SUM(V32:V44)</f>
        <v>#REF!</v>
      </c>
      <c r="W45" s="381" t="e">
        <f>SUM(W32:W44)</f>
        <v>#REF!</v>
      </c>
      <c r="X45" s="695"/>
      <c r="Y45" s="216" t="e">
        <f>C45</f>
        <v>#REF!</v>
      </c>
      <c r="Z45" s="216" t="e">
        <f t="shared" ref="Z45:AD45" si="33">C45+N45</f>
        <v>#REF!</v>
      </c>
      <c r="AA45" s="216" t="e">
        <f t="shared" si="33"/>
        <v>#REF!</v>
      </c>
      <c r="AB45" s="216" t="e">
        <f t="shared" si="33"/>
        <v>#REF!</v>
      </c>
      <c r="AC45" s="216" t="e">
        <f t="shared" si="33"/>
        <v>#REF!</v>
      </c>
      <c r="AD45" s="216" t="e">
        <f t="shared" si="33"/>
        <v>#REF!</v>
      </c>
      <c r="AF45" s="216" t="e">
        <f>(C45*B45)/1000</f>
        <v>#REF!</v>
      </c>
      <c r="AG45" s="216" t="e">
        <f>$AF45+S45</f>
        <v>#REF!</v>
      </c>
      <c r="AH45" s="216" t="e">
        <f t="shared" ref="AH45:AK45" si="34">$AF45+T45</f>
        <v>#REF!</v>
      </c>
      <c r="AI45" s="216" t="e">
        <f t="shared" si="34"/>
        <v>#REF!</v>
      </c>
      <c r="AJ45" s="216" t="e">
        <f t="shared" si="34"/>
        <v>#REF!</v>
      </c>
      <c r="AK45" s="216" t="e">
        <f t="shared" si="34"/>
        <v>#REF!</v>
      </c>
    </row>
    <row r="46" spans="1:37" ht="15" thickBot="1" x14ac:dyDescent="0.35">
      <c r="A46" s="824" t="s">
        <v>826</v>
      </c>
      <c r="B46" s="787" t="s">
        <v>3</v>
      </c>
      <c r="C46" s="807" t="e">
        <f>C45+C32</f>
        <v>#REF!</v>
      </c>
      <c r="D46" s="807" t="e">
        <f t="shared" ref="D46:G46" si="35">D45+D32</f>
        <v>#REF!</v>
      </c>
      <c r="E46" s="807" t="e">
        <f t="shared" si="35"/>
        <v>#REF!</v>
      </c>
      <c r="F46" s="807" t="e">
        <f t="shared" si="35"/>
        <v>#REF!</v>
      </c>
      <c r="G46" s="807" t="e">
        <f t="shared" si="35"/>
        <v>#REF!</v>
      </c>
      <c r="H46" s="788" t="e">
        <f>H45+H32</f>
        <v>#REF!</v>
      </c>
      <c r="I46" s="807" t="e">
        <f t="shared" ref="I46" si="36">I45+I32</f>
        <v>#REF!</v>
      </c>
      <c r="J46" s="807" t="e">
        <f t="shared" ref="J46" si="37">J45+J32</f>
        <v>#REF!</v>
      </c>
      <c r="K46" s="807" t="e">
        <f t="shared" ref="K46" si="38">K45+K32</f>
        <v>#REF!</v>
      </c>
      <c r="L46" s="808" t="e">
        <f t="shared" ref="L46" si="39">L45+L32</f>
        <v>#REF!</v>
      </c>
      <c r="M46" s="375" t="s">
        <v>3</v>
      </c>
      <c r="N46" s="375" t="s">
        <v>3</v>
      </c>
      <c r="O46" s="375" t="s">
        <v>3</v>
      </c>
      <c r="P46" s="375" t="s">
        <v>3</v>
      </c>
      <c r="Q46" s="375" t="s">
        <v>3</v>
      </c>
      <c r="R46" s="375" t="s">
        <v>3</v>
      </c>
      <c r="S46" s="375" t="s">
        <v>3</v>
      </c>
      <c r="T46" s="375" t="s">
        <v>3</v>
      </c>
      <c r="U46" s="375" t="s">
        <v>3</v>
      </c>
      <c r="V46" s="375" t="s">
        <v>3</v>
      </c>
      <c r="W46" s="375" t="s">
        <v>3</v>
      </c>
      <c r="X46" s="697"/>
      <c r="AG46" s="216" t="e">
        <f>#REF!-#REF!</f>
        <v>#REF!</v>
      </c>
      <c r="AH46" s="216" t="e">
        <f>#REF!-#REF!</f>
        <v>#REF!</v>
      </c>
      <c r="AI46" s="216" t="e">
        <f>#REF!-#REF!</f>
        <v>#REF!</v>
      </c>
      <c r="AJ46" s="216" t="e">
        <f>#REF!-#REF!</f>
        <v>#REF!</v>
      </c>
      <c r="AK46" s="216" t="e">
        <f>#REF!-#REF!</f>
        <v>#REF!</v>
      </c>
    </row>
    <row r="47" spans="1:37" ht="15" thickBot="1" x14ac:dyDescent="0.35">
      <c r="A47" s="692"/>
      <c r="B47" s="375"/>
      <c r="C47" s="375"/>
      <c r="D47" s="375"/>
      <c r="E47" s="375"/>
      <c r="F47" s="375"/>
      <c r="G47" s="375"/>
      <c r="H47" s="375"/>
      <c r="I47" s="375"/>
      <c r="J47" s="375"/>
      <c r="K47" s="375"/>
      <c r="L47" s="375"/>
      <c r="M47" s="375"/>
      <c r="N47" s="695"/>
      <c r="O47" s="375"/>
      <c r="P47" s="375"/>
      <c r="Q47" s="375"/>
      <c r="R47" s="375"/>
      <c r="S47" s="375"/>
      <c r="T47" s="375"/>
      <c r="U47" s="375"/>
      <c r="V47" s="375"/>
      <c r="W47" s="375"/>
      <c r="X47" s="697"/>
      <c r="AG47" s="216"/>
      <c r="AH47" s="216"/>
      <c r="AI47" s="216"/>
      <c r="AJ47" s="216"/>
      <c r="AK47" s="216"/>
    </row>
    <row r="48" spans="1:37" ht="86.4" x14ac:dyDescent="0.3">
      <c r="A48" s="525" t="s">
        <v>849</v>
      </c>
      <c r="B48" s="223" t="s">
        <v>476</v>
      </c>
      <c r="C48" s="420" t="s">
        <v>575</v>
      </c>
      <c r="D48" s="424" t="s">
        <v>576</v>
      </c>
      <c r="E48" s="424" t="s">
        <v>577</v>
      </c>
      <c r="F48" s="424" t="s">
        <v>578</v>
      </c>
      <c r="G48" s="422" t="s">
        <v>579</v>
      </c>
      <c r="H48" s="421" t="s">
        <v>580</v>
      </c>
      <c r="I48" s="425" t="s">
        <v>581</v>
      </c>
      <c r="J48" s="425" t="s">
        <v>582</v>
      </c>
      <c r="K48" s="425" t="s">
        <v>583</v>
      </c>
      <c r="L48" s="423" t="s">
        <v>584</v>
      </c>
      <c r="M48" s="384"/>
      <c r="N48" s="416" t="s">
        <v>565</v>
      </c>
      <c r="O48" s="417" t="s">
        <v>566</v>
      </c>
      <c r="P48" s="417" t="s">
        <v>567</v>
      </c>
      <c r="Q48" s="417" t="s">
        <v>568</v>
      </c>
      <c r="R48" s="416" t="s">
        <v>569</v>
      </c>
      <c r="S48" s="418" t="s">
        <v>570</v>
      </c>
      <c r="T48" s="417" t="s">
        <v>571</v>
      </c>
      <c r="U48" s="417" t="s">
        <v>572</v>
      </c>
      <c r="V48" s="417" t="s">
        <v>573</v>
      </c>
      <c r="W48" s="419" t="s">
        <v>574</v>
      </c>
      <c r="X48" s="697"/>
      <c r="AG48" s="216"/>
      <c r="AH48" s="216"/>
      <c r="AI48" s="216"/>
      <c r="AJ48" s="216"/>
      <c r="AK48" s="216"/>
    </row>
    <row r="49" spans="1:37" x14ac:dyDescent="0.3">
      <c r="A49" s="841" t="s">
        <v>874</v>
      </c>
      <c r="B49" s="240"/>
      <c r="C49" s="797"/>
      <c r="D49" s="797"/>
      <c r="E49" s="797"/>
      <c r="F49" s="797"/>
      <c r="G49" s="691"/>
      <c r="H49" s="798"/>
      <c r="I49" s="797"/>
      <c r="J49" s="797"/>
      <c r="K49" s="797"/>
      <c r="L49" s="798"/>
      <c r="M49" s="386"/>
      <c r="N49" s="748"/>
      <c r="O49" s="758"/>
      <c r="P49" s="758"/>
      <c r="Q49" s="758"/>
      <c r="R49" s="748"/>
      <c r="S49" s="447"/>
      <c r="T49" s="758"/>
      <c r="U49" s="758"/>
      <c r="V49" s="758"/>
      <c r="W49" s="448"/>
      <c r="X49" s="697"/>
      <c r="AG49" s="216"/>
      <c r="AH49" s="216"/>
      <c r="AI49" s="216"/>
      <c r="AJ49" s="216"/>
      <c r="AK49" s="216"/>
    </row>
    <row r="50" spans="1:37" x14ac:dyDescent="0.3">
      <c r="A50" s="444" t="e">
        <f>'Resource impact template'!#REF!</f>
        <v>#REF!</v>
      </c>
      <c r="B50" s="240" t="e">
        <f>'Resource impact template'!#REF!</f>
        <v>#REF!</v>
      </c>
      <c r="C50" s="804"/>
      <c r="D50" s="804"/>
      <c r="E50" s="804"/>
      <c r="F50" s="804"/>
      <c r="G50" s="805"/>
      <c r="H50" s="794" t="e">
        <f>H13*H20*'Assumptions input'!#REF!*'Assumptions input'!#REF!/4</f>
        <v>#REF!</v>
      </c>
      <c r="I50" s="794" t="e">
        <f>I13*I20*'Assumptions input'!#REF!*'Assumptions input'!#REF!/4</f>
        <v>#REF!</v>
      </c>
      <c r="J50" s="794" t="e">
        <f>J13*J20*'Assumptions input'!#REF!*'Assumptions input'!#REF!/4</f>
        <v>#REF!</v>
      </c>
      <c r="K50" s="794" t="e">
        <f>K13*K20*'Assumptions input'!#REF!*'Assumptions input'!#REF!/4</f>
        <v>#REF!</v>
      </c>
      <c r="L50" s="794" t="e">
        <f>L13*L20*'Assumptions input'!#REF!*'Assumptions input'!#REF!/4</f>
        <v>#REF!</v>
      </c>
      <c r="M50" s="386"/>
      <c r="N50" s="382" t="e">
        <f t="shared" ref="N50:R51" si="40">H50-C50</f>
        <v>#REF!</v>
      </c>
      <c r="O50" s="225" t="e">
        <f t="shared" si="40"/>
        <v>#REF!</v>
      </c>
      <c r="P50" s="225" t="e">
        <f t="shared" si="40"/>
        <v>#REF!</v>
      </c>
      <c r="Q50" s="225" t="e">
        <f t="shared" si="40"/>
        <v>#REF!</v>
      </c>
      <c r="R50" s="378" t="e">
        <f t="shared" si="40"/>
        <v>#REF!</v>
      </c>
      <c r="S50" s="380" t="e">
        <f>N50*$B50/1000</f>
        <v>#REF!</v>
      </c>
      <c r="T50" s="226" t="e">
        <f t="shared" ref="T50" si="41">O50*$B50/1000</f>
        <v>#REF!</v>
      </c>
      <c r="U50" s="226" t="e">
        <f t="shared" ref="U50" si="42">P50*$B50/1000</f>
        <v>#REF!</v>
      </c>
      <c r="V50" s="226" t="e">
        <f t="shared" ref="V50" si="43">Q50*$B50/1000</f>
        <v>#REF!</v>
      </c>
      <c r="W50" s="227" t="e">
        <f t="shared" ref="W50" si="44">R50*$B50/1000</f>
        <v>#REF!</v>
      </c>
      <c r="X50" s="697"/>
      <c r="AG50" s="216"/>
      <c r="AH50" s="216"/>
      <c r="AI50" s="216"/>
      <c r="AJ50" s="216"/>
      <c r="AK50" s="216"/>
    </row>
    <row r="51" spans="1:37" x14ac:dyDescent="0.3">
      <c r="A51" s="444" t="e">
        <f>'Resource impact template'!#REF!</f>
        <v>#REF!</v>
      </c>
      <c r="B51" s="224" t="e">
        <f>'Resource impact template'!#REF!</f>
        <v>#REF!</v>
      </c>
      <c r="C51" s="225" t="e">
        <f>C13*C21*'Assumptions input'!#REF!*'Assumptions input'!#REF!/1</f>
        <v>#REF!</v>
      </c>
      <c r="D51" s="225" t="e">
        <f>D13*D21*'Assumptions input'!#REF!*'Assumptions input'!#REF!/2</f>
        <v>#REF!</v>
      </c>
      <c r="E51" s="225" t="e">
        <f>E13*E21*'Assumptions input'!#REF!*'Assumptions input'!#REF!/3</f>
        <v>#REF!</v>
      </c>
      <c r="F51" s="225" t="e">
        <f>F13*F21*'Assumptions input'!#REF!*'Assumptions input'!#REF!</f>
        <v>#REF!</v>
      </c>
      <c r="G51" s="462" t="e">
        <f>G13*G21*'Assumptions input'!#REF!*'Assumptions input'!#REF!</f>
        <v>#REF!</v>
      </c>
      <c r="H51" s="225" t="e">
        <f>H13*H21*'Assumptions input'!#REF!*'Assumptions input'!#REF!/4</f>
        <v>#REF!</v>
      </c>
      <c r="I51" s="225" t="e">
        <f>I13*I21*'Assumptions input'!#REF!*'Assumptions input'!#REF!/4</f>
        <v>#REF!</v>
      </c>
      <c r="J51" s="225" t="e">
        <f>J13*J21*'Assumptions input'!#REF!*'Assumptions input'!#REF!/4</f>
        <v>#REF!</v>
      </c>
      <c r="K51" s="225" t="e">
        <f>K13*K21*'Assumptions input'!#REF!*'Assumptions input'!#REF!</f>
        <v>#REF!</v>
      </c>
      <c r="L51" s="462" t="e">
        <f>L13*L21*'Assumptions input'!#REF!*'Assumptions input'!#REF!</f>
        <v>#REF!</v>
      </c>
      <c r="M51" s="386"/>
      <c r="N51" s="382" t="e">
        <f t="shared" si="40"/>
        <v>#REF!</v>
      </c>
      <c r="O51" s="225" t="e">
        <f t="shared" si="40"/>
        <v>#REF!</v>
      </c>
      <c r="P51" s="225" t="e">
        <f t="shared" si="40"/>
        <v>#REF!</v>
      </c>
      <c r="Q51" s="225" t="e">
        <f t="shared" si="40"/>
        <v>#REF!</v>
      </c>
      <c r="R51" s="378" t="e">
        <f t="shared" si="40"/>
        <v>#REF!</v>
      </c>
      <c r="S51" s="380" t="e">
        <f>N51*$B51/1000</f>
        <v>#REF!</v>
      </c>
      <c r="T51" s="226" t="e">
        <f t="shared" ref="T51:T54" si="45">O51*$B51/1000</f>
        <v>#REF!</v>
      </c>
      <c r="U51" s="226" t="e">
        <f t="shared" ref="U51:U54" si="46">P51*$B51/1000</f>
        <v>#REF!</v>
      </c>
      <c r="V51" s="226" t="e">
        <f t="shared" ref="V51:V52" si="47">Q51*$B51/1000</f>
        <v>#REF!</v>
      </c>
      <c r="W51" s="227" t="e">
        <f t="shared" ref="W51:W54" si="48">R51*$B51/1000</f>
        <v>#REF!</v>
      </c>
      <c r="X51" s="697"/>
      <c r="AG51" s="216"/>
      <c r="AH51" s="216"/>
      <c r="AI51" s="216"/>
      <c r="AJ51" s="216"/>
      <c r="AK51" s="216"/>
    </row>
    <row r="52" spans="1:37" x14ac:dyDescent="0.3">
      <c r="A52" s="444" t="str">
        <f>A41</f>
        <v>People receiving erenumab (subcutaneous injection)</v>
      </c>
      <c r="B52" s="224" t="e">
        <f>'Resource impact template'!#REF!</f>
        <v>#REF!</v>
      </c>
      <c r="C52" s="796" t="e">
        <f>C13*C22*'Assumptions input'!#REF!*'Assumptions input'!#REF!/4</f>
        <v>#REF!</v>
      </c>
      <c r="D52" s="796" t="e">
        <f>D13*D22*'Assumptions input'!#REF!*'Assumptions input'!#REF!/4</f>
        <v>#REF!</v>
      </c>
      <c r="E52" s="796" t="e">
        <f>E13*E22*'Assumptions input'!#REF!*'Assumptions input'!#REF!/4</f>
        <v>#REF!</v>
      </c>
      <c r="F52" s="796" t="e">
        <f>F13*F22*'Assumptions input'!#REF!*'Assumptions input'!#REF!/4</f>
        <v>#REF!</v>
      </c>
      <c r="G52" s="462" t="e">
        <f>G13*G22*'Assumptions input'!#REF!*'Assumptions input'!#REF!/4</f>
        <v>#REF!</v>
      </c>
      <c r="H52" s="796" t="e">
        <f>H13*H22*'Assumptions input'!#REF!*'Assumptions input'!#REF!/4</f>
        <v>#REF!</v>
      </c>
      <c r="I52" s="796" t="e">
        <f>I13*I22*'Assumptions input'!#REF!*'Assumptions input'!#REF!/4</f>
        <v>#REF!</v>
      </c>
      <c r="J52" s="796" t="e">
        <f>J13*J22*'Assumptions input'!#REF!*'Assumptions input'!#REF!/4</f>
        <v>#REF!</v>
      </c>
      <c r="K52" s="796" t="e">
        <f>K13*K22*'Assumptions input'!#REF!*'Assumptions input'!#REF!/4</f>
        <v>#REF!</v>
      </c>
      <c r="L52" s="796" t="e">
        <f>L13*L22*'Assumptions input'!#REF!*'Assumptions input'!#REF!/4</f>
        <v>#REF!</v>
      </c>
      <c r="M52" s="386"/>
      <c r="N52" s="382" t="e">
        <f t="shared" ref="N52:N54" si="49">H52-C52</f>
        <v>#REF!</v>
      </c>
      <c r="O52" s="225" t="e">
        <f t="shared" ref="O52:O54" si="50">I52-D52</f>
        <v>#REF!</v>
      </c>
      <c r="P52" s="225" t="e">
        <f t="shared" ref="P52:P54" si="51">J52-E52</f>
        <v>#REF!</v>
      </c>
      <c r="Q52" s="225" t="e">
        <f t="shared" ref="Q52:Q54" si="52">K52-F52</f>
        <v>#REF!</v>
      </c>
      <c r="R52" s="378" t="e">
        <f t="shared" ref="R52:R54" si="53">L52-G52</f>
        <v>#REF!</v>
      </c>
      <c r="S52" s="380" t="e">
        <f t="shared" ref="S52:S54" si="54">N52*$B52/1000</f>
        <v>#REF!</v>
      </c>
      <c r="T52" s="226" t="e">
        <f t="shared" si="45"/>
        <v>#REF!</v>
      </c>
      <c r="U52" s="226" t="e">
        <f t="shared" si="46"/>
        <v>#REF!</v>
      </c>
      <c r="V52" s="226" t="e">
        <f t="shared" si="47"/>
        <v>#REF!</v>
      </c>
      <c r="W52" s="227" t="e">
        <f t="shared" si="48"/>
        <v>#REF!</v>
      </c>
      <c r="X52" s="697"/>
      <c r="AG52" s="216"/>
      <c r="AH52" s="216"/>
      <c r="AI52" s="216"/>
      <c r="AJ52" s="216"/>
      <c r="AK52" s="216"/>
    </row>
    <row r="53" spans="1:37" x14ac:dyDescent="0.3">
      <c r="A53" s="444" t="str">
        <f>A42</f>
        <v>People receiving galcanezumab (subcutaneous injection)</v>
      </c>
      <c r="B53" s="224" t="e">
        <f>'Resource impact template'!#REF!</f>
        <v>#REF!</v>
      </c>
      <c r="C53" s="796" t="e">
        <f>C13*C23*'Assumptions input'!#REF!*'Assumptions input'!#REF!/4</f>
        <v>#REF!</v>
      </c>
      <c r="D53" s="796" t="e">
        <f>D13*D23*'Assumptions input'!#REF!*'Assumptions input'!#REF!/4</f>
        <v>#REF!</v>
      </c>
      <c r="E53" s="796" t="e">
        <f>E13*E23*'Assumptions input'!#REF!*'Assumptions input'!#REF!/4</f>
        <v>#REF!</v>
      </c>
      <c r="F53" s="796" t="e">
        <f>F13*F23*'Assumptions input'!#REF!*'Assumptions input'!#REF!/4</f>
        <v>#REF!</v>
      </c>
      <c r="G53" s="462" t="e">
        <f>G13*G23*'Assumptions input'!#REF!*'Assumptions input'!#REF!/4</f>
        <v>#REF!</v>
      </c>
      <c r="H53" s="796" t="e">
        <f>H13*H23*'Assumptions input'!#REF!*'Assumptions input'!#REF!/4</f>
        <v>#REF!</v>
      </c>
      <c r="I53" s="796" t="e">
        <f>I13*I23*'Assumptions input'!#REF!*'Assumptions input'!#REF!/4</f>
        <v>#REF!</v>
      </c>
      <c r="J53" s="796" t="e">
        <f>J13*J23*'Assumptions input'!#REF!*'Assumptions input'!#REF!/4</f>
        <v>#REF!</v>
      </c>
      <c r="K53" s="796" t="e">
        <f>K13*K23*'Assumptions input'!#REF!*'Assumptions input'!#REF!/4</f>
        <v>#REF!</v>
      </c>
      <c r="L53" s="796" t="e">
        <f>L13*L23*'Assumptions input'!#REF!*'Assumptions input'!#REF!/4</f>
        <v>#REF!</v>
      </c>
      <c r="M53" s="386"/>
      <c r="N53" s="382" t="e">
        <f t="shared" si="49"/>
        <v>#REF!</v>
      </c>
      <c r="O53" s="225" t="e">
        <f t="shared" si="50"/>
        <v>#REF!</v>
      </c>
      <c r="P53" s="225" t="e">
        <f t="shared" si="51"/>
        <v>#REF!</v>
      </c>
      <c r="Q53" s="225" t="e">
        <f t="shared" si="52"/>
        <v>#REF!</v>
      </c>
      <c r="R53" s="378" t="e">
        <f t="shared" si="53"/>
        <v>#REF!</v>
      </c>
      <c r="S53" s="380" t="e">
        <f t="shared" si="54"/>
        <v>#REF!</v>
      </c>
      <c r="T53" s="226" t="e">
        <f t="shared" si="45"/>
        <v>#REF!</v>
      </c>
      <c r="U53" s="226" t="e">
        <f t="shared" si="46"/>
        <v>#REF!</v>
      </c>
      <c r="V53" s="226" t="e">
        <f>Q53*$B53/1000</f>
        <v>#REF!</v>
      </c>
      <c r="W53" s="227" t="e">
        <f t="shared" si="48"/>
        <v>#REF!</v>
      </c>
      <c r="X53" s="697"/>
      <c r="AG53" s="216"/>
      <c r="AH53" s="216"/>
      <c r="AI53" s="216"/>
      <c r="AJ53" s="216"/>
      <c r="AK53" s="216"/>
    </row>
    <row r="54" spans="1:37" x14ac:dyDescent="0.3">
      <c r="A54" s="444" t="str">
        <f>A43</f>
        <v>People receiving fremanezumab (subcutaneous injection)</v>
      </c>
      <c r="B54" s="224" t="e">
        <f>'Resource impact template'!#REF!</f>
        <v>#REF!</v>
      </c>
      <c r="C54" s="796" t="e">
        <f>C13*C24*'Assumptions input'!#REF!*'Assumptions input'!#REF!/4</f>
        <v>#REF!</v>
      </c>
      <c r="D54" s="796" t="e">
        <f>D13*D24*'Assumptions input'!#REF!*'Assumptions input'!#REF!/4</f>
        <v>#REF!</v>
      </c>
      <c r="E54" s="796" t="e">
        <f>E13*E24*'Assumptions input'!#REF!*'Assumptions input'!#REF!/4</f>
        <v>#REF!</v>
      </c>
      <c r="F54" s="796" t="e">
        <f>F13*F24*'Assumptions input'!#REF!*'Assumptions input'!#REF!/4</f>
        <v>#REF!</v>
      </c>
      <c r="G54" s="462" t="e">
        <f>G13*G24*'Assumptions input'!#REF!*'Assumptions input'!#REF!/4</f>
        <v>#REF!</v>
      </c>
      <c r="H54" s="796" t="e">
        <f>H13*H24*'Assumptions input'!#REF!*'Assumptions input'!#REF!/4</f>
        <v>#REF!</v>
      </c>
      <c r="I54" s="796" t="e">
        <f>I13*I24*'Assumptions input'!#REF!*'Assumptions input'!#REF!/4</f>
        <v>#REF!</v>
      </c>
      <c r="J54" s="796" t="e">
        <f>J13*J24*'Assumptions input'!#REF!*'Assumptions input'!#REF!/4</f>
        <v>#REF!</v>
      </c>
      <c r="K54" s="796" t="e">
        <f>K13*K24*'Assumptions input'!#REF!*'Assumptions input'!#REF!/4</f>
        <v>#REF!</v>
      </c>
      <c r="L54" s="796" t="e">
        <f>L13*L24*'Assumptions input'!#REF!*'Assumptions input'!#REF!/4</f>
        <v>#REF!</v>
      </c>
      <c r="M54" s="386"/>
      <c r="N54" s="382" t="e">
        <f t="shared" si="49"/>
        <v>#REF!</v>
      </c>
      <c r="O54" s="225" t="e">
        <f t="shared" si="50"/>
        <v>#REF!</v>
      </c>
      <c r="P54" s="225" t="e">
        <f t="shared" si="51"/>
        <v>#REF!</v>
      </c>
      <c r="Q54" s="225" t="e">
        <f t="shared" si="52"/>
        <v>#REF!</v>
      </c>
      <c r="R54" s="378" t="e">
        <f t="shared" si="53"/>
        <v>#REF!</v>
      </c>
      <c r="S54" s="380" t="e">
        <f t="shared" si="54"/>
        <v>#REF!</v>
      </c>
      <c r="T54" s="226" t="e">
        <f t="shared" si="45"/>
        <v>#REF!</v>
      </c>
      <c r="U54" s="226" t="e">
        <f t="shared" si="46"/>
        <v>#REF!</v>
      </c>
      <c r="V54" s="226" t="e">
        <f t="shared" ref="V54" si="55">Q54*$B54/1000</f>
        <v>#REF!</v>
      </c>
      <c r="W54" s="227" t="e">
        <f t="shared" si="48"/>
        <v>#REF!</v>
      </c>
      <c r="X54" s="697"/>
      <c r="AG54" s="216"/>
      <c r="AH54" s="216"/>
      <c r="AI54" s="216"/>
      <c r="AJ54" s="216"/>
      <c r="AK54" s="216"/>
    </row>
    <row r="55" spans="1:37" x14ac:dyDescent="0.3">
      <c r="A55" s="841" t="s">
        <v>825</v>
      </c>
      <c r="B55" s="799"/>
      <c r="C55" s="730"/>
      <c r="D55" s="730"/>
      <c r="E55" s="730"/>
      <c r="F55" s="730"/>
      <c r="G55" s="462"/>
      <c r="H55" s="796"/>
      <c r="I55" s="796"/>
      <c r="J55" s="796"/>
      <c r="K55" s="796"/>
      <c r="L55" s="796"/>
      <c r="M55" s="386"/>
      <c r="N55" s="796"/>
      <c r="O55" s="730"/>
      <c r="P55" s="730"/>
      <c r="Q55" s="730"/>
      <c r="R55" s="729"/>
      <c r="S55" s="380"/>
      <c r="T55" s="790"/>
      <c r="U55" s="790"/>
      <c r="V55" s="790"/>
      <c r="W55" s="227"/>
      <c r="X55" s="697"/>
      <c r="AG55" s="216"/>
      <c r="AH55" s="216"/>
      <c r="AI55" s="216"/>
      <c r="AJ55" s="216"/>
      <c r="AK55" s="216"/>
    </row>
    <row r="56" spans="1:37" x14ac:dyDescent="0.3">
      <c r="A56" s="444" t="e">
        <f>'Resource impact template'!#REF!</f>
        <v>#REF!</v>
      </c>
      <c r="B56" s="799" t="e">
        <f>'Resource impact template'!#REF!</f>
        <v>#REF!</v>
      </c>
      <c r="C56" s="730" t="e">
        <f>C14*C34*'Assumptions input'!#REF!</f>
        <v>#REF!</v>
      </c>
      <c r="D56" s="730" t="e">
        <f>D14*D34*'Assumptions input'!#REF!</f>
        <v>#REF!</v>
      </c>
      <c r="E56" s="730" t="e">
        <f>E14*E34*'Assumptions input'!#REF!</f>
        <v>#REF!</v>
      </c>
      <c r="F56" s="730" t="e">
        <f>F14*F34*'Assumptions input'!#REF!</f>
        <v>#REF!</v>
      </c>
      <c r="G56" s="462" t="e">
        <f>G14*G34*'Assumptions input'!#REF!</f>
        <v>#REF!</v>
      </c>
      <c r="H56" s="796" t="e">
        <f>H14*H34*'Assumptions input'!#REF!</f>
        <v>#REF!</v>
      </c>
      <c r="I56" s="730" t="e">
        <f>I14*I34*'Assumptions input'!#REF!</f>
        <v>#REF!</v>
      </c>
      <c r="J56" s="730" t="e">
        <f>J14*J34*'Assumptions input'!#REF!</f>
        <v>#REF!</v>
      </c>
      <c r="K56" s="730" t="e">
        <f>K14*K34*'Assumptions input'!#REF!</f>
        <v>#REF!</v>
      </c>
      <c r="L56" s="730" t="e">
        <f>L14*L34*'Assumptions input'!#REF!</f>
        <v>#REF!</v>
      </c>
      <c r="M56" s="386"/>
      <c r="N56" s="382" t="e">
        <f t="shared" ref="N56:R57" si="56">H56-C56</f>
        <v>#REF!</v>
      </c>
      <c r="O56" s="225" t="e">
        <f t="shared" si="56"/>
        <v>#REF!</v>
      </c>
      <c r="P56" s="225" t="e">
        <f t="shared" si="56"/>
        <v>#REF!</v>
      </c>
      <c r="Q56" s="225" t="e">
        <f t="shared" si="56"/>
        <v>#REF!</v>
      </c>
      <c r="R56" s="378" t="e">
        <f t="shared" si="56"/>
        <v>#REF!</v>
      </c>
      <c r="S56" s="380" t="e">
        <f>N56*$B56/1000</f>
        <v>#REF!</v>
      </c>
      <c r="T56" s="226" t="e">
        <f t="shared" ref="T56:T60" si="57">O56*$B56/1000</f>
        <v>#REF!</v>
      </c>
      <c r="U56" s="226" t="e">
        <f t="shared" ref="U56:U60" si="58">P56*$B56/1000</f>
        <v>#REF!</v>
      </c>
      <c r="V56" s="226" t="e">
        <f t="shared" ref="V56:V58" si="59">Q56*$B56/1000</f>
        <v>#REF!</v>
      </c>
      <c r="W56" s="227" t="e">
        <f t="shared" ref="W56:W60" si="60">R56*$B56/1000</f>
        <v>#REF!</v>
      </c>
      <c r="X56" s="697"/>
      <c r="AG56" s="216"/>
      <c r="AH56" s="216"/>
      <c r="AI56" s="216"/>
      <c r="AJ56" s="216"/>
      <c r="AK56" s="216"/>
    </row>
    <row r="57" spans="1:37" x14ac:dyDescent="0.3">
      <c r="A57" s="444" t="e">
        <f>'Resource impact template'!#REF!</f>
        <v>#REF!</v>
      </c>
      <c r="B57" s="799" t="e">
        <f>'Resource impact template'!#REF!</f>
        <v>#REF!</v>
      </c>
      <c r="C57" s="730" t="e">
        <f>C$14*C35*'Assumptions input'!#REF!*'Assumptions input'!#REF!/4</f>
        <v>#REF!</v>
      </c>
      <c r="D57" s="730" t="e">
        <f>D$14*D35*'Assumptions input'!#REF!*'Assumptions input'!#REF!/4</f>
        <v>#REF!</v>
      </c>
      <c r="E57" s="730" t="e">
        <f>E$14*E35*'Assumptions input'!#REF!*'Assumptions input'!#REF!/4</f>
        <v>#REF!</v>
      </c>
      <c r="F57" s="730" t="e">
        <f>F$14*F35*'Assumptions input'!#REF!*'Assumptions input'!#REF!/4</f>
        <v>#REF!</v>
      </c>
      <c r="G57" s="462" t="e">
        <f>G$14*G35*'Assumptions input'!#REF!*'Assumptions input'!#REF!/4</f>
        <v>#REF!</v>
      </c>
      <c r="H57" s="796" t="e">
        <f>H$14*H35*'Assumptions input'!#REF!*'Assumptions input'!#REF!/4</f>
        <v>#REF!</v>
      </c>
      <c r="I57" s="730" t="e">
        <f>I$14*I35*'Assumptions input'!#REF!*'Assumptions input'!#REF!/4</f>
        <v>#REF!</v>
      </c>
      <c r="J57" s="730" t="e">
        <f>J$14*J35*'Assumptions input'!#REF!*'Assumptions input'!#REF!/4</f>
        <v>#REF!</v>
      </c>
      <c r="K57" s="730" t="e">
        <f>K$14*K35*'Assumptions input'!#REF!*'Assumptions input'!#REF!/4</f>
        <v>#REF!</v>
      </c>
      <c r="L57" s="730" t="e">
        <f>L$14*L35*'Assumptions input'!#REF!*'Assumptions input'!#REF!/4</f>
        <v>#REF!</v>
      </c>
      <c r="M57" s="386"/>
      <c r="N57" s="382" t="e">
        <f t="shared" si="56"/>
        <v>#REF!</v>
      </c>
      <c r="O57" s="225" t="e">
        <f t="shared" si="56"/>
        <v>#REF!</v>
      </c>
      <c r="P57" s="225" t="e">
        <f t="shared" si="56"/>
        <v>#REF!</v>
      </c>
      <c r="Q57" s="225" t="e">
        <f t="shared" si="56"/>
        <v>#REF!</v>
      </c>
      <c r="R57" s="378" t="e">
        <f t="shared" si="56"/>
        <v>#REF!</v>
      </c>
      <c r="S57" s="380" t="e">
        <f>N57*$B57/1000</f>
        <v>#REF!</v>
      </c>
      <c r="T57" s="226" t="e">
        <f t="shared" si="57"/>
        <v>#REF!</v>
      </c>
      <c r="U57" s="226" t="e">
        <f t="shared" si="58"/>
        <v>#REF!</v>
      </c>
      <c r="V57" s="226" t="e">
        <f t="shared" si="59"/>
        <v>#REF!</v>
      </c>
      <c r="W57" s="227" t="e">
        <f t="shared" si="60"/>
        <v>#REF!</v>
      </c>
      <c r="X57" s="697"/>
      <c r="AG57" s="216"/>
      <c r="AH57" s="216"/>
      <c r="AI57" s="216"/>
      <c r="AJ57" s="216"/>
      <c r="AK57" s="216"/>
    </row>
    <row r="58" spans="1:37" x14ac:dyDescent="0.3">
      <c r="A58" s="444" t="e">
        <f>'Resource impact template'!#REF!</f>
        <v>#REF!</v>
      </c>
      <c r="B58" s="799" t="e">
        <f>'Resource impact template'!#REF!</f>
        <v>#REF!</v>
      </c>
      <c r="C58" s="730" t="e">
        <f>C$14*C36*'Assumptions input'!#REF!*'Assumptions input'!#REF!/4</f>
        <v>#REF!</v>
      </c>
      <c r="D58" s="730" t="e">
        <f>D$14*D36*'Assumptions input'!#REF!*'Assumptions input'!#REF!/4</f>
        <v>#REF!</v>
      </c>
      <c r="E58" s="730" t="e">
        <f>E$14*E36*'Assumptions input'!#REF!*'Assumptions input'!#REF!/4</f>
        <v>#REF!</v>
      </c>
      <c r="F58" s="730" t="e">
        <f>F$14*F36*'Assumptions input'!#REF!*'Assumptions input'!#REF!/4</f>
        <v>#REF!</v>
      </c>
      <c r="G58" s="462" t="e">
        <f>G$14*G36*'Assumptions input'!#REF!*'Assumptions input'!#REF!/4</f>
        <v>#REF!</v>
      </c>
      <c r="H58" s="796" t="e">
        <f>H$14*H36*'Assumptions input'!#REF!*'Assumptions input'!#REF!/4</f>
        <v>#REF!</v>
      </c>
      <c r="I58" s="730" t="e">
        <f>I$14*I36*'Assumptions input'!#REF!*'Assumptions input'!#REF!/4</f>
        <v>#REF!</v>
      </c>
      <c r="J58" s="730" t="e">
        <f>J$14*J36*'Assumptions input'!#REF!*'Assumptions input'!#REF!/4</f>
        <v>#REF!</v>
      </c>
      <c r="K58" s="730" t="e">
        <f>K$14*K36*'Assumptions input'!#REF!*'Assumptions input'!#REF!/4</f>
        <v>#REF!</v>
      </c>
      <c r="L58" s="730" t="e">
        <f>L$14*L36*'Assumptions input'!#REF!*'Assumptions input'!#REF!/4</f>
        <v>#REF!</v>
      </c>
      <c r="M58" s="386"/>
      <c r="N58" s="382" t="e">
        <f t="shared" ref="N58:N60" si="61">H58-C58</f>
        <v>#REF!</v>
      </c>
      <c r="O58" s="225" t="e">
        <f t="shared" ref="O58:O60" si="62">I58-D58</f>
        <v>#REF!</v>
      </c>
      <c r="P58" s="225" t="e">
        <f t="shared" ref="P58:P60" si="63">J58-E58</f>
        <v>#REF!</v>
      </c>
      <c r="Q58" s="225" t="e">
        <f t="shared" ref="Q58:Q60" si="64">K58-F58</f>
        <v>#REF!</v>
      </c>
      <c r="R58" s="378" t="e">
        <f t="shared" ref="R58:R60" si="65">L58-G58</f>
        <v>#REF!</v>
      </c>
      <c r="S58" s="380" t="e">
        <f t="shared" ref="S58:S60" si="66">N58*$B58/1000</f>
        <v>#REF!</v>
      </c>
      <c r="T58" s="226" t="e">
        <f t="shared" si="57"/>
        <v>#REF!</v>
      </c>
      <c r="U58" s="226" t="e">
        <f t="shared" si="58"/>
        <v>#REF!</v>
      </c>
      <c r="V58" s="226" t="e">
        <f t="shared" si="59"/>
        <v>#REF!</v>
      </c>
      <c r="W58" s="227" t="e">
        <f t="shared" si="60"/>
        <v>#REF!</v>
      </c>
      <c r="X58" s="697"/>
      <c r="AG58" s="216"/>
      <c r="AH58" s="216"/>
      <c r="AI58" s="216"/>
      <c r="AJ58" s="216"/>
      <c r="AK58" s="216"/>
    </row>
    <row r="59" spans="1:37" x14ac:dyDescent="0.3">
      <c r="A59" s="444" t="e">
        <f>'Resource impact template'!#REF!</f>
        <v>#REF!</v>
      </c>
      <c r="B59" s="799" t="e">
        <f>'Resource impact template'!#REF!</f>
        <v>#REF!</v>
      </c>
      <c r="C59" s="730" t="e">
        <f>C$14*C37*'Assumptions input'!#REF!*'Assumptions input'!#REF!/4</f>
        <v>#REF!</v>
      </c>
      <c r="D59" s="730" t="e">
        <f>D$14*D37*'Assumptions input'!#REF!*'Assumptions input'!#REF!/4</f>
        <v>#REF!</v>
      </c>
      <c r="E59" s="730" t="e">
        <f>E$14*E37*'Assumptions input'!#REF!*'Assumptions input'!#REF!/4</f>
        <v>#REF!</v>
      </c>
      <c r="F59" s="730" t="e">
        <f>F$14*F37*'Assumptions input'!#REF!*'Assumptions input'!#REF!/4</f>
        <v>#REF!</v>
      </c>
      <c r="G59" s="462" t="e">
        <f>G$14*G37*'Assumptions input'!#REF!*'Assumptions input'!#REF!/4</f>
        <v>#REF!</v>
      </c>
      <c r="H59" s="796" t="e">
        <f>H$14*H37*'Assumptions input'!#REF!*'Assumptions input'!#REF!/4</f>
        <v>#REF!</v>
      </c>
      <c r="I59" s="730" t="e">
        <f>I$14*I37*'Assumptions input'!#REF!*'Assumptions input'!#REF!/4</f>
        <v>#REF!</v>
      </c>
      <c r="J59" s="730" t="e">
        <f>J$14*J37*'Assumptions input'!#REF!*'Assumptions input'!#REF!/4</f>
        <v>#REF!</v>
      </c>
      <c r="K59" s="730" t="e">
        <f>K$14*K37*'Assumptions input'!#REF!*'Assumptions input'!#REF!/4</f>
        <v>#REF!</v>
      </c>
      <c r="L59" s="730" t="e">
        <f>L$14*L37*'Assumptions input'!#REF!*'Assumptions input'!#REF!/4</f>
        <v>#REF!</v>
      </c>
      <c r="M59" s="386"/>
      <c r="N59" s="382" t="e">
        <f t="shared" si="61"/>
        <v>#REF!</v>
      </c>
      <c r="O59" s="225" t="e">
        <f t="shared" si="62"/>
        <v>#REF!</v>
      </c>
      <c r="P59" s="225" t="e">
        <f t="shared" si="63"/>
        <v>#REF!</v>
      </c>
      <c r="Q59" s="225" t="e">
        <f t="shared" si="64"/>
        <v>#REF!</v>
      </c>
      <c r="R59" s="378" t="e">
        <f t="shared" si="65"/>
        <v>#REF!</v>
      </c>
      <c r="S59" s="380" t="e">
        <f t="shared" si="66"/>
        <v>#REF!</v>
      </c>
      <c r="T59" s="226" t="e">
        <f t="shared" si="57"/>
        <v>#REF!</v>
      </c>
      <c r="U59" s="226" t="e">
        <f t="shared" si="58"/>
        <v>#REF!</v>
      </c>
      <c r="V59" s="226" t="e">
        <f>Q59*$B59/1000</f>
        <v>#REF!</v>
      </c>
      <c r="W59" s="227" t="e">
        <f t="shared" si="60"/>
        <v>#REF!</v>
      </c>
      <c r="X59" s="697"/>
      <c r="AG59" s="216"/>
      <c r="AH59" s="216"/>
      <c r="AI59" s="216"/>
      <c r="AJ59" s="216"/>
      <c r="AK59" s="216"/>
    </row>
    <row r="60" spans="1:37" x14ac:dyDescent="0.3">
      <c r="A60" s="444" t="str">
        <f>A44</f>
        <v>People receiving Botox (IV infusion)</v>
      </c>
      <c r="B60" s="224" t="e">
        <f>'Resource impact template'!#REF!</f>
        <v>#REF!</v>
      </c>
      <c r="C60" s="225" t="e">
        <f>C14*C38*'Assumptions input'!#REF!</f>
        <v>#REF!</v>
      </c>
      <c r="D60" s="225" t="e">
        <f>D14*D38*'Assumptions input'!#REF!</f>
        <v>#REF!</v>
      </c>
      <c r="E60" s="225" t="e">
        <f>E14*E38*'Assumptions input'!#REF!</f>
        <v>#REF!</v>
      </c>
      <c r="F60" s="225" t="e">
        <f>F14*F38*'Assumptions input'!#REF!</f>
        <v>#REF!</v>
      </c>
      <c r="G60" s="462" t="e">
        <f>G14*G38*'Assumptions input'!#REF!</f>
        <v>#REF!</v>
      </c>
      <c r="H60" s="796" t="e">
        <f>H14*H38*'Assumptions input'!#REF!</f>
        <v>#REF!</v>
      </c>
      <c r="I60" s="225" t="e">
        <f>I14*I38*'Assumptions input'!#REF!</f>
        <v>#REF!</v>
      </c>
      <c r="J60" s="225" t="e">
        <f>J14*J38*'Assumptions input'!#REF!</f>
        <v>#REF!</v>
      </c>
      <c r="K60" s="225" t="e">
        <f>K14*K38*'Assumptions input'!#REF!</f>
        <v>#REF!</v>
      </c>
      <c r="L60" s="225" t="e">
        <f>L14*L38*'Assumptions input'!#REF!</f>
        <v>#REF!</v>
      </c>
      <c r="M60" s="386"/>
      <c r="N60" s="382" t="e">
        <f t="shared" si="61"/>
        <v>#REF!</v>
      </c>
      <c r="O60" s="225" t="e">
        <f t="shared" si="62"/>
        <v>#REF!</v>
      </c>
      <c r="P60" s="225" t="e">
        <f t="shared" si="63"/>
        <v>#REF!</v>
      </c>
      <c r="Q60" s="225" t="e">
        <f t="shared" si="64"/>
        <v>#REF!</v>
      </c>
      <c r="R60" s="378" t="e">
        <f t="shared" si="65"/>
        <v>#REF!</v>
      </c>
      <c r="S60" s="380" t="e">
        <f t="shared" si="66"/>
        <v>#REF!</v>
      </c>
      <c r="T60" s="226" t="e">
        <f t="shared" si="57"/>
        <v>#REF!</v>
      </c>
      <c r="U60" s="226" t="e">
        <f t="shared" si="58"/>
        <v>#REF!</v>
      </c>
      <c r="V60" s="226" t="e">
        <f t="shared" ref="V60" si="67">Q60*$B60/1000</f>
        <v>#REF!</v>
      </c>
      <c r="W60" s="227" t="e">
        <f t="shared" si="60"/>
        <v>#REF!</v>
      </c>
      <c r="X60" s="697"/>
      <c r="AG60" s="216"/>
      <c r="AH60" s="216"/>
      <c r="AI60" s="216"/>
      <c r="AJ60" s="216"/>
      <c r="AK60" s="216"/>
    </row>
    <row r="61" spans="1:37" x14ac:dyDescent="0.3">
      <c r="A61" s="700" t="s">
        <v>850</v>
      </c>
      <c r="B61" s="835"/>
      <c r="C61" s="836" t="e">
        <f t="shared" ref="C61:L61" si="68">SUM(C50:C60)</f>
        <v>#REF!</v>
      </c>
      <c r="D61" s="836" t="e">
        <f t="shared" si="68"/>
        <v>#REF!</v>
      </c>
      <c r="E61" s="836" t="e">
        <f t="shared" si="68"/>
        <v>#REF!</v>
      </c>
      <c r="F61" s="836" t="e">
        <f t="shared" si="68"/>
        <v>#REF!</v>
      </c>
      <c r="G61" s="837" t="e">
        <f t="shared" si="68"/>
        <v>#REF!</v>
      </c>
      <c r="H61" s="857" t="e">
        <f t="shared" si="68"/>
        <v>#REF!</v>
      </c>
      <c r="I61" s="836" t="e">
        <f t="shared" si="68"/>
        <v>#REF!</v>
      </c>
      <c r="J61" s="836" t="e">
        <f t="shared" si="68"/>
        <v>#REF!</v>
      </c>
      <c r="K61" s="836" t="e">
        <f t="shared" si="68"/>
        <v>#REF!</v>
      </c>
      <c r="L61" s="837" t="e">
        <f t="shared" si="68"/>
        <v>#REF!</v>
      </c>
      <c r="M61" s="698"/>
      <c r="N61" s="838" t="e">
        <f>SUM(N51:N60)</f>
        <v>#REF!</v>
      </c>
      <c r="O61" s="831" t="e">
        <f>SUM(O51:O60)</f>
        <v>#REF!</v>
      </c>
      <c r="P61" s="831" t="e">
        <f>SUM(P51:P60)</f>
        <v>#REF!</v>
      </c>
      <c r="Q61" s="831" t="e">
        <f>SUM(Q51:Q60)</f>
        <v>#REF!</v>
      </c>
      <c r="R61" s="836" t="e">
        <f>SUM(R51:R60)</f>
        <v>#REF!</v>
      </c>
      <c r="S61" s="871" t="e">
        <f>SUM(S50:S60)</f>
        <v>#REF!</v>
      </c>
      <c r="T61" s="839" t="e">
        <f>SUM(T50:T60)</f>
        <v>#REF!</v>
      </c>
      <c r="U61" s="839" t="e">
        <f>SUM(U50:U60)</f>
        <v>#REF!</v>
      </c>
      <c r="V61" s="839" t="e">
        <f>SUM(V50:V60)</f>
        <v>#REF!</v>
      </c>
      <c r="W61" s="840" t="e">
        <f>SUM(W50:W60)</f>
        <v>#REF!</v>
      </c>
      <c r="X61" s="697"/>
      <c r="AG61" s="216"/>
      <c r="AH61" s="216"/>
      <c r="AI61" s="216"/>
      <c r="AJ61" s="216"/>
      <c r="AK61" s="216"/>
    </row>
    <row r="62" spans="1:37" x14ac:dyDescent="0.3">
      <c r="A62" s="823" t="s">
        <v>834</v>
      </c>
      <c r="B62" s="832"/>
      <c r="C62" s="833" t="e">
        <f t="shared" ref="C62:L62" si="69">C46+C61</f>
        <v>#REF!</v>
      </c>
      <c r="D62" s="833" t="e">
        <f t="shared" si="69"/>
        <v>#REF!</v>
      </c>
      <c r="E62" s="833" t="e">
        <f t="shared" si="69"/>
        <v>#REF!</v>
      </c>
      <c r="F62" s="833" t="e">
        <f t="shared" si="69"/>
        <v>#REF!</v>
      </c>
      <c r="G62" s="834" t="e">
        <f t="shared" si="69"/>
        <v>#REF!</v>
      </c>
      <c r="H62" s="858" t="e">
        <f t="shared" si="69"/>
        <v>#REF!</v>
      </c>
      <c r="I62" s="833" t="e">
        <f t="shared" si="69"/>
        <v>#REF!</v>
      </c>
      <c r="J62" s="833" t="e">
        <f t="shared" si="69"/>
        <v>#REF!</v>
      </c>
      <c r="K62" s="833" t="e">
        <f t="shared" si="69"/>
        <v>#REF!</v>
      </c>
      <c r="L62" s="834" t="e">
        <f t="shared" si="69"/>
        <v>#REF!</v>
      </c>
      <c r="M62" s="591"/>
      <c r="N62" s="838" t="e">
        <f>H62-C62</f>
        <v>#REF!</v>
      </c>
      <c r="O62" s="831" t="e">
        <f>I62-D62</f>
        <v>#REF!</v>
      </c>
      <c r="P62" s="831" t="e">
        <f>J62-E62</f>
        <v>#REF!</v>
      </c>
      <c r="Q62" s="831" t="e">
        <f>K62-F62</f>
        <v>#REF!</v>
      </c>
      <c r="R62" s="837" t="e">
        <f>L62-G62</f>
        <v>#REF!</v>
      </c>
      <c r="S62" s="870" t="e">
        <f>S63+S61+S45</f>
        <v>#REF!</v>
      </c>
      <c r="T62" s="839" t="e">
        <f>T63+T61+T45</f>
        <v>#REF!</v>
      </c>
      <c r="U62" s="839" t="e">
        <f>U63+U61+U45</f>
        <v>#REF!</v>
      </c>
      <c r="V62" s="839" t="e">
        <f>V63+V61+V45</f>
        <v>#REF!</v>
      </c>
      <c r="W62" s="840" t="e">
        <f>W63+W61+W45</f>
        <v>#REF!</v>
      </c>
      <c r="X62" s="697"/>
      <c r="AG62" s="216"/>
      <c r="AH62" s="216"/>
      <c r="AI62" s="216"/>
      <c r="AJ62" s="216"/>
      <c r="AK62" s="216"/>
    </row>
    <row r="63" spans="1:37" ht="15" thickBot="1" x14ac:dyDescent="0.35">
      <c r="A63" s="854" t="s">
        <v>833</v>
      </c>
      <c r="B63" s="855" t="e">
        <f>'Resource impact template'!#REF!</f>
        <v>#REF!</v>
      </c>
      <c r="C63" s="729" t="e">
        <f t="shared" ref="C63:L63" si="70">C15-C46-C61</f>
        <v>#REF!</v>
      </c>
      <c r="D63" s="729" t="e">
        <f t="shared" si="70"/>
        <v>#REF!</v>
      </c>
      <c r="E63" s="729" t="e">
        <f t="shared" si="70"/>
        <v>#REF!</v>
      </c>
      <c r="F63" s="729" t="e">
        <f t="shared" si="70"/>
        <v>#REF!</v>
      </c>
      <c r="G63" s="462" t="e">
        <f t="shared" si="70"/>
        <v>#REF!</v>
      </c>
      <c r="H63" s="803" t="e">
        <f t="shared" si="70"/>
        <v>#REF!</v>
      </c>
      <c r="I63" s="729" t="e">
        <f t="shared" si="70"/>
        <v>#REF!</v>
      </c>
      <c r="J63" s="729" t="e">
        <f t="shared" si="70"/>
        <v>#REF!</v>
      </c>
      <c r="K63" s="729" t="e">
        <f t="shared" si="70"/>
        <v>#REF!</v>
      </c>
      <c r="L63" s="462" t="e">
        <f t="shared" si="70"/>
        <v>#REF!</v>
      </c>
      <c r="M63" s="699"/>
      <c r="N63" s="825" t="e">
        <f t="shared" ref="N63" si="71">H63-C63</f>
        <v>#REF!</v>
      </c>
      <c r="O63" s="826" t="e">
        <f t="shared" ref="O63" si="72">I63-D63</f>
        <v>#REF!</v>
      </c>
      <c r="P63" s="826" t="e">
        <f t="shared" ref="P63" si="73">J63-E63</f>
        <v>#REF!</v>
      </c>
      <c r="Q63" s="826" t="e">
        <f t="shared" ref="Q63" si="74">K63-F63</f>
        <v>#REF!</v>
      </c>
      <c r="R63" s="827" t="e">
        <f t="shared" ref="R63" si="75">L63-G63</f>
        <v>#REF!</v>
      </c>
      <c r="S63" s="828" t="e">
        <f t="shared" ref="S63" si="76">N63*$B63/1000</f>
        <v>#REF!</v>
      </c>
      <c r="T63" s="829" t="e">
        <f t="shared" ref="T63" si="77">O63*$B63/1000</f>
        <v>#REF!</v>
      </c>
      <c r="U63" s="829" t="e">
        <f t="shared" ref="U63" si="78">P63*$B63/1000</f>
        <v>#REF!</v>
      </c>
      <c r="V63" s="829" t="e">
        <f t="shared" ref="V63" si="79">Q63*$B63/1000</f>
        <v>#REF!</v>
      </c>
      <c r="W63" s="830" t="e">
        <f t="shared" ref="W63" si="80">R63*$B63/1000</f>
        <v>#REF!</v>
      </c>
      <c r="X63" s="697"/>
      <c r="AG63" s="216"/>
      <c r="AH63" s="216"/>
      <c r="AI63" s="216"/>
      <c r="AJ63" s="216"/>
      <c r="AK63" s="216"/>
    </row>
    <row r="64" spans="1:37" ht="15" thickBot="1" x14ac:dyDescent="0.35">
      <c r="A64" s="852" t="s">
        <v>826</v>
      </c>
      <c r="B64" s="856"/>
      <c r="C64" s="827" t="e">
        <f>C62+C63</f>
        <v>#REF!</v>
      </c>
      <c r="D64" s="826" t="e">
        <f t="shared" ref="D64:L64" si="81">D62+D63</f>
        <v>#REF!</v>
      </c>
      <c r="E64" s="826" t="e">
        <f t="shared" si="81"/>
        <v>#REF!</v>
      </c>
      <c r="F64" s="826" t="e">
        <f t="shared" si="81"/>
        <v>#REF!</v>
      </c>
      <c r="G64" s="860" t="e">
        <f t="shared" si="81"/>
        <v>#REF!</v>
      </c>
      <c r="H64" s="859" t="e">
        <f t="shared" si="81"/>
        <v>#REF!</v>
      </c>
      <c r="I64" s="826" t="e">
        <f t="shared" si="81"/>
        <v>#REF!</v>
      </c>
      <c r="J64" s="826" t="e">
        <f t="shared" si="81"/>
        <v>#REF!</v>
      </c>
      <c r="K64" s="826" t="e">
        <f t="shared" si="81"/>
        <v>#REF!</v>
      </c>
      <c r="L64" s="853" t="e">
        <f t="shared" si="81"/>
        <v>#REF!</v>
      </c>
      <c r="X64" s="697"/>
      <c r="AG64" s="216"/>
      <c r="AH64" s="216"/>
      <c r="AI64" s="216"/>
      <c r="AJ64" s="216"/>
      <c r="AK64" s="216"/>
    </row>
    <row r="65" spans="1:37" ht="15" thickBot="1" x14ac:dyDescent="0.35">
      <c r="A65" s="663"/>
      <c r="B65" s="375"/>
      <c r="C65" s="375"/>
      <c r="D65" s="375"/>
      <c r="E65" s="375"/>
      <c r="F65" s="375"/>
      <c r="G65" s="375"/>
      <c r="H65" s="375"/>
      <c r="I65" s="375"/>
      <c r="J65" s="375"/>
      <c r="K65" s="375"/>
      <c r="L65" s="375"/>
      <c r="M65" s="375"/>
      <c r="N65" s="375"/>
      <c r="O65" s="375"/>
      <c r="P65" s="375"/>
      <c r="Q65" s="375"/>
      <c r="R65" s="375"/>
      <c r="S65" s="375"/>
      <c r="T65" s="375"/>
      <c r="U65" s="375"/>
      <c r="V65" s="375"/>
      <c r="W65" s="375"/>
      <c r="AG65" s="216"/>
      <c r="AH65" s="216"/>
      <c r="AI65" s="216"/>
      <c r="AJ65" s="216"/>
      <c r="AK65" s="216"/>
    </row>
    <row r="66" spans="1:37" ht="86.4" x14ac:dyDescent="0.3">
      <c r="A66" s="869" t="s">
        <v>851</v>
      </c>
      <c r="B66" s="223" t="s">
        <v>476</v>
      </c>
      <c r="C66" s="420" t="s">
        <v>575</v>
      </c>
      <c r="D66" s="424" t="s">
        <v>576</v>
      </c>
      <c r="E66" s="424" t="s">
        <v>577</v>
      </c>
      <c r="F66" s="424" t="s">
        <v>578</v>
      </c>
      <c r="G66" s="422" t="s">
        <v>579</v>
      </c>
      <c r="H66" s="421" t="s">
        <v>580</v>
      </c>
      <c r="I66" s="425" t="s">
        <v>581</v>
      </c>
      <c r="J66" s="425" t="s">
        <v>582</v>
      </c>
      <c r="K66" s="425" t="s">
        <v>583</v>
      </c>
      <c r="L66" s="423" t="s">
        <v>584</v>
      </c>
      <c r="M66" s="384"/>
      <c r="N66" s="416" t="s">
        <v>565</v>
      </c>
      <c r="O66" s="417" t="s">
        <v>566</v>
      </c>
      <c r="P66" s="417" t="s">
        <v>567</v>
      </c>
      <c r="Q66" s="417" t="s">
        <v>568</v>
      </c>
      <c r="R66" s="416" t="s">
        <v>569</v>
      </c>
      <c r="S66" s="418" t="s">
        <v>570</v>
      </c>
      <c r="T66" s="417" t="s">
        <v>571</v>
      </c>
      <c r="U66" s="417" t="s">
        <v>572</v>
      </c>
      <c r="V66" s="417" t="s">
        <v>573</v>
      </c>
      <c r="W66" s="419" t="s">
        <v>574</v>
      </c>
      <c r="AG66" s="216"/>
      <c r="AH66" s="216"/>
      <c r="AI66" s="216"/>
      <c r="AJ66" s="216"/>
      <c r="AK66" s="216"/>
    </row>
    <row r="67" spans="1:37" x14ac:dyDescent="0.3">
      <c r="A67" s="688" t="s">
        <v>856</v>
      </c>
      <c r="B67" s="240"/>
      <c r="C67" s="689"/>
      <c r="D67" s="689"/>
      <c r="E67" s="689"/>
      <c r="F67" s="689"/>
      <c r="G67" s="691"/>
      <c r="H67" s="690"/>
      <c r="I67" s="689"/>
      <c r="J67" s="689"/>
      <c r="K67" s="689"/>
      <c r="L67" s="689"/>
      <c r="M67" s="385"/>
      <c r="N67" s="446"/>
      <c r="O67" s="527"/>
      <c r="P67" s="527"/>
      <c r="Q67" s="527"/>
      <c r="R67" s="446"/>
      <c r="S67" s="447"/>
      <c r="T67" s="527"/>
      <c r="U67" s="527"/>
      <c r="V67" s="527"/>
      <c r="W67" s="448"/>
      <c r="AG67" s="216"/>
      <c r="AH67" s="216"/>
      <c r="AI67" s="216"/>
      <c r="AJ67" s="216"/>
      <c r="AK67" s="216"/>
    </row>
    <row r="68" spans="1:37" x14ac:dyDescent="0.3">
      <c r="A68" s="444" t="str">
        <f>'Resource impact template'!A27</f>
        <v>People receiving rimegepant (oral tablet)</v>
      </c>
      <c r="B68" s="809">
        <f>'Resource impact template'!B27</f>
        <v>0</v>
      </c>
      <c r="C68" s="800"/>
      <c r="D68" s="800"/>
      <c r="E68" s="800"/>
      <c r="F68" s="800"/>
      <c r="G68" s="801"/>
      <c r="H68" s="795" t="e">
        <f>H27*('Unit costs'!$D$8+'Unit costs'!$D$7)</f>
        <v>#REF!</v>
      </c>
      <c r="I68" s="795" t="e">
        <f>I27*('Unit costs'!$D$8+'Unit costs'!$D$7)</f>
        <v>#REF!</v>
      </c>
      <c r="J68" s="795" t="e">
        <f>J27*('Unit costs'!$D$8+'Unit costs'!$D$7)</f>
        <v>#REF!</v>
      </c>
      <c r="K68" s="795" t="e">
        <f>K27*('Unit costs'!$D$8+'Unit costs'!$D$7)</f>
        <v>#REF!</v>
      </c>
      <c r="L68" s="795" t="e">
        <f>L27*('Unit costs'!$D$8+'Unit costs'!$D$7)</f>
        <v>#REF!</v>
      </c>
      <c r="M68" s="386"/>
      <c r="N68" s="382" t="e">
        <f t="shared" ref="N68:R69" si="82">H68-C68</f>
        <v>#REF!</v>
      </c>
      <c r="O68" s="225" t="e">
        <f t="shared" si="82"/>
        <v>#REF!</v>
      </c>
      <c r="P68" s="225" t="e">
        <f t="shared" si="82"/>
        <v>#REF!</v>
      </c>
      <c r="Q68" s="225" t="e">
        <f t="shared" si="82"/>
        <v>#REF!</v>
      </c>
      <c r="R68" s="378" t="e">
        <f t="shared" si="82"/>
        <v>#REF!</v>
      </c>
      <c r="S68" s="380" t="e">
        <f>N68*$B68/1000</f>
        <v>#REF!</v>
      </c>
      <c r="T68" s="226" t="e">
        <f t="shared" ref="T68" si="83">O68*$B68/1000</f>
        <v>#REF!</v>
      </c>
      <c r="U68" s="226" t="e">
        <f t="shared" ref="U68" si="84">P68*$B68/1000</f>
        <v>#REF!</v>
      </c>
      <c r="V68" s="226" t="e">
        <f t="shared" ref="V68" si="85">Q68*$B68/1000</f>
        <v>#REF!</v>
      </c>
      <c r="W68" s="227" t="e">
        <f t="shared" ref="W68" si="86">R68*$B68/1000</f>
        <v>#REF!</v>
      </c>
      <c r="AG68" s="216"/>
      <c r="AH68" s="216"/>
      <c r="AI68" s="216"/>
      <c r="AJ68" s="216"/>
      <c r="AK68" s="216"/>
    </row>
    <row r="69" spans="1:37" x14ac:dyDescent="0.3">
      <c r="A69" s="444" t="str">
        <f>'Resource impact template'!A28</f>
        <v>People receiving eptinezumab (IV infusion)</v>
      </c>
      <c r="B69" s="810" t="str">
        <f>'Resource impact template'!B28</f>
        <v>£0</v>
      </c>
      <c r="C69" s="225" t="e">
        <f>(C40+C28)*'Unit costs'!$G$28</f>
        <v>#REF!</v>
      </c>
      <c r="D69" s="225" t="e">
        <f>(D40+D28)*'Unit costs'!$G$28</f>
        <v>#REF!</v>
      </c>
      <c r="E69" s="225" t="e">
        <f>(E40+E28)*'Unit costs'!$G$28</f>
        <v>#REF!</v>
      </c>
      <c r="F69" s="225" t="e">
        <f>(F40+F28)*'Unit costs'!$G$28</f>
        <v>#REF!</v>
      </c>
      <c r="G69" s="462" t="e">
        <f>(G40+G28)*'Unit costs'!$G$28</f>
        <v>#REF!</v>
      </c>
      <c r="H69" s="796" t="e">
        <f>(H40+H28)*'Unit costs'!$G$28</f>
        <v>#REF!</v>
      </c>
      <c r="I69" s="225" t="e">
        <f>(I40+I28)*'Unit costs'!$G$28</f>
        <v>#REF!</v>
      </c>
      <c r="J69" s="225" t="e">
        <f>(J40+J28)*'Unit costs'!$G$28</f>
        <v>#REF!</v>
      </c>
      <c r="K69" s="225" t="e">
        <f>(K40+K28)*'Unit costs'!$G$28</f>
        <v>#REF!</v>
      </c>
      <c r="L69" s="225" t="e">
        <f>(L40+L28)*'Unit costs'!$G$28</f>
        <v>#REF!</v>
      </c>
      <c r="M69" s="386"/>
      <c r="N69" s="382" t="e">
        <f t="shared" si="82"/>
        <v>#REF!</v>
      </c>
      <c r="O69" s="225" t="e">
        <f t="shared" si="82"/>
        <v>#REF!</v>
      </c>
      <c r="P69" s="225" t="e">
        <f t="shared" si="82"/>
        <v>#REF!</v>
      </c>
      <c r="Q69" s="225" t="e">
        <f t="shared" si="82"/>
        <v>#REF!</v>
      </c>
      <c r="R69" s="378" t="e">
        <f t="shared" si="82"/>
        <v>#REF!</v>
      </c>
      <c r="S69" s="380" t="e">
        <f>N69*$B69/1000</f>
        <v>#REF!</v>
      </c>
      <c r="T69" s="226" t="e">
        <f t="shared" ref="T69:T73" si="87">O69*$B69/1000</f>
        <v>#REF!</v>
      </c>
      <c r="U69" s="226" t="e">
        <f t="shared" ref="U69:U73" si="88">P69*$B69/1000</f>
        <v>#REF!</v>
      </c>
      <c r="V69" s="226" t="e">
        <f t="shared" ref="V69:V70" si="89">Q69*$B69/1000</f>
        <v>#REF!</v>
      </c>
      <c r="W69" s="227" t="e">
        <f t="shared" ref="W69:W73" si="90">R69*$B69/1000</f>
        <v>#REF!</v>
      </c>
      <c r="AG69" s="216"/>
      <c r="AH69" s="216"/>
      <c r="AI69" s="216"/>
      <c r="AJ69" s="216"/>
      <c r="AK69" s="216"/>
    </row>
    <row r="70" spans="1:37" x14ac:dyDescent="0.3">
      <c r="A70" s="444" t="str">
        <f>'Resource impact template'!A29</f>
        <v>People receiving erenumab (subcutaneous injection)</v>
      </c>
      <c r="B70" s="810" t="str">
        <f>'Resource impact template'!B29</f>
        <v>£0</v>
      </c>
      <c r="C70" s="225" t="e">
        <f>(C41+C29)*'Unit costs'!$G$34</f>
        <v>#REF!</v>
      </c>
      <c r="D70" s="225" t="e">
        <f>(D41+D29)*'Unit costs'!$G$34</f>
        <v>#REF!</v>
      </c>
      <c r="E70" s="225" t="e">
        <f>(E41+E29)*'Unit costs'!$G$34</f>
        <v>#REF!</v>
      </c>
      <c r="F70" s="225" t="e">
        <f>(F41+F29)*'Unit costs'!$G$34</f>
        <v>#REF!</v>
      </c>
      <c r="G70" s="462" t="e">
        <f>(G41+G29)*'Unit costs'!$G$34</f>
        <v>#REF!</v>
      </c>
      <c r="H70" s="796" t="e">
        <f>(H41+H29)*'Unit costs'!$G$34</f>
        <v>#REF!</v>
      </c>
      <c r="I70" s="796" t="e">
        <f>(I41+I29)*'Unit costs'!$G$34</f>
        <v>#REF!</v>
      </c>
      <c r="J70" s="796" t="e">
        <f>(J41+J29)*'Unit costs'!$G$34</f>
        <v>#REF!</v>
      </c>
      <c r="K70" s="796" t="e">
        <f>(K41+K29)*'Unit costs'!$G$34</f>
        <v>#REF!</v>
      </c>
      <c r="L70" s="796" t="e">
        <f>(L41+L29)*'Unit costs'!$G$34</f>
        <v>#REF!</v>
      </c>
      <c r="M70" s="386"/>
      <c r="N70" s="382" t="e">
        <f t="shared" ref="N70:N73" si="91">H70-C70</f>
        <v>#REF!</v>
      </c>
      <c r="O70" s="225" t="e">
        <f t="shared" ref="O70:O73" si="92">I70-D70</f>
        <v>#REF!</v>
      </c>
      <c r="P70" s="225" t="e">
        <f t="shared" ref="P70:P73" si="93">J70-E70</f>
        <v>#REF!</v>
      </c>
      <c r="Q70" s="225" t="e">
        <f t="shared" ref="Q70:Q73" si="94">K70-F70</f>
        <v>#REF!</v>
      </c>
      <c r="R70" s="378" t="e">
        <f t="shared" ref="R70:R73" si="95">L70-G70</f>
        <v>#REF!</v>
      </c>
      <c r="S70" s="380" t="e">
        <f t="shared" ref="S70:S73" si="96">N70*$B70/1000</f>
        <v>#REF!</v>
      </c>
      <c r="T70" s="226" t="e">
        <f t="shared" si="87"/>
        <v>#REF!</v>
      </c>
      <c r="U70" s="226" t="e">
        <f t="shared" si="88"/>
        <v>#REF!</v>
      </c>
      <c r="V70" s="226" t="e">
        <f t="shared" si="89"/>
        <v>#REF!</v>
      </c>
      <c r="W70" s="227" t="e">
        <f t="shared" si="90"/>
        <v>#REF!</v>
      </c>
      <c r="AG70" s="216"/>
      <c r="AH70" s="216"/>
      <c r="AI70" s="216"/>
      <c r="AJ70" s="216"/>
      <c r="AK70" s="216"/>
    </row>
    <row r="71" spans="1:37" x14ac:dyDescent="0.3">
      <c r="A71" s="444" t="str">
        <f>'Resource impact template'!A30</f>
        <v>People receiving galcanezumab (subcutaneous injection)</v>
      </c>
      <c r="B71" s="810" t="str">
        <f>'Resource impact template'!B30</f>
        <v>£0</v>
      </c>
      <c r="C71" s="225" t="e">
        <f>(C42+C30)*'Unit costs'!$G$55</f>
        <v>#REF!</v>
      </c>
      <c r="D71" s="225" t="e">
        <f>(D42+D30)*'Unit costs'!$G$55</f>
        <v>#REF!</v>
      </c>
      <c r="E71" s="225" t="e">
        <f>(E42+E30)*'Unit costs'!$G$55</f>
        <v>#REF!</v>
      </c>
      <c r="F71" s="225" t="e">
        <f>(F42+F30)*'Unit costs'!$G$55</f>
        <v>#REF!</v>
      </c>
      <c r="G71" s="462" t="e">
        <f>(G42+G30)*'Unit costs'!$G$55</f>
        <v>#REF!</v>
      </c>
      <c r="H71" s="796" t="e">
        <f>(H42+H30)*'Unit costs'!$G$55</f>
        <v>#REF!</v>
      </c>
      <c r="I71" s="225" t="e">
        <f>(I42+I30)*'Unit costs'!$G$55</f>
        <v>#REF!</v>
      </c>
      <c r="J71" s="225" t="e">
        <f>(J42+J30)*'Unit costs'!$G$55</f>
        <v>#REF!</v>
      </c>
      <c r="K71" s="225" t="e">
        <f>(K42+K30)*'Unit costs'!$G$55</f>
        <v>#REF!</v>
      </c>
      <c r="L71" s="225" t="e">
        <f>(L42+L30)*'Unit costs'!$G$55</f>
        <v>#REF!</v>
      </c>
      <c r="M71" s="386"/>
      <c r="N71" s="382" t="e">
        <f t="shared" si="91"/>
        <v>#REF!</v>
      </c>
      <c r="O71" s="225" t="e">
        <f t="shared" si="92"/>
        <v>#REF!</v>
      </c>
      <c r="P71" s="225" t="e">
        <f t="shared" si="93"/>
        <v>#REF!</v>
      </c>
      <c r="Q71" s="225" t="e">
        <f t="shared" si="94"/>
        <v>#REF!</v>
      </c>
      <c r="R71" s="378" t="e">
        <f t="shared" si="95"/>
        <v>#REF!</v>
      </c>
      <c r="S71" s="380" t="e">
        <f t="shared" si="96"/>
        <v>#REF!</v>
      </c>
      <c r="T71" s="226" t="e">
        <f t="shared" si="87"/>
        <v>#REF!</v>
      </c>
      <c r="U71" s="226" t="e">
        <f t="shared" si="88"/>
        <v>#REF!</v>
      </c>
      <c r="V71" s="226" t="e">
        <f>Q71*$B71/1000</f>
        <v>#REF!</v>
      </c>
      <c r="W71" s="227" t="e">
        <f t="shared" si="90"/>
        <v>#REF!</v>
      </c>
      <c r="AG71" s="216"/>
      <c r="AH71" s="216"/>
      <c r="AI71" s="216"/>
      <c r="AJ71" s="216"/>
      <c r="AK71" s="216"/>
    </row>
    <row r="72" spans="1:37" x14ac:dyDescent="0.3">
      <c r="A72" s="444" t="str">
        <f>'Resource impact template'!A31</f>
        <v>People receiving fremanezumab (subcutaneous injection)</v>
      </c>
      <c r="B72" s="810" t="str">
        <f>'Resource impact template'!B31</f>
        <v>£0</v>
      </c>
      <c r="C72" s="225" t="e">
        <f>(C43+C31)*'Unit costs'!$G$69</f>
        <v>#REF!</v>
      </c>
      <c r="D72" s="225" t="e">
        <f>(D43+D31)*'Unit costs'!$G$69</f>
        <v>#REF!</v>
      </c>
      <c r="E72" s="225" t="e">
        <f>(E43+E31)*'Unit costs'!$G$69</f>
        <v>#REF!</v>
      </c>
      <c r="F72" s="225" t="e">
        <f>(F43+F31)*'Unit costs'!$G$69</f>
        <v>#REF!</v>
      </c>
      <c r="G72" s="462" t="e">
        <f>(G43+G31)*'Unit costs'!$G$69</f>
        <v>#REF!</v>
      </c>
      <c r="H72" s="796" t="e">
        <f>(H43+H31)*'Unit costs'!$G$69</f>
        <v>#REF!</v>
      </c>
      <c r="I72" s="225" t="e">
        <f>(I43+I31)*'Unit costs'!$G$69</f>
        <v>#REF!</v>
      </c>
      <c r="J72" s="225" t="e">
        <f>(J43+J31)*'Unit costs'!$G$69</f>
        <v>#REF!</v>
      </c>
      <c r="K72" s="225" t="e">
        <f>(K43+K31)*'Unit costs'!$G$69</f>
        <v>#REF!</v>
      </c>
      <c r="L72" s="225" t="e">
        <f>(L43+L31)*'Unit costs'!$G$69</f>
        <v>#REF!</v>
      </c>
      <c r="M72" s="386"/>
      <c r="N72" s="382" t="e">
        <f t="shared" si="91"/>
        <v>#REF!</v>
      </c>
      <c r="O72" s="225" t="e">
        <f t="shared" si="92"/>
        <v>#REF!</v>
      </c>
      <c r="P72" s="225" t="e">
        <f t="shared" si="93"/>
        <v>#REF!</v>
      </c>
      <c r="Q72" s="225" t="e">
        <f t="shared" si="94"/>
        <v>#REF!</v>
      </c>
      <c r="R72" s="378" t="e">
        <f t="shared" si="95"/>
        <v>#REF!</v>
      </c>
      <c r="S72" s="380" t="e">
        <f t="shared" si="96"/>
        <v>#REF!</v>
      </c>
      <c r="T72" s="226" t="e">
        <f t="shared" si="87"/>
        <v>#REF!</v>
      </c>
      <c r="U72" s="226" t="e">
        <f t="shared" si="88"/>
        <v>#REF!</v>
      </c>
      <c r="V72" s="226" t="e">
        <f t="shared" ref="V72:V73" si="97">Q72*$B72/1000</f>
        <v>#REF!</v>
      </c>
      <c r="W72" s="227" t="e">
        <f t="shared" si="90"/>
        <v>#REF!</v>
      </c>
      <c r="AG72" s="216"/>
      <c r="AH72" s="216"/>
      <c r="AI72" s="216"/>
      <c r="AJ72" s="216"/>
      <c r="AK72" s="216"/>
    </row>
    <row r="73" spans="1:37" x14ac:dyDescent="0.3">
      <c r="A73" s="444" t="str">
        <f>'Resource impact template'!A32</f>
        <v>People receiving botulinum toxin A (IV infusion)</v>
      </c>
      <c r="B73" s="810" t="str">
        <f>'Resource impact template'!B32</f>
        <v>£0</v>
      </c>
      <c r="C73" s="225" t="e">
        <f>C44*'Unit costs'!$G$79</f>
        <v>#REF!</v>
      </c>
      <c r="D73" s="225" t="e">
        <f>D44*'Unit costs'!$G$79</f>
        <v>#REF!</v>
      </c>
      <c r="E73" s="225" t="e">
        <f>E44*'Unit costs'!$G$79</f>
        <v>#REF!</v>
      </c>
      <c r="F73" s="225" t="e">
        <f>F44*'Unit costs'!$G$79</f>
        <v>#REF!</v>
      </c>
      <c r="G73" s="462" t="e">
        <f>G44*'Unit costs'!$G$79</f>
        <v>#REF!</v>
      </c>
      <c r="H73" s="796" t="e">
        <f>H44*'Unit costs'!$G$79</f>
        <v>#REF!</v>
      </c>
      <c r="I73" s="225" t="e">
        <f>I44*'Unit costs'!$G$79</f>
        <v>#REF!</v>
      </c>
      <c r="J73" s="225" t="e">
        <f>J44*'Unit costs'!$G$79</f>
        <v>#REF!</v>
      </c>
      <c r="K73" s="225" t="e">
        <f>K44*'Unit costs'!$G$79</f>
        <v>#REF!</v>
      </c>
      <c r="L73" s="225" t="e">
        <f>L44*'Unit costs'!$G$79</f>
        <v>#REF!</v>
      </c>
      <c r="M73" s="386"/>
      <c r="N73" s="382" t="e">
        <f t="shared" si="91"/>
        <v>#REF!</v>
      </c>
      <c r="O73" s="225" t="e">
        <f t="shared" si="92"/>
        <v>#REF!</v>
      </c>
      <c r="P73" s="225" t="e">
        <f t="shared" si="93"/>
        <v>#REF!</v>
      </c>
      <c r="Q73" s="225" t="e">
        <f t="shared" si="94"/>
        <v>#REF!</v>
      </c>
      <c r="R73" s="378" t="e">
        <f t="shared" si="95"/>
        <v>#REF!</v>
      </c>
      <c r="S73" s="380" t="e">
        <f t="shared" si="96"/>
        <v>#REF!</v>
      </c>
      <c r="T73" s="226" t="e">
        <f t="shared" si="87"/>
        <v>#REF!</v>
      </c>
      <c r="U73" s="226" t="e">
        <f t="shared" si="88"/>
        <v>#REF!</v>
      </c>
      <c r="V73" s="226" t="e">
        <f t="shared" si="97"/>
        <v>#REF!</v>
      </c>
      <c r="W73" s="227" t="e">
        <f t="shared" si="90"/>
        <v>#REF!</v>
      </c>
      <c r="AG73" s="216"/>
      <c r="AH73" s="216"/>
      <c r="AI73" s="216"/>
      <c r="AJ73" s="216"/>
      <c r="AK73" s="216"/>
    </row>
    <row r="74" spans="1:37" ht="15" thickBot="1" x14ac:dyDescent="0.35">
      <c r="A74" s="526" t="s">
        <v>853</v>
      </c>
      <c r="B74" s="229"/>
      <c r="C74" s="228" t="e">
        <f t="shared" ref="C74:G74" si="98">SUM(C69:C73)</f>
        <v>#REF!</v>
      </c>
      <c r="D74" s="228" t="e">
        <f t="shared" si="98"/>
        <v>#REF!</v>
      </c>
      <c r="E74" s="228" t="e">
        <f t="shared" si="98"/>
        <v>#REF!</v>
      </c>
      <c r="F74" s="228" t="e">
        <f t="shared" si="98"/>
        <v>#REF!</v>
      </c>
      <c r="G74" s="379" t="e">
        <f t="shared" si="98"/>
        <v>#REF!</v>
      </c>
      <c r="H74" s="861" t="e">
        <f>SUM(H68:H73)</f>
        <v>#REF!</v>
      </c>
      <c r="I74" s="228" t="e">
        <f t="shared" ref="I74:L74" si="99">SUM(I68:I73)</f>
        <v>#REF!</v>
      </c>
      <c r="J74" s="228" t="e">
        <f t="shared" si="99"/>
        <v>#REF!</v>
      </c>
      <c r="K74" s="228" t="e">
        <f t="shared" si="99"/>
        <v>#REF!</v>
      </c>
      <c r="L74" s="862" t="e">
        <f t="shared" si="99"/>
        <v>#REF!</v>
      </c>
      <c r="M74" s="387"/>
      <c r="N74" s="383" t="e">
        <f>SUM(N68:N73)</f>
        <v>#REF!</v>
      </c>
      <c r="O74" s="383" t="e">
        <f t="shared" ref="O74:W74" si="100">SUM(O68:O73)</f>
        <v>#REF!</v>
      </c>
      <c r="P74" s="383" t="e">
        <f t="shared" si="100"/>
        <v>#REF!</v>
      </c>
      <c r="Q74" s="383" t="e">
        <f t="shared" si="100"/>
        <v>#REF!</v>
      </c>
      <c r="R74" s="383" t="e">
        <f t="shared" si="100"/>
        <v>#REF!</v>
      </c>
      <c r="S74" s="383" t="e">
        <f t="shared" si="100"/>
        <v>#REF!</v>
      </c>
      <c r="T74" s="383" t="e">
        <f t="shared" si="100"/>
        <v>#REF!</v>
      </c>
      <c r="U74" s="383" t="e">
        <f t="shared" si="100"/>
        <v>#REF!</v>
      </c>
      <c r="V74" s="383" t="e">
        <f t="shared" si="100"/>
        <v>#REF!</v>
      </c>
      <c r="W74" s="383" t="e">
        <f t="shared" si="100"/>
        <v>#REF!</v>
      </c>
      <c r="AG74" s="216"/>
      <c r="AH74" s="216"/>
      <c r="AI74" s="216"/>
      <c r="AJ74" s="216"/>
      <c r="AK74" s="216"/>
    </row>
    <row r="75" spans="1:37" ht="15" thickBot="1" x14ac:dyDescent="0.35">
      <c r="A75" s="219"/>
      <c r="B75" s="591"/>
      <c r="C75" s="693"/>
      <c r="D75" s="693"/>
      <c r="E75" s="693"/>
      <c r="F75" s="693"/>
      <c r="G75" s="693"/>
      <c r="H75" s="693"/>
      <c r="I75" s="693"/>
      <c r="J75" s="693"/>
      <c r="K75" s="693"/>
      <c r="L75" s="693"/>
      <c r="M75" s="591"/>
      <c r="N75" s="693"/>
      <c r="O75" s="693"/>
      <c r="P75" s="693"/>
      <c r="Q75" s="693"/>
      <c r="R75" s="693"/>
      <c r="S75" s="694"/>
      <c r="T75" s="694"/>
      <c r="U75" s="694"/>
      <c r="V75" s="694"/>
      <c r="W75" s="694"/>
      <c r="AG75" s="216"/>
      <c r="AH75" s="216"/>
      <c r="AI75" s="216"/>
      <c r="AJ75" s="216"/>
      <c r="AK75" s="216"/>
    </row>
    <row r="76" spans="1:37" ht="86.4" x14ac:dyDescent="0.3">
      <c r="A76" s="869" t="s">
        <v>852</v>
      </c>
      <c r="B76" s="223" t="s">
        <v>476</v>
      </c>
      <c r="C76" s="420" t="s">
        <v>575</v>
      </c>
      <c r="D76" s="424" t="s">
        <v>576</v>
      </c>
      <c r="E76" s="424" t="s">
        <v>577</v>
      </c>
      <c r="F76" s="424" t="s">
        <v>578</v>
      </c>
      <c r="G76" s="422" t="s">
        <v>579</v>
      </c>
      <c r="H76" s="421" t="s">
        <v>580</v>
      </c>
      <c r="I76" s="425" t="s">
        <v>581</v>
      </c>
      <c r="J76" s="425" t="s">
        <v>582</v>
      </c>
      <c r="K76" s="425" t="s">
        <v>583</v>
      </c>
      <c r="L76" s="423" t="s">
        <v>584</v>
      </c>
      <c r="M76" s="384"/>
      <c r="N76" s="416" t="s">
        <v>565</v>
      </c>
      <c r="O76" s="417" t="s">
        <v>566</v>
      </c>
      <c r="P76" s="417" t="s">
        <v>567</v>
      </c>
      <c r="Q76" s="417" t="s">
        <v>568</v>
      </c>
      <c r="R76" s="416" t="s">
        <v>569</v>
      </c>
      <c r="S76" s="418" t="s">
        <v>570</v>
      </c>
      <c r="T76" s="417" t="s">
        <v>571</v>
      </c>
      <c r="U76" s="417" t="s">
        <v>572</v>
      </c>
      <c r="V76" s="417" t="s">
        <v>573</v>
      </c>
      <c r="W76" s="419" t="s">
        <v>574</v>
      </c>
      <c r="AG76" s="216"/>
      <c r="AH76" s="216"/>
      <c r="AI76" s="216"/>
      <c r="AJ76" s="216"/>
      <c r="AK76" s="216"/>
    </row>
    <row r="77" spans="1:37" x14ac:dyDescent="0.3">
      <c r="A77" s="688" t="s">
        <v>857</v>
      </c>
      <c r="B77" s="240"/>
      <c r="C77" s="689"/>
      <c r="D77" s="689"/>
      <c r="E77" s="689"/>
      <c r="F77" s="689"/>
      <c r="G77" s="691"/>
      <c r="H77" s="690"/>
      <c r="I77" s="689"/>
      <c r="J77" s="689"/>
      <c r="K77" s="689"/>
      <c r="L77" s="689"/>
      <c r="M77" s="385"/>
      <c r="N77" s="446"/>
      <c r="O77" s="527"/>
      <c r="P77" s="527"/>
      <c r="Q77" s="527"/>
      <c r="R77" s="446"/>
      <c r="S77" s="447"/>
      <c r="T77" s="527"/>
      <c r="U77" s="527"/>
      <c r="V77" s="527"/>
      <c r="W77" s="448"/>
      <c r="AG77" s="216"/>
      <c r="AH77" s="216"/>
      <c r="AI77" s="216"/>
      <c r="AJ77" s="216"/>
      <c r="AK77" s="216"/>
    </row>
    <row r="78" spans="1:37" x14ac:dyDescent="0.3">
      <c r="A78" s="444" t="e">
        <f>'Resource impact template'!#REF!</f>
        <v>#REF!</v>
      </c>
      <c r="B78" s="809" t="e">
        <f>'Resource impact template'!#REF!</f>
        <v>#REF!</v>
      </c>
      <c r="C78" s="800"/>
      <c r="D78" s="800"/>
      <c r="E78" s="800"/>
      <c r="F78" s="800"/>
      <c r="G78" s="801"/>
      <c r="H78" s="802" t="e">
        <f>H50*'Unit costs'!$D$7</f>
        <v>#REF!</v>
      </c>
      <c r="I78" s="794" t="e">
        <f>I50*'Unit costs'!$D$7</f>
        <v>#REF!</v>
      </c>
      <c r="J78" s="794" t="e">
        <f>J50*'Unit costs'!$D$7</f>
        <v>#REF!</v>
      </c>
      <c r="K78" s="794" t="e">
        <f>K50*'Unit costs'!$D$7</f>
        <v>#REF!</v>
      </c>
      <c r="L78" s="802" t="e">
        <f>L50*'Unit costs'!$D$7</f>
        <v>#REF!</v>
      </c>
      <c r="M78" s="386"/>
      <c r="N78" s="382" t="e">
        <f t="shared" ref="N78" si="101">H78-C78</f>
        <v>#REF!</v>
      </c>
      <c r="O78" s="225" t="e">
        <f t="shared" ref="O78" si="102">I78-D78</f>
        <v>#REF!</v>
      </c>
      <c r="P78" s="225" t="e">
        <f t="shared" ref="P78" si="103">J78-E78</f>
        <v>#REF!</v>
      </c>
      <c r="Q78" s="225" t="e">
        <f t="shared" ref="Q78" si="104">K78-F78</f>
        <v>#REF!</v>
      </c>
      <c r="R78" s="378" t="e">
        <f t="shared" ref="R78" si="105">L78-G78</f>
        <v>#REF!</v>
      </c>
      <c r="S78" s="380" t="e">
        <f>N78*$B78/1000</f>
        <v>#REF!</v>
      </c>
      <c r="T78" s="226" t="e">
        <f t="shared" ref="T78" si="106">O78*$B78/1000</f>
        <v>#REF!</v>
      </c>
      <c r="U78" s="226" t="e">
        <f t="shared" ref="U78" si="107">P78*$B78/1000</f>
        <v>#REF!</v>
      </c>
      <c r="V78" s="226" t="e">
        <f t="shared" ref="V78" si="108">Q78*$B78/1000</f>
        <v>#REF!</v>
      </c>
      <c r="W78" s="227" t="e">
        <f t="shared" ref="W78" si="109">R78*$B78/1000</f>
        <v>#REF!</v>
      </c>
      <c r="AG78" s="216"/>
      <c r="AH78" s="216"/>
      <c r="AI78" s="216"/>
      <c r="AJ78" s="216"/>
      <c r="AK78" s="216"/>
    </row>
    <row r="79" spans="1:37" x14ac:dyDescent="0.3">
      <c r="A79" s="444" t="str">
        <f>A69</f>
        <v>People receiving eptinezumab (IV infusion)</v>
      </c>
      <c r="B79" s="811" t="e">
        <f>'Resource impact template'!#REF!</f>
        <v>#REF!</v>
      </c>
      <c r="C79" s="703" t="e">
        <f>(C51+C56)*'Unit costs'!$H$28</f>
        <v>#REF!</v>
      </c>
      <c r="D79" s="703" t="e">
        <f>(D51+D56)*'Unit costs'!$H$28</f>
        <v>#REF!</v>
      </c>
      <c r="E79" s="703" t="e">
        <f>(E51+E56)*'Unit costs'!$H$28</f>
        <v>#REF!</v>
      </c>
      <c r="F79" s="703" t="e">
        <f>(F51+F56)*'Unit costs'!$H$28</f>
        <v>#REF!</v>
      </c>
      <c r="G79" s="704" t="e">
        <f>(G51+G56)*'Unit costs'!$H$28</f>
        <v>#REF!</v>
      </c>
      <c r="H79" s="802" t="e">
        <f>(H51+H56)*'Unit costs'!$H$28</f>
        <v>#REF!</v>
      </c>
      <c r="I79" s="703" t="e">
        <f>(I51+I56)*'Unit costs'!$H$28</f>
        <v>#REF!</v>
      </c>
      <c r="J79" s="703" t="e">
        <f>(J51+J56)*'Unit costs'!$H$28</f>
        <v>#REF!</v>
      </c>
      <c r="K79" s="703" t="e">
        <f>(K51+K56)*'Unit costs'!$H$28</f>
        <v>#REF!</v>
      </c>
      <c r="L79" s="703" t="e">
        <f>(L51+L56)*'Unit costs'!$H$28</f>
        <v>#REF!</v>
      </c>
      <c r="M79" s="386"/>
      <c r="N79" s="382" t="e">
        <f t="shared" ref="N79:R80" si="110">H79-C79</f>
        <v>#REF!</v>
      </c>
      <c r="O79" s="225" t="e">
        <f t="shared" si="110"/>
        <v>#REF!</v>
      </c>
      <c r="P79" s="225" t="e">
        <f t="shared" si="110"/>
        <v>#REF!</v>
      </c>
      <c r="Q79" s="225" t="e">
        <f t="shared" si="110"/>
        <v>#REF!</v>
      </c>
      <c r="R79" s="378" t="e">
        <f t="shared" si="110"/>
        <v>#REF!</v>
      </c>
      <c r="S79" s="380" t="e">
        <f>N79*$B79/1000</f>
        <v>#REF!</v>
      </c>
      <c r="T79" s="226" t="e">
        <f t="shared" ref="T79" si="111">O79*$B79/1000</f>
        <v>#REF!</v>
      </c>
      <c r="U79" s="226" t="e">
        <f t="shared" ref="U79" si="112">P79*$B79/1000</f>
        <v>#REF!</v>
      </c>
      <c r="V79" s="226" t="e">
        <f t="shared" ref="V79" si="113">Q79*$B79/1000</f>
        <v>#REF!</v>
      </c>
      <c r="W79" s="227" t="e">
        <f t="shared" ref="W79" si="114">R79*$B79/1000</f>
        <v>#REF!</v>
      </c>
      <c r="AG79" s="216"/>
      <c r="AH79" s="216"/>
      <c r="AI79" s="216"/>
      <c r="AJ79" s="216"/>
      <c r="AK79" s="216"/>
    </row>
    <row r="80" spans="1:37" x14ac:dyDescent="0.3">
      <c r="A80" s="444" t="e">
        <f>'Resource impact template'!#REF!</f>
        <v>#REF!</v>
      </c>
      <c r="B80" s="810" t="e">
        <f>'Resource impact template'!#REF!</f>
        <v>#REF!</v>
      </c>
      <c r="C80" s="378" t="e">
        <f>(C52+C57)*'Unit costs'!$G$36</f>
        <v>#REF!</v>
      </c>
      <c r="D80" s="378" t="e">
        <f>(D52+D57)*'Unit costs'!$G$36</f>
        <v>#REF!</v>
      </c>
      <c r="E80" s="378" t="e">
        <f>(E52+E57)*'Unit costs'!$G$36</f>
        <v>#REF!</v>
      </c>
      <c r="F80" s="378" t="e">
        <f>(F52+F57)*'Unit costs'!$G$36</f>
        <v>#REF!</v>
      </c>
      <c r="G80" s="462" t="e">
        <f>(G52+G57)*'Unit costs'!$G$36</f>
        <v>#REF!</v>
      </c>
      <c r="H80" s="803" t="e">
        <f>(H52+H57)*'Unit costs'!$G$36</f>
        <v>#REF!</v>
      </c>
      <c r="I80" s="378" t="e">
        <f>(I52+I57)*'Unit costs'!$G$36</f>
        <v>#REF!</v>
      </c>
      <c r="J80" s="378" t="e">
        <f>(J52+J57)*'Unit costs'!$G$36</f>
        <v>#REF!</v>
      </c>
      <c r="K80" s="378" t="e">
        <f>(K52+K57)*'Unit costs'!$G$36</f>
        <v>#REF!</v>
      </c>
      <c r="L80" s="378" t="e">
        <f>(L52+L57)*'Unit costs'!$G$36</f>
        <v>#REF!</v>
      </c>
      <c r="M80" s="386"/>
      <c r="N80" s="382" t="e">
        <f t="shared" si="110"/>
        <v>#REF!</v>
      </c>
      <c r="O80" s="225" t="e">
        <f t="shared" si="110"/>
        <v>#REF!</v>
      </c>
      <c r="P80" s="225" t="e">
        <f t="shared" si="110"/>
        <v>#REF!</v>
      </c>
      <c r="Q80" s="225" t="e">
        <f t="shared" si="110"/>
        <v>#REF!</v>
      </c>
      <c r="R80" s="378" t="e">
        <f t="shared" si="110"/>
        <v>#REF!</v>
      </c>
      <c r="S80" s="380" t="e">
        <f>N80*$B80/1000</f>
        <v>#REF!</v>
      </c>
      <c r="T80" s="226" t="e">
        <f t="shared" ref="T80:T83" si="115">O80*$B80/1000</f>
        <v>#REF!</v>
      </c>
      <c r="U80" s="226" t="e">
        <f t="shared" ref="U80:U83" si="116">P80*$B80/1000</f>
        <v>#REF!</v>
      </c>
      <c r="V80" s="226" t="e">
        <f t="shared" ref="V80:V81" si="117">Q80*$B80/1000</f>
        <v>#REF!</v>
      </c>
      <c r="W80" s="227" t="e">
        <f t="shared" ref="W80:W83" si="118">R80*$B80/1000</f>
        <v>#REF!</v>
      </c>
      <c r="AG80" s="216"/>
      <c r="AH80" s="216"/>
      <c r="AI80" s="216"/>
      <c r="AJ80" s="216"/>
      <c r="AK80" s="216"/>
    </row>
    <row r="81" spans="1:37" x14ac:dyDescent="0.3">
      <c r="A81" s="444" t="e">
        <f>'Resource impact template'!#REF!</f>
        <v>#REF!</v>
      </c>
      <c r="B81" s="810" t="e">
        <f>'Resource impact template'!#REF!</f>
        <v>#REF!</v>
      </c>
      <c r="C81" s="378" t="e">
        <f>(C53+C58)*'Unit costs'!$D$50</f>
        <v>#REF!</v>
      </c>
      <c r="D81" s="378" t="e">
        <f>(D53+D58)*'Unit costs'!$D$50</f>
        <v>#REF!</v>
      </c>
      <c r="E81" s="378" t="e">
        <f>(E53+E58)*'Unit costs'!$D$50</f>
        <v>#REF!</v>
      </c>
      <c r="F81" s="378" t="e">
        <f>(F53+F58)*'Unit costs'!$D$50</f>
        <v>#REF!</v>
      </c>
      <c r="G81" s="462" t="e">
        <f>(G53+G58)*'Unit costs'!$D$50</f>
        <v>#REF!</v>
      </c>
      <c r="H81" s="803" t="e">
        <f>(H53+H58)*'Unit costs'!$D$50</f>
        <v>#REF!</v>
      </c>
      <c r="I81" s="378" t="e">
        <f>(I53+I58)*'Unit costs'!$D$50</f>
        <v>#REF!</v>
      </c>
      <c r="J81" s="378" t="e">
        <f>(J53+J58)*'Unit costs'!$D$50</f>
        <v>#REF!</v>
      </c>
      <c r="K81" s="378" t="e">
        <f>(K53+K58)*'Unit costs'!$D$50</f>
        <v>#REF!</v>
      </c>
      <c r="L81" s="378" t="e">
        <f>(L53+L58)*'Unit costs'!$D$50</f>
        <v>#REF!</v>
      </c>
      <c r="M81" s="386"/>
      <c r="N81" s="382" t="e">
        <f t="shared" ref="N81:N83" si="119">H81-C81</f>
        <v>#REF!</v>
      </c>
      <c r="O81" s="225" t="e">
        <f t="shared" ref="O81:O83" si="120">I81-D81</f>
        <v>#REF!</v>
      </c>
      <c r="P81" s="225" t="e">
        <f t="shared" ref="P81:P83" si="121">J81-E81</f>
        <v>#REF!</v>
      </c>
      <c r="Q81" s="225" t="e">
        <f t="shared" ref="Q81:Q83" si="122">K81-F81</f>
        <v>#REF!</v>
      </c>
      <c r="R81" s="378" t="e">
        <f t="shared" ref="R81:R83" si="123">L81-G81</f>
        <v>#REF!</v>
      </c>
      <c r="S81" s="380" t="e">
        <f t="shared" ref="S81:S83" si="124">N81*$B81/1000</f>
        <v>#REF!</v>
      </c>
      <c r="T81" s="226" t="e">
        <f t="shared" si="115"/>
        <v>#REF!</v>
      </c>
      <c r="U81" s="226" t="e">
        <f t="shared" si="116"/>
        <v>#REF!</v>
      </c>
      <c r="V81" s="226" t="e">
        <f t="shared" si="117"/>
        <v>#REF!</v>
      </c>
      <c r="W81" s="227" t="e">
        <f t="shared" si="118"/>
        <v>#REF!</v>
      </c>
      <c r="AG81" s="216"/>
      <c r="AH81" s="216"/>
      <c r="AI81" s="216"/>
      <c r="AJ81" s="216"/>
      <c r="AK81" s="216"/>
    </row>
    <row r="82" spans="1:37" x14ac:dyDescent="0.3">
      <c r="A82" s="444" t="e">
        <f>'Resource impact template'!#REF!</f>
        <v>#REF!</v>
      </c>
      <c r="B82" s="810" t="e">
        <f>'Resource impact template'!#REF!</f>
        <v>#REF!</v>
      </c>
      <c r="C82" s="378" t="e">
        <f>(C54+C59)*'Unit costs'!$D$63</f>
        <v>#REF!</v>
      </c>
      <c r="D82" s="378" t="e">
        <f>(D54+D59)*'Unit costs'!$D$63</f>
        <v>#REF!</v>
      </c>
      <c r="E82" s="378" t="e">
        <f>(E54+E59)*'Unit costs'!$D$63</f>
        <v>#REF!</v>
      </c>
      <c r="F82" s="378" t="e">
        <f>(F54+F59)*'Unit costs'!$D$63</f>
        <v>#REF!</v>
      </c>
      <c r="G82" s="462" t="e">
        <f>(G54+G59)*'Unit costs'!$D$63</f>
        <v>#REF!</v>
      </c>
      <c r="H82" s="803" t="e">
        <f>(H54+H59)*'Unit costs'!$D$63</f>
        <v>#REF!</v>
      </c>
      <c r="I82" s="378" t="e">
        <f>(I54+I59)*'Unit costs'!$D$63</f>
        <v>#REF!</v>
      </c>
      <c r="J82" s="378" t="e">
        <f>(J54+J59)*'Unit costs'!$D$63</f>
        <v>#REF!</v>
      </c>
      <c r="K82" s="378" t="e">
        <f>(K54+K59)*'Unit costs'!$D$63</f>
        <v>#REF!</v>
      </c>
      <c r="L82" s="378" t="e">
        <f>(L54+L59)*'Unit costs'!$D$63</f>
        <v>#REF!</v>
      </c>
      <c r="M82" s="386"/>
      <c r="N82" s="382" t="e">
        <f t="shared" si="119"/>
        <v>#REF!</v>
      </c>
      <c r="O82" s="225" t="e">
        <f t="shared" si="120"/>
        <v>#REF!</v>
      </c>
      <c r="P82" s="225" t="e">
        <f t="shared" si="121"/>
        <v>#REF!</v>
      </c>
      <c r="Q82" s="225" t="e">
        <f t="shared" si="122"/>
        <v>#REF!</v>
      </c>
      <c r="R82" s="378" t="e">
        <f t="shared" si="123"/>
        <v>#REF!</v>
      </c>
      <c r="S82" s="380" t="e">
        <f t="shared" si="124"/>
        <v>#REF!</v>
      </c>
      <c r="T82" s="226" t="e">
        <f t="shared" si="115"/>
        <v>#REF!</v>
      </c>
      <c r="U82" s="226" t="e">
        <f t="shared" si="116"/>
        <v>#REF!</v>
      </c>
      <c r="V82" s="226" t="e">
        <f>Q82*$B82/1000</f>
        <v>#REF!</v>
      </c>
      <c r="W82" s="227" t="e">
        <f t="shared" si="118"/>
        <v>#REF!</v>
      </c>
      <c r="AG82" s="216"/>
      <c r="AH82" s="216"/>
      <c r="AI82" s="216"/>
      <c r="AJ82" s="216"/>
      <c r="AK82" s="216"/>
    </row>
    <row r="83" spans="1:37" x14ac:dyDescent="0.3">
      <c r="A83" s="444" t="e">
        <f>'Resource impact template'!#REF!</f>
        <v>#REF!</v>
      </c>
      <c r="B83" s="810" t="e">
        <f>'Resource impact template'!#REF!</f>
        <v>#REF!</v>
      </c>
      <c r="C83" s="378" t="e">
        <f>C60*'Unit costs'!$I$79</f>
        <v>#REF!</v>
      </c>
      <c r="D83" s="225" t="e">
        <f>D60*'Unit costs'!$I$79</f>
        <v>#REF!</v>
      </c>
      <c r="E83" s="225" t="e">
        <f>E60*'Unit costs'!$I$79</f>
        <v>#REF!</v>
      </c>
      <c r="F83" s="225" t="e">
        <f>F60*'Unit costs'!$I$79</f>
        <v>#REF!</v>
      </c>
      <c r="G83" s="462" t="e">
        <f>G60*'Unit costs'!$I$79</f>
        <v>#REF!</v>
      </c>
      <c r="H83" s="803" t="e">
        <f>H60*'Unit costs'!$I$79</f>
        <v>#REF!</v>
      </c>
      <c r="I83" s="225" t="e">
        <f>I60*'Unit costs'!$I$79</f>
        <v>#REF!</v>
      </c>
      <c r="J83" s="225" t="e">
        <f>J60*'Unit costs'!$I$79</f>
        <v>#REF!</v>
      </c>
      <c r="K83" s="225" t="e">
        <f>K60*'Unit costs'!$I$79</f>
        <v>#REF!</v>
      </c>
      <c r="L83" s="701" t="e">
        <f>L60*'Unit costs'!$I$79</f>
        <v>#REF!</v>
      </c>
      <c r="M83" s="386"/>
      <c r="N83" s="382" t="e">
        <f t="shared" si="119"/>
        <v>#REF!</v>
      </c>
      <c r="O83" s="225" t="e">
        <f t="shared" si="120"/>
        <v>#REF!</v>
      </c>
      <c r="P83" s="225" t="e">
        <f t="shared" si="121"/>
        <v>#REF!</v>
      </c>
      <c r="Q83" s="225" t="e">
        <f t="shared" si="122"/>
        <v>#REF!</v>
      </c>
      <c r="R83" s="378" t="e">
        <f t="shared" si="123"/>
        <v>#REF!</v>
      </c>
      <c r="S83" s="380" t="e">
        <f t="shared" si="124"/>
        <v>#REF!</v>
      </c>
      <c r="T83" s="226" t="e">
        <f t="shared" si="115"/>
        <v>#REF!</v>
      </c>
      <c r="U83" s="226" t="e">
        <f t="shared" si="116"/>
        <v>#REF!</v>
      </c>
      <c r="V83" s="226" t="e">
        <f t="shared" ref="V83" si="125">Q83*$B83/1000</f>
        <v>#REF!</v>
      </c>
      <c r="W83" s="227" t="e">
        <f t="shared" si="118"/>
        <v>#REF!</v>
      </c>
      <c r="AG83" s="216"/>
      <c r="AH83" s="216"/>
      <c r="AI83" s="216"/>
      <c r="AJ83" s="216"/>
      <c r="AK83" s="216"/>
    </row>
    <row r="84" spans="1:37" ht="15" thickBot="1" x14ac:dyDescent="0.35">
      <c r="A84" s="526" t="s">
        <v>854</v>
      </c>
      <c r="B84" s="229"/>
      <c r="C84" s="228" t="e">
        <f>SUM(C79:C83)</f>
        <v>#REF!</v>
      </c>
      <c r="D84" s="228" t="e">
        <f t="shared" ref="D84:G84" si="126">SUM(D79:D83)</f>
        <v>#REF!</v>
      </c>
      <c r="E84" s="228" t="e">
        <f t="shared" si="126"/>
        <v>#REF!</v>
      </c>
      <c r="F84" s="228" t="e">
        <f t="shared" si="126"/>
        <v>#REF!</v>
      </c>
      <c r="G84" s="228" t="e">
        <f t="shared" si="126"/>
        <v>#REF!</v>
      </c>
      <c r="H84" s="861" t="e">
        <f>SUM(H78:H83)</f>
        <v>#REF!</v>
      </c>
      <c r="I84" s="228" t="e">
        <f t="shared" ref="I84:L84" si="127">SUM(I78:I83)</f>
        <v>#REF!</v>
      </c>
      <c r="J84" s="228" t="e">
        <f t="shared" si="127"/>
        <v>#REF!</v>
      </c>
      <c r="K84" s="228" t="e">
        <f t="shared" si="127"/>
        <v>#REF!</v>
      </c>
      <c r="L84" s="862" t="e">
        <f t="shared" si="127"/>
        <v>#REF!</v>
      </c>
      <c r="M84" s="387"/>
      <c r="N84" s="383" t="e">
        <f>SUM(N78:N83)</f>
        <v>#REF!</v>
      </c>
      <c r="O84" s="383" t="e">
        <f t="shared" ref="O84:R84" si="128">SUM(O78:O83)</f>
        <v>#REF!</v>
      </c>
      <c r="P84" s="383" t="e">
        <f t="shared" si="128"/>
        <v>#REF!</v>
      </c>
      <c r="Q84" s="383" t="e">
        <f t="shared" si="128"/>
        <v>#REF!</v>
      </c>
      <c r="R84" s="383" t="e">
        <f t="shared" si="128"/>
        <v>#REF!</v>
      </c>
      <c r="S84" s="863" t="e">
        <f>SUM(S78:S83)</f>
        <v>#REF!</v>
      </c>
      <c r="T84" s="865" t="e">
        <f t="shared" ref="T84:W84" si="129">SUM(T78:T83)</f>
        <v>#REF!</v>
      </c>
      <c r="U84" s="865" t="e">
        <f t="shared" si="129"/>
        <v>#REF!</v>
      </c>
      <c r="V84" s="865" t="e">
        <f t="shared" si="129"/>
        <v>#REF!</v>
      </c>
      <c r="W84" s="864" t="e">
        <f t="shared" si="129"/>
        <v>#REF!</v>
      </c>
      <c r="AG84" s="216"/>
      <c r="AH84" s="216"/>
      <c r="AI84" s="216"/>
      <c r="AJ84" s="216"/>
      <c r="AK84" s="216"/>
    </row>
    <row r="85" spans="1:37" ht="15" thickBot="1" x14ac:dyDescent="0.35">
      <c r="A85" s="219"/>
      <c r="B85" s="591"/>
      <c r="C85" s="693"/>
      <c r="D85" s="693"/>
      <c r="E85" s="693"/>
      <c r="F85" s="693"/>
      <c r="G85" s="693"/>
      <c r="H85" s="693"/>
      <c r="I85" s="693"/>
      <c r="J85" s="693"/>
      <c r="K85" s="693"/>
      <c r="L85" s="693"/>
      <c r="M85" s="591"/>
      <c r="N85" s="693"/>
      <c r="O85" s="693"/>
      <c r="P85" s="693"/>
      <c r="Q85" s="693"/>
      <c r="R85" s="693"/>
      <c r="S85" s="694"/>
      <c r="T85" s="694"/>
      <c r="U85" s="694"/>
      <c r="V85" s="694"/>
      <c r="W85" s="694"/>
      <c r="AG85" s="216"/>
      <c r="AH85" s="216"/>
      <c r="AI85" s="216"/>
      <c r="AJ85" s="216"/>
      <c r="AK85" s="216"/>
    </row>
    <row r="86" spans="1:37" s="220" customFormat="1" ht="30" customHeight="1" thickBot="1" x14ac:dyDescent="0.35">
      <c r="A86" s="524" t="s">
        <v>551</v>
      </c>
      <c r="B86" s="232"/>
      <c r="C86" s="232"/>
      <c r="D86" s="232"/>
      <c r="E86" s="232"/>
      <c r="F86" s="232"/>
      <c r="G86" s="232"/>
      <c r="H86" s="232"/>
      <c r="I86" s="232"/>
      <c r="J86" s="232"/>
      <c r="K86" s="232"/>
      <c r="L86" s="232"/>
      <c r="M86" s="232"/>
      <c r="N86" s="232"/>
      <c r="O86" s="232"/>
      <c r="P86" s="232"/>
      <c r="Q86" s="232"/>
      <c r="R86" s="233"/>
      <c r="S86" s="530" t="e">
        <f>S84+S74+S61+S45</f>
        <v>#REF!</v>
      </c>
      <c r="T86" s="530" t="e">
        <f>T84+T74+T61+T45</f>
        <v>#REF!</v>
      </c>
      <c r="U86" s="530" t="e">
        <f>U84+U74+U61+U45</f>
        <v>#REF!</v>
      </c>
      <c r="V86" s="530" t="e">
        <f>V84+V74+V61+V45</f>
        <v>#REF!</v>
      </c>
      <c r="W86" s="530" t="e">
        <f>W84+W74+W61+W45</f>
        <v>#REF!</v>
      </c>
    </row>
    <row r="87" spans="1:37" ht="15" thickBot="1" x14ac:dyDescent="0.35"/>
    <row r="88" spans="1:37" ht="30" customHeight="1" thickBot="1" x14ac:dyDescent="0.35">
      <c r="A88" s="531" t="s">
        <v>750</v>
      </c>
      <c r="B88" s="232"/>
      <c r="C88" s="232"/>
      <c r="D88" s="232"/>
      <c r="E88" s="232"/>
      <c r="F88" s="232"/>
      <c r="G88" s="232"/>
      <c r="H88" s="232"/>
      <c r="I88" s="232"/>
      <c r="J88" s="232"/>
      <c r="K88" s="232"/>
      <c r="L88" s="232"/>
      <c r="M88" s="232"/>
      <c r="N88" s="232"/>
      <c r="O88" s="232"/>
      <c r="P88" s="232"/>
      <c r="Q88" s="232"/>
      <c r="R88" s="233"/>
      <c r="S88" s="230" t="e">
        <f>S45+S61</f>
        <v>#REF!</v>
      </c>
      <c r="T88" s="230" t="e">
        <f>T45+T61</f>
        <v>#REF!</v>
      </c>
      <c r="U88" s="230" t="e">
        <f>U45+U61</f>
        <v>#REF!</v>
      </c>
      <c r="V88" s="230" t="e">
        <f>V45+V61</f>
        <v>#REF!</v>
      </c>
      <c r="W88" s="530" t="e">
        <f>W45+W61</f>
        <v>#REF!</v>
      </c>
    </row>
    <row r="89" spans="1:37" ht="15.6" thickBot="1" x14ac:dyDescent="0.35">
      <c r="A89" s="532" t="s">
        <v>3</v>
      </c>
    </row>
    <row r="90" spans="1:37" ht="30" customHeight="1" thickBot="1" x14ac:dyDescent="0.35">
      <c r="A90" s="531" t="s">
        <v>751</v>
      </c>
      <c r="B90" s="232"/>
      <c r="C90" s="232"/>
      <c r="D90" s="232"/>
      <c r="E90" s="232"/>
      <c r="F90" s="232"/>
      <c r="G90" s="232"/>
      <c r="H90" s="232"/>
      <c r="I90" s="232"/>
      <c r="J90" s="232"/>
      <c r="K90" s="232"/>
      <c r="L90" s="232"/>
      <c r="M90" s="232"/>
      <c r="N90" s="232"/>
      <c r="O90" s="232"/>
      <c r="P90" s="232"/>
      <c r="Q90" s="232"/>
      <c r="R90" s="233"/>
      <c r="S90" s="230" t="e">
        <f>S74+S84</f>
        <v>#REF!</v>
      </c>
      <c r="T90" s="230" t="e">
        <f t="shared" ref="T90:W90" si="130">T74+T84</f>
        <v>#REF!</v>
      </c>
      <c r="U90" s="230" t="e">
        <f t="shared" si="130"/>
        <v>#REF!</v>
      </c>
      <c r="V90" s="230" t="e">
        <f t="shared" si="130"/>
        <v>#REF!</v>
      </c>
      <c r="W90" s="530" t="e">
        <f t="shared" si="130"/>
        <v>#REF!</v>
      </c>
    </row>
    <row r="92" spans="1:37" x14ac:dyDescent="0.3">
      <c r="A92" s="19" t="s">
        <v>846</v>
      </c>
    </row>
    <row r="93" spans="1:37" ht="33.75" customHeight="1" x14ac:dyDescent="0.3">
      <c r="A93" s="944" t="s">
        <v>844</v>
      </c>
      <c r="B93" s="935"/>
      <c r="C93" s="935"/>
      <c r="D93" s="935"/>
      <c r="E93" s="935"/>
      <c r="F93" s="935"/>
      <c r="G93" s="935"/>
      <c r="H93" s="935"/>
      <c r="I93" s="935"/>
      <c r="J93" s="935"/>
      <c r="K93" s="935"/>
      <c r="L93" s="935"/>
    </row>
    <row r="94" spans="1:37" ht="30.9" customHeight="1" x14ac:dyDescent="0.3">
      <c r="A94" s="943" t="s">
        <v>845</v>
      </c>
      <c r="B94" s="935"/>
      <c r="C94" s="935"/>
      <c r="D94" s="935"/>
      <c r="E94" s="935"/>
      <c r="F94" s="935"/>
      <c r="G94" s="935"/>
      <c r="H94" s="935"/>
      <c r="I94" s="935"/>
      <c r="J94" s="935"/>
      <c r="K94" s="935"/>
      <c r="L94" s="935"/>
    </row>
    <row r="95" spans="1:37" x14ac:dyDescent="0.3">
      <c r="A95" s="2" t="s">
        <v>858</v>
      </c>
    </row>
  </sheetData>
  <protectedRanges>
    <protectedRange sqref="C18:L38" name="Range2"/>
    <protectedRange sqref="C10:L11" name="Range1"/>
  </protectedRanges>
  <mergeCells count="3">
    <mergeCell ref="A94:L94"/>
    <mergeCell ref="A16:L16"/>
    <mergeCell ref="A93:L93"/>
  </mergeCells>
  <phoneticPr fontId="56" type="noConversion"/>
  <conditionalFormatting sqref="C10:L11">
    <cfRule type="cellIs" dxfId="3" priority="8" operator="equal">
      <formula>0</formula>
    </cfRule>
    <cfRule type="cellIs" dxfId="2" priority="12" operator="equal">
      <formula>0</formula>
    </cfRule>
  </conditionalFormatting>
  <conditionalFormatting sqref="C12:L13">
    <cfRule type="cellIs" dxfId="1" priority="25" operator="equal">
      <formula>0</formula>
    </cfRule>
  </conditionalFormatting>
  <conditionalFormatting sqref="D11:L11">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09375" defaultRowHeight="15" x14ac:dyDescent="0.25"/>
  <cols>
    <col min="1" max="1" width="6.5546875" style="247" customWidth="1"/>
    <col min="2" max="2" width="8.109375" style="245" customWidth="1"/>
    <col min="3" max="3" width="8.109375" style="247" customWidth="1"/>
    <col min="4" max="5" width="8.109375" style="358" customWidth="1"/>
    <col min="6" max="8" width="8.109375" style="245" customWidth="1"/>
    <col min="9" max="13" width="8.109375" style="247" customWidth="1"/>
    <col min="14" max="14" width="12.44140625" style="247" customWidth="1"/>
    <col min="15" max="43" width="8.109375" style="247" customWidth="1"/>
    <col min="44" max="16384" width="9.109375" style="247"/>
  </cols>
  <sheetData>
    <row r="1" spans="1:51" s="363" customFormat="1" ht="30.6" customHeight="1" thickBot="1" x14ac:dyDescent="0.35">
      <c r="A1" s="360" t="s">
        <v>491</v>
      </c>
      <c r="B1" s="361"/>
      <c r="C1" s="361"/>
      <c r="D1" s="361"/>
      <c r="E1" s="361"/>
      <c r="F1" s="361"/>
      <c r="G1" s="361"/>
      <c r="H1" s="361"/>
      <c r="I1" s="361"/>
      <c r="J1" s="361"/>
      <c r="K1" s="361"/>
      <c r="L1" s="361"/>
      <c r="M1" s="361"/>
      <c r="N1" s="361"/>
      <c r="O1" s="364" t="s">
        <v>545</v>
      </c>
      <c r="P1" s="365"/>
      <c r="Q1" s="365"/>
      <c r="R1" s="365"/>
      <c r="S1" s="365"/>
      <c r="T1" s="365"/>
      <c r="U1" s="366"/>
      <c r="V1" s="336"/>
      <c r="W1" s="336"/>
      <c r="X1" s="336"/>
      <c r="Y1" s="336"/>
      <c r="Z1" s="336"/>
      <c r="AA1" s="336"/>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row>
    <row r="2" spans="1:51" ht="15.75" customHeight="1" x14ac:dyDescent="0.25">
      <c r="A2" s="248"/>
      <c r="B2" s="249"/>
      <c r="C2" s="250"/>
      <c r="D2" s="244"/>
      <c r="E2" s="243"/>
      <c r="F2" s="243"/>
      <c r="G2" s="243"/>
      <c r="H2" s="246"/>
      <c r="I2" s="246"/>
      <c r="J2" s="246"/>
      <c r="K2" s="246"/>
      <c r="L2" s="246"/>
      <c r="M2" s="246"/>
      <c r="N2" s="246"/>
      <c r="O2" s="246"/>
      <c r="P2" s="246"/>
      <c r="Q2" s="246"/>
      <c r="R2" s="246"/>
      <c r="S2" s="246"/>
      <c r="T2" s="246"/>
      <c r="U2" s="246"/>
      <c r="V2" s="246"/>
      <c r="W2" s="246"/>
      <c r="X2" s="246"/>
      <c r="Y2" s="246"/>
      <c r="Z2" s="246"/>
      <c r="AA2" s="246"/>
      <c r="AB2" s="251"/>
      <c r="AC2" s="243"/>
      <c r="AD2" s="243"/>
      <c r="AE2" s="243"/>
      <c r="AF2" s="243"/>
      <c r="AG2" s="243"/>
      <c r="AH2" s="243"/>
      <c r="AI2" s="243"/>
      <c r="AJ2" s="243"/>
      <c r="AK2" s="243"/>
      <c r="AL2" s="243"/>
      <c r="AM2" s="243"/>
      <c r="AN2" s="243"/>
      <c r="AO2" s="243"/>
      <c r="AP2" s="243"/>
      <c r="AQ2" s="243"/>
      <c r="AR2" s="243"/>
      <c r="AS2" s="243"/>
      <c r="AT2" s="243"/>
      <c r="AU2" s="243"/>
      <c r="AV2" s="243"/>
      <c r="AW2" s="243"/>
      <c r="AX2" s="243"/>
      <c r="AY2" s="243"/>
    </row>
    <row r="3" spans="1:51" ht="15.75" customHeight="1" x14ac:dyDescent="0.25">
      <c r="A3" s="252" t="s">
        <v>492</v>
      </c>
      <c r="B3" s="249"/>
      <c r="C3" s="250"/>
      <c r="D3" s="244"/>
      <c r="E3" s="243"/>
      <c r="F3" s="243"/>
      <c r="G3" s="243"/>
      <c r="H3" s="246"/>
      <c r="I3" s="246"/>
      <c r="J3" s="246"/>
      <c r="K3" s="246"/>
      <c r="L3" s="246"/>
      <c r="M3" s="246"/>
      <c r="N3" s="246"/>
      <c r="O3" s="246"/>
      <c r="P3" s="246"/>
      <c r="Q3" s="246"/>
      <c r="R3" s="246"/>
      <c r="S3" s="246"/>
      <c r="T3" s="246"/>
      <c r="U3" s="246"/>
      <c r="V3" s="246"/>
      <c r="W3" s="246"/>
      <c r="X3" s="246"/>
      <c r="Y3" s="246"/>
      <c r="Z3" s="246"/>
      <c r="AA3" s="246"/>
      <c r="AB3" s="251"/>
      <c r="AC3" s="243"/>
      <c r="AD3" s="243"/>
      <c r="AE3" s="243"/>
      <c r="AF3" s="243"/>
      <c r="AG3" s="243"/>
      <c r="AH3" s="243"/>
      <c r="AI3" s="243"/>
      <c r="AJ3" s="243"/>
      <c r="AK3" s="243"/>
      <c r="AL3" s="243"/>
      <c r="AM3" s="243"/>
      <c r="AN3" s="243"/>
      <c r="AO3" s="243"/>
      <c r="AP3" s="243"/>
      <c r="AQ3" s="243"/>
      <c r="AR3" s="243"/>
      <c r="AS3" s="243"/>
      <c r="AT3" s="243"/>
      <c r="AU3" s="243"/>
      <c r="AV3" s="243"/>
      <c r="AW3" s="243"/>
      <c r="AX3" s="243"/>
      <c r="AY3" s="243"/>
    </row>
    <row r="4" spans="1:51" ht="15.75" customHeight="1" x14ac:dyDescent="0.25">
      <c r="A4" s="252" t="s">
        <v>493</v>
      </c>
      <c r="B4" s="249"/>
      <c r="C4" s="250"/>
      <c r="D4" s="244"/>
      <c r="E4" s="243"/>
      <c r="F4" s="243"/>
      <c r="G4" s="243"/>
      <c r="H4" s="246"/>
      <c r="I4" s="246"/>
      <c r="J4" s="246"/>
      <c r="K4" s="246"/>
      <c r="L4" s="246"/>
      <c r="M4" s="246"/>
      <c r="N4" s="246"/>
      <c r="O4" s="246"/>
      <c r="P4" s="246"/>
      <c r="Q4" s="246"/>
      <c r="R4" s="246"/>
      <c r="S4" s="246"/>
      <c r="T4" s="246"/>
      <c r="U4" s="246"/>
      <c r="V4" s="246"/>
      <c r="W4" s="246"/>
      <c r="X4" s="246"/>
      <c r="Y4" s="246"/>
      <c r="Z4" s="246"/>
      <c r="AA4" s="246"/>
      <c r="AB4" s="251"/>
      <c r="AC4" s="243"/>
      <c r="AD4" s="243"/>
      <c r="AE4" s="243"/>
      <c r="AF4" s="243"/>
      <c r="AG4" s="243"/>
      <c r="AH4" s="243"/>
      <c r="AI4" s="243"/>
      <c r="AJ4" s="243"/>
      <c r="AK4" s="243"/>
      <c r="AL4" s="243"/>
      <c r="AM4" s="243"/>
      <c r="AN4" s="243"/>
      <c r="AO4" s="243"/>
      <c r="AP4" s="243"/>
      <c r="AQ4" s="243"/>
      <c r="AR4" s="243"/>
      <c r="AS4" s="243"/>
      <c r="AT4" s="243"/>
      <c r="AU4" s="243"/>
      <c r="AV4" s="243"/>
      <c r="AW4" s="243"/>
      <c r="AX4" s="243"/>
      <c r="AY4" s="243"/>
    </row>
    <row r="5" spans="1:51" ht="15.75" customHeight="1" x14ac:dyDescent="0.25">
      <c r="A5" s="252" t="s">
        <v>494</v>
      </c>
      <c r="B5" s="249"/>
      <c r="C5" s="250"/>
      <c r="D5" s="244"/>
      <c r="E5" s="243"/>
      <c r="F5" s="243"/>
      <c r="G5" s="243"/>
      <c r="H5" s="246"/>
      <c r="I5" s="246"/>
      <c r="J5" s="246"/>
      <c r="K5" s="246"/>
      <c r="L5" s="246"/>
      <c r="M5" s="246"/>
      <c r="N5" s="246"/>
      <c r="O5" s="246"/>
      <c r="P5" s="246"/>
      <c r="Q5" s="246"/>
      <c r="R5" s="246"/>
      <c r="S5" s="246"/>
      <c r="T5" s="246"/>
      <c r="U5" s="246"/>
      <c r="V5" s="246"/>
      <c r="W5" s="246"/>
      <c r="X5" s="246"/>
      <c r="Y5" s="246"/>
      <c r="Z5" s="246"/>
      <c r="AA5" s="246"/>
      <c r="AB5" s="251"/>
      <c r="AC5" s="243"/>
      <c r="AD5" s="243"/>
      <c r="AE5" s="243"/>
      <c r="AF5" s="243"/>
      <c r="AG5" s="243"/>
      <c r="AH5" s="243"/>
      <c r="AI5" s="243"/>
      <c r="AJ5" s="243"/>
      <c r="AK5" s="243"/>
      <c r="AL5" s="243"/>
      <c r="AM5" s="243"/>
      <c r="AN5" s="243"/>
      <c r="AO5" s="243"/>
      <c r="AP5" s="243"/>
      <c r="AQ5" s="243"/>
      <c r="AR5" s="243"/>
      <c r="AS5" s="243"/>
      <c r="AT5" s="243"/>
      <c r="AU5" s="243"/>
      <c r="AV5" s="243"/>
      <c r="AW5" s="243"/>
      <c r="AX5" s="243"/>
      <c r="AY5" s="243"/>
    </row>
    <row r="6" spans="1:51" ht="15.75" customHeight="1" x14ac:dyDescent="0.25">
      <c r="A6" s="248"/>
      <c r="B6" s="246"/>
      <c r="C6" s="246"/>
      <c r="D6" s="246"/>
      <c r="E6" s="246"/>
      <c r="F6" s="246"/>
      <c r="G6" s="246"/>
      <c r="H6" s="246"/>
      <c r="I6" s="246"/>
      <c r="J6" s="246"/>
      <c r="K6" s="246"/>
      <c r="L6" s="253"/>
      <c r="M6" s="246"/>
      <c r="N6" s="246"/>
      <c r="O6" s="246"/>
      <c r="P6" s="246"/>
      <c r="Q6" s="246"/>
      <c r="R6" s="246"/>
      <c r="S6" s="246"/>
      <c r="T6" s="246"/>
      <c r="U6" s="246"/>
      <c r="V6" s="246"/>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row>
    <row r="7" spans="1:51" ht="15.75" customHeight="1" x14ac:dyDescent="0.25">
      <c r="A7" s="248"/>
      <c r="B7" s="246"/>
      <c r="C7" s="246"/>
      <c r="D7" s="246"/>
      <c r="E7" s="246"/>
      <c r="F7" s="246"/>
      <c r="G7" s="246"/>
      <c r="H7" s="246"/>
      <c r="I7" s="246"/>
      <c r="J7" s="246"/>
      <c r="K7" s="246"/>
      <c r="L7" s="253" t="s">
        <v>495</v>
      </c>
      <c r="M7" s="246"/>
      <c r="N7" s="246"/>
      <c r="O7" s="246"/>
      <c r="P7" s="246"/>
      <c r="Q7" s="246"/>
      <c r="R7" s="246"/>
      <c r="S7" s="246"/>
      <c r="T7" s="246"/>
      <c r="U7" s="246"/>
      <c r="V7" s="246"/>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row>
    <row r="8" spans="1:51" ht="15.6" x14ac:dyDescent="0.25">
      <c r="A8" s="248"/>
      <c r="B8" s="246"/>
      <c r="C8" s="246"/>
      <c r="D8" s="246"/>
      <c r="E8" s="246"/>
      <c r="F8" s="246"/>
      <c r="G8" s="246"/>
      <c r="H8" s="253" t="s">
        <v>496</v>
      </c>
      <c r="I8" s="246"/>
      <c r="J8" s="246"/>
      <c r="K8" s="253"/>
      <c r="L8" s="253" t="s">
        <v>497</v>
      </c>
      <c r="M8" s="246"/>
      <c r="N8" s="246"/>
      <c r="O8" s="246"/>
      <c r="P8" s="246"/>
      <c r="Q8" s="246"/>
      <c r="R8" s="246"/>
      <c r="S8" s="246"/>
      <c r="T8" s="246"/>
      <c r="U8" s="246"/>
      <c r="V8" s="246"/>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row>
    <row r="9" spans="1:51" ht="15.6" x14ac:dyDescent="0.25">
      <c r="A9" s="254"/>
      <c r="B9" s="246"/>
      <c r="C9" s="246"/>
      <c r="D9" s="246"/>
      <c r="E9" s="246"/>
      <c r="F9" s="246"/>
      <c r="G9" s="246"/>
      <c r="H9" s="246"/>
      <c r="I9" s="246"/>
      <c r="J9" s="246"/>
      <c r="K9" s="246"/>
      <c r="L9" s="246"/>
      <c r="M9" s="246"/>
      <c r="N9" s="246"/>
      <c r="O9" s="246"/>
      <c r="P9" s="246"/>
      <c r="Q9" s="246"/>
      <c r="R9" s="246"/>
      <c r="S9" s="246"/>
      <c r="T9" s="246"/>
      <c r="U9" s="246"/>
      <c r="V9" s="246"/>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row>
    <row r="10" spans="1:51" ht="15.6" x14ac:dyDescent="0.25">
      <c r="A10" s="254"/>
      <c r="B10" s="246"/>
      <c r="C10" s="246"/>
      <c r="D10" s="246"/>
      <c r="E10" s="246"/>
      <c r="F10" s="246"/>
      <c r="G10" s="246"/>
      <c r="H10" s="246"/>
      <c r="I10" s="246"/>
      <c r="J10" s="246"/>
      <c r="K10" s="246"/>
      <c r="L10" s="246"/>
      <c r="M10" s="246"/>
      <c r="N10" s="246"/>
      <c r="O10" s="246"/>
      <c r="P10" s="246"/>
      <c r="Q10" s="246"/>
      <c r="R10" s="246"/>
      <c r="S10" s="246"/>
      <c r="T10" s="246"/>
      <c r="U10" s="246"/>
      <c r="V10" s="246"/>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row>
    <row r="11" spans="1:51" ht="15.6" x14ac:dyDescent="0.25">
      <c r="A11" s="254"/>
      <c r="B11" s="246"/>
      <c r="C11" s="246"/>
      <c r="D11" s="246"/>
      <c r="E11" s="246"/>
      <c r="F11" s="246"/>
      <c r="G11" s="246"/>
      <c r="H11" s="246"/>
      <c r="I11" s="246"/>
      <c r="J11" s="246"/>
      <c r="K11" s="246"/>
      <c r="L11" s="246"/>
      <c r="M11" s="246"/>
      <c r="N11" s="246"/>
      <c r="O11" s="246"/>
      <c r="P11" s="246"/>
      <c r="Q11" s="246"/>
      <c r="R11" s="246"/>
      <c r="S11" s="246"/>
      <c r="T11" s="246"/>
      <c r="U11" s="246"/>
      <c r="V11" s="246"/>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row>
    <row r="12" spans="1:51" ht="15.6" x14ac:dyDescent="0.25">
      <c r="A12" s="254"/>
      <c r="B12" s="246"/>
      <c r="C12" s="246"/>
      <c r="D12" s="246"/>
      <c r="E12" s="246"/>
      <c r="F12" s="246"/>
      <c r="G12" s="246"/>
      <c r="H12" s="246"/>
      <c r="I12" s="246"/>
      <c r="J12" s="246"/>
      <c r="K12" s="246"/>
      <c r="L12" s="246"/>
      <c r="M12" s="246"/>
      <c r="N12" s="246"/>
      <c r="O12" s="246"/>
      <c r="P12" s="246"/>
      <c r="Q12" s="246"/>
      <c r="R12" s="246"/>
      <c r="S12" s="246"/>
      <c r="T12" s="246"/>
      <c r="U12" s="246"/>
      <c r="V12" s="246"/>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row>
    <row r="13" spans="1:51" ht="15.6" x14ac:dyDescent="0.25">
      <c r="A13" s="254"/>
      <c r="B13" s="246"/>
      <c r="C13" s="246"/>
      <c r="D13" s="246"/>
      <c r="E13" s="246"/>
      <c r="F13" s="246"/>
      <c r="G13" s="246"/>
      <c r="H13" s="246"/>
      <c r="I13" s="246"/>
      <c r="J13" s="246"/>
      <c r="K13" s="246"/>
      <c r="L13" s="246"/>
      <c r="M13" s="246"/>
      <c r="N13" s="246"/>
      <c r="O13" s="246"/>
      <c r="P13" s="246"/>
      <c r="Q13" s="246"/>
      <c r="R13" s="246"/>
      <c r="S13" s="246"/>
      <c r="T13" s="246"/>
      <c r="U13" s="246"/>
      <c r="V13" s="246"/>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row>
    <row r="14" spans="1:51" ht="15.6" thickBot="1" x14ac:dyDescent="0.3">
      <c r="A14" s="255"/>
      <c r="B14" s="246"/>
      <c r="C14" s="246"/>
      <c r="D14" s="246"/>
      <c r="E14" s="246"/>
      <c r="F14" s="246"/>
      <c r="G14" s="246"/>
      <c r="H14" s="246"/>
      <c r="I14" s="246"/>
      <c r="J14" s="246"/>
      <c r="K14" s="246"/>
      <c r="L14" s="246"/>
      <c r="M14" s="246"/>
      <c r="N14" s="246"/>
      <c r="O14" s="246"/>
      <c r="P14" s="246"/>
      <c r="Q14" s="246"/>
      <c r="R14" s="246"/>
      <c r="S14" s="246"/>
      <c r="T14" s="246"/>
      <c r="U14" s="246"/>
      <c r="V14" s="246"/>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row>
    <row r="15" spans="1:51" ht="15.6" x14ac:dyDescent="0.3">
      <c r="A15" s="255"/>
      <c r="B15" s="246"/>
      <c r="C15" s="948" t="s">
        <v>498</v>
      </c>
      <c r="D15" s="949"/>
      <c r="E15" s="949"/>
      <c r="F15" s="949"/>
      <c r="G15" s="949"/>
      <c r="H15" s="949"/>
      <c r="I15" s="949"/>
      <c r="J15" s="949"/>
      <c r="K15" s="949"/>
      <c r="L15" s="949"/>
      <c r="M15" s="949"/>
      <c r="N15" s="950"/>
      <c r="O15" s="948" t="s">
        <v>498</v>
      </c>
      <c r="P15" s="949"/>
      <c r="Q15" s="949"/>
      <c r="R15" s="949"/>
      <c r="S15" s="949"/>
      <c r="T15" s="949"/>
      <c r="U15" s="949"/>
      <c r="V15" s="949"/>
      <c r="W15" s="949"/>
      <c r="X15" s="949"/>
      <c r="Y15" s="949"/>
      <c r="Z15" s="950"/>
      <c r="AA15" s="948" t="s">
        <v>498</v>
      </c>
      <c r="AB15" s="949"/>
      <c r="AC15" s="949"/>
      <c r="AD15" s="949"/>
      <c r="AE15" s="949"/>
      <c r="AF15" s="949"/>
      <c r="AG15" s="949"/>
      <c r="AH15" s="949"/>
      <c r="AI15" s="949"/>
      <c r="AJ15" s="949"/>
      <c r="AK15" s="949"/>
      <c r="AL15" s="950"/>
      <c r="AM15" s="948" t="s">
        <v>498</v>
      </c>
      <c r="AN15" s="949"/>
      <c r="AO15" s="949"/>
      <c r="AP15" s="949"/>
      <c r="AQ15" s="949"/>
      <c r="AR15" s="949"/>
      <c r="AS15" s="949"/>
      <c r="AT15" s="949"/>
      <c r="AU15" s="949"/>
      <c r="AV15" s="949"/>
      <c r="AW15" s="949"/>
      <c r="AX15" s="950"/>
      <c r="AY15" s="243"/>
    </row>
    <row r="16" spans="1:51" s="262" customFormat="1" ht="62.1" customHeight="1" thickBot="1" x14ac:dyDescent="0.3">
      <c r="A16" s="255"/>
      <c r="B16" s="256" t="s">
        <v>499</v>
      </c>
      <c r="C16" s="257">
        <v>1</v>
      </c>
      <c r="D16" s="258">
        <v>2</v>
      </c>
      <c r="E16" s="259">
        <v>3</v>
      </c>
      <c r="F16" s="258">
        <v>4</v>
      </c>
      <c r="G16" s="258">
        <v>5</v>
      </c>
      <c r="H16" s="259">
        <v>6</v>
      </c>
      <c r="I16" s="258">
        <v>7</v>
      </c>
      <c r="J16" s="258">
        <v>8</v>
      </c>
      <c r="K16" s="259">
        <v>9</v>
      </c>
      <c r="L16" s="258">
        <v>10</v>
      </c>
      <c r="M16" s="258">
        <v>11</v>
      </c>
      <c r="N16" s="260">
        <v>12</v>
      </c>
      <c r="O16" s="257">
        <v>1</v>
      </c>
      <c r="P16" s="258">
        <v>2</v>
      </c>
      <c r="Q16" s="259">
        <v>3</v>
      </c>
      <c r="R16" s="258">
        <v>4</v>
      </c>
      <c r="S16" s="258">
        <v>5</v>
      </c>
      <c r="T16" s="259">
        <v>6</v>
      </c>
      <c r="U16" s="258">
        <v>7</v>
      </c>
      <c r="V16" s="258">
        <v>8</v>
      </c>
      <c r="W16" s="259">
        <v>9</v>
      </c>
      <c r="X16" s="258">
        <v>10</v>
      </c>
      <c r="Y16" s="258">
        <v>11</v>
      </c>
      <c r="Z16" s="260">
        <v>12</v>
      </c>
      <c r="AA16" s="257">
        <v>1</v>
      </c>
      <c r="AB16" s="258">
        <v>2</v>
      </c>
      <c r="AC16" s="259">
        <v>3</v>
      </c>
      <c r="AD16" s="258">
        <v>4</v>
      </c>
      <c r="AE16" s="258">
        <v>5</v>
      </c>
      <c r="AF16" s="259">
        <v>6</v>
      </c>
      <c r="AG16" s="258">
        <v>7</v>
      </c>
      <c r="AH16" s="258">
        <v>8</v>
      </c>
      <c r="AI16" s="259">
        <v>9</v>
      </c>
      <c r="AJ16" s="258">
        <v>10</v>
      </c>
      <c r="AK16" s="258">
        <v>11</v>
      </c>
      <c r="AL16" s="260">
        <v>12</v>
      </c>
      <c r="AM16" s="257">
        <v>1</v>
      </c>
      <c r="AN16" s="258">
        <v>2</v>
      </c>
      <c r="AO16" s="259">
        <v>3</v>
      </c>
      <c r="AP16" s="258">
        <v>4</v>
      </c>
      <c r="AQ16" s="258">
        <v>5</v>
      </c>
      <c r="AR16" s="259">
        <v>6</v>
      </c>
      <c r="AS16" s="258">
        <v>7</v>
      </c>
      <c r="AT16" s="258">
        <v>8</v>
      </c>
      <c r="AU16" s="259">
        <v>9</v>
      </c>
      <c r="AV16" s="258">
        <v>10</v>
      </c>
      <c r="AW16" s="258">
        <v>11</v>
      </c>
      <c r="AX16" s="260">
        <v>12</v>
      </c>
      <c r="AY16" s="261"/>
    </row>
    <row r="17" spans="1:51" s="16" customFormat="1" ht="25.35" customHeight="1" x14ac:dyDescent="0.25">
      <c r="A17" s="255"/>
      <c r="B17" s="263">
        <v>1</v>
      </c>
      <c r="C17" s="264"/>
      <c r="D17" s="264"/>
      <c r="E17" s="264"/>
      <c r="F17" s="265"/>
      <c r="G17" s="265"/>
      <c r="H17" s="265"/>
      <c r="I17" s="265"/>
      <c r="J17" s="266"/>
      <c r="K17" s="267"/>
      <c r="L17" s="268"/>
      <c r="M17" s="269"/>
      <c r="N17" s="270"/>
      <c r="O17" s="271"/>
      <c r="P17" s="269"/>
      <c r="Q17" s="269"/>
      <c r="R17" s="269"/>
      <c r="S17" s="269"/>
      <c r="T17" s="269"/>
      <c r="U17" s="269"/>
      <c r="V17" s="269"/>
      <c r="W17" s="269"/>
      <c r="X17" s="269"/>
      <c r="Y17" s="269"/>
      <c r="Z17" s="272"/>
      <c r="AA17" s="273"/>
      <c r="AB17" s="269"/>
      <c r="AC17" s="269"/>
      <c r="AD17" s="269"/>
      <c r="AE17" s="269"/>
      <c r="AF17" s="269"/>
      <c r="AG17" s="269"/>
      <c r="AH17" s="269"/>
      <c r="AI17" s="269"/>
      <c r="AJ17" s="269"/>
      <c r="AK17" s="269"/>
      <c r="AL17" s="272"/>
      <c r="AM17" s="273"/>
      <c r="AN17" s="269"/>
      <c r="AO17" s="269"/>
      <c r="AP17" s="269"/>
      <c r="AQ17" s="269"/>
      <c r="AR17" s="269"/>
      <c r="AS17" s="269"/>
      <c r="AT17" s="269"/>
      <c r="AU17" s="269"/>
      <c r="AV17" s="269"/>
      <c r="AW17" s="269"/>
      <c r="AX17" s="272"/>
      <c r="AY17" s="2"/>
    </row>
    <row r="18" spans="1:51" s="16" customFormat="1" ht="25.35" customHeight="1" thickBot="1" x14ac:dyDescent="0.3">
      <c r="A18" s="255"/>
      <c r="B18" s="263">
        <v>0.9</v>
      </c>
      <c r="C18" s="264"/>
      <c r="D18" s="264"/>
      <c r="E18" s="264"/>
      <c r="F18" s="265"/>
      <c r="G18" s="265"/>
      <c r="H18" s="265"/>
      <c r="I18" s="265"/>
      <c r="J18" s="266"/>
      <c r="K18" s="274"/>
      <c r="L18" s="268"/>
      <c r="M18" s="269"/>
      <c r="N18" s="270"/>
      <c r="O18" s="271"/>
      <c r="P18" s="269"/>
      <c r="Q18" s="269"/>
      <c r="R18" s="269"/>
      <c r="S18" s="269"/>
      <c r="T18" s="269"/>
      <c r="U18" s="269"/>
      <c r="V18" s="269"/>
      <c r="W18" s="269"/>
      <c r="X18" s="269"/>
      <c r="Y18" s="269"/>
      <c r="Z18" s="275"/>
      <c r="AA18" s="273"/>
      <c r="AB18" s="269"/>
      <c r="AC18" s="269"/>
      <c r="AD18" s="269"/>
      <c r="AE18" s="269"/>
      <c r="AF18" s="269"/>
      <c r="AG18" s="269"/>
      <c r="AH18" s="269"/>
      <c r="AI18" s="269"/>
      <c r="AJ18" s="269"/>
      <c r="AK18" s="276"/>
      <c r="AL18" s="277"/>
      <c r="AM18" s="278"/>
      <c r="AN18" s="276"/>
      <c r="AO18" s="276"/>
      <c r="AP18" s="276"/>
      <c r="AQ18" s="276"/>
      <c r="AR18" s="276"/>
      <c r="AS18" s="276"/>
      <c r="AT18" s="276"/>
      <c r="AU18" s="276"/>
      <c r="AV18" s="276"/>
      <c r="AW18" s="276"/>
      <c r="AX18" s="277"/>
      <c r="AY18" s="2"/>
    </row>
    <row r="19" spans="1:51" s="16" customFormat="1" ht="25.35" customHeight="1" x14ac:dyDescent="0.25">
      <c r="A19" s="255"/>
      <c r="B19" s="263">
        <v>0.8</v>
      </c>
      <c r="C19" s="264"/>
      <c r="D19" s="264"/>
      <c r="E19" s="264"/>
      <c r="F19" s="265"/>
      <c r="G19" s="265"/>
      <c r="H19" s="265"/>
      <c r="I19" s="265"/>
      <c r="J19" s="266"/>
      <c r="K19" s="274" t="s">
        <v>500</v>
      </c>
      <c r="L19" s="279"/>
      <c r="M19" s="269"/>
      <c r="N19" s="270"/>
      <c r="O19" s="271"/>
      <c r="P19" s="269"/>
      <c r="Q19" s="269"/>
      <c r="R19" s="269"/>
      <c r="S19" s="269"/>
      <c r="T19" s="269"/>
      <c r="U19" s="269"/>
      <c r="V19" s="269"/>
      <c r="W19" s="269"/>
      <c r="X19" s="269"/>
      <c r="Y19" s="269"/>
      <c r="Z19" s="275"/>
      <c r="AA19" s="273"/>
      <c r="AB19" s="269"/>
      <c r="AC19" s="269"/>
      <c r="AD19" s="269"/>
      <c r="AE19" s="269"/>
      <c r="AF19" s="269"/>
      <c r="AG19" s="269"/>
      <c r="AH19" s="269"/>
      <c r="AI19" s="269"/>
      <c r="AJ19" s="280"/>
      <c r="AK19" s="281"/>
      <c r="AL19" s="282"/>
      <c r="AM19" s="283"/>
      <c r="AN19" s="283"/>
      <c r="AO19" s="283"/>
      <c r="AP19" s="283"/>
      <c r="AQ19" s="283"/>
      <c r="AR19" s="283"/>
      <c r="AS19" s="283"/>
      <c r="AT19" s="283"/>
      <c r="AU19" s="283"/>
      <c r="AV19" s="284"/>
      <c r="AW19" s="281"/>
      <c r="AX19" s="282"/>
      <c r="AY19" s="2"/>
    </row>
    <row r="20" spans="1:51" s="16" customFormat="1" ht="25.35" customHeight="1" thickBot="1" x14ac:dyDescent="0.3">
      <c r="A20" s="255"/>
      <c r="B20" s="263">
        <v>0.7</v>
      </c>
      <c r="C20" s="285"/>
      <c r="D20" s="285"/>
      <c r="E20" s="285"/>
      <c r="F20" s="265"/>
      <c r="G20" s="265"/>
      <c r="H20" s="265"/>
      <c r="I20" s="265"/>
      <c r="J20" s="286"/>
      <c r="K20" s="274" t="s">
        <v>501</v>
      </c>
      <c r="L20" s="279"/>
      <c r="M20" s="269"/>
      <c r="N20" s="270"/>
      <c r="O20" s="271"/>
      <c r="P20" s="269"/>
      <c r="Q20" s="269"/>
      <c r="R20" s="269"/>
      <c r="S20" s="269"/>
      <c r="T20" s="269"/>
      <c r="U20" s="269"/>
      <c r="V20" s="269"/>
      <c r="W20" s="269"/>
      <c r="X20" s="269"/>
      <c r="Y20" s="276"/>
      <c r="Z20" s="277"/>
      <c r="AA20" s="278"/>
      <c r="AB20" s="276"/>
      <c r="AC20" s="276"/>
      <c r="AD20" s="276"/>
      <c r="AE20" s="276"/>
      <c r="AF20" s="276"/>
      <c r="AG20" s="276"/>
      <c r="AH20" s="276"/>
      <c r="AI20" s="276"/>
      <c r="AJ20" s="287"/>
      <c r="AK20" s="288"/>
      <c r="AL20" s="289"/>
      <c r="AM20" s="290"/>
      <c r="AN20" s="290"/>
      <c r="AO20" s="290"/>
      <c r="AP20" s="290"/>
      <c r="AQ20" s="290"/>
      <c r="AR20" s="290"/>
      <c r="AS20" s="290"/>
      <c r="AT20" s="290"/>
      <c r="AU20" s="290"/>
      <c r="AV20" s="291"/>
      <c r="AW20" s="288"/>
      <c r="AX20" s="289"/>
      <c r="AY20" s="2"/>
    </row>
    <row r="21" spans="1:51" s="16" customFormat="1" ht="25.35" customHeight="1" x14ac:dyDescent="0.25">
      <c r="A21" s="255"/>
      <c r="B21" s="263">
        <v>0.6</v>
      </c>
      <c r="C21" s="292"/>
      <c r="D21" s="293"/>
      <c r="E21" s="294"/>
      <c r="F21" s="265"/>
      <c r="G21" s="265"/>
      <c r="H21" s="265"/>
      <c r="I21" s="265"/>
      <c r="J21" s="295"/>
      <c r="K21" s="274" t="s">
        <v>502</v>
      </c>
      <c r="L21" s="279"/>
      <c r="M21" s="269"/>
      <c r="N21" s="270"/>
      <c r="O21" s="271"/>
      <c r="P21" s="269"/>
      <c r="Q21" s="269"/>
      <c r="R21" s="269"/>
      <c r="S21" s="269"/>
      <c r="T21" s="269"/>
      <c r="U21" s="269"/>
      <c r="V21" s="269"/>
      <c r="W21" s="269"/>
      <c r="X21" s="280"/>
      <c r="Y21" s="281"/>
      <c r="Z21" s="282"/>
      <c r="AA21" s="283"/>
      <c r="AB21" s="283"/>
      <c r="AC21" s="283"/>
      <c r="AD21" s="283"/>
      <c r="AE21" s="283"/>
      <c r="AF21" s="283"/>
      <c r="AG21" s="283"/>
      <c r="AH21" s="283"/>
      <c r="AI21" s="283"/>
      <c r="AJ21" s="284"/>
      <c r="AK21" s="288"/>
      <c r="AL21" s="289"/>
      <c r="AM21" s="290"/>
      <c r="AN21" s="290"/>
      <c r="AO21" s="290"/>
      <c r="AP21" s="290"/>
      <c r="AQ21" s="290"/>
      <c r="AR21" s="290"/>
      <c r="AS21" s="290"/>
      <c r="AT21" s="290"/>
      <c r="AU21" s="290"/>
      <c r="AV21" s="291"/>
      <c r="AW21" s="288"/>
      <c r="AX21" s="289"/>
      <c r="AY21" s="2"/>
    </row>
    <row r="22" spans="1:51" s="16" customFormat="1" ht="25.35" customHeight="1" thickBot="1" x14ac:dyDescent="0.3">
      <c r="A22" s="255"/>
      <c r="B22" s="263">
        <v>0.5</v>
      </c>
      <c r="C22" s="264"/>
      <c r="D22" s="264"/>
      <c r="E22" s="264"/>
      <c r="F22" s="265"/>
      <c r="G22" s="265"/>
      <c r="H22" s="265"/>
      <c r="I22" s="265"/>
      <c r="J22" s="295"/>
      <c r="K22" s="274" t="s">
        <v>503</v>
      </c>
      <c r="L22" s="279"/>
      <c r="M22" s="276"/>
      <c r="N22" s="296"/>
      <c r="O22" s="297"/>
      <c r="P22" s="298"/>
      <c r="Q22" s="298"/>
      <c r="R22" s="298"/>
      <c r="S22" s="298"/>
      <c r="T22" s="298"/>
      <c r="U22" s="298"/>
      <c r="V22" s="298"/>
      <c r="W22" s="298"/>
      <c r="X22" s="299"/>
      <c r="Y22" s="288"/>
      <c r="Z22" s="289"/>
      <c r="AA22" s="290"/>
      <c r="AB22" s="290"/>
      <c r="AC22" s="290"/>
      <c r="AD22" s="290"/>
      <c r="AE22" s="290"/>
      <c r="AF22" s="290"/>
      <c r="AG22" s="290"/>
      <c r="AH22" s="290"/>
      <c r="AI22" s="290"/>
      <c r="AJ22" s="291"/>
      <c r="AK22" s="288"/>
      <c r="AL22" s="289"/>
      <c r="AM22" s="290"/>
      <c r="AN22" s="290"/>
      <c r="AO22" s="290"/>
      <c r="AP22" s="290"/>
      <c r="AQ22" s="290"/>
      <c r="AR22" s="290"/>
      <c r="AS22" s="290"/>
      <c r="AT22" s="290"/>
      <c r="AU22" s="290"/>
      <c r="AV22" s="291"/>
      <c r="AW22" s="288"/>
      <c r="AX22" s="289"/>
      <c r="AY22" s="2"/>
    </row>
    <row r="23" spans="1:51" s="16" customFormat="1" ht="25.35" customHeight="1" x14ac:dyDescent="0.25">
      <c r="A23" s="255"/>
      <c r="B23" s="263">
        <v>0.4</v>
      </c>
      <c r="C23" s="264"/>
      <c r="D23" s="264"/>
      <c r="E23" s="264"/>
      <c r="F23" s="265"/>
      <c r="G23" s="265"/>
      <c r="H23" s="265"/>
      <c r="I23" s="265"/>
      <c r="J23" s="295"/>
      <c r="K23" s="274" t="s">
        <v>504</v>
      </c>
      <c r="L23" s="274"/>
      <c r="M23" s="300"/>
      <c r="N23" s="301"/>
      <c r="O23" s="283"/>
      <c r="P23" s="283"/>
      <c r="Q23" s="283"/>
      <c r="R23" s="283"/>
      <c r="S23" s="283"/>
      <c r="T23" s="283"/>
      <c r="U23" s="283"/>
      <c r="V23" s="283"/>
      <c r="W23" s="283"/>
      <c r="X23" s="284"/>
      <c r="Y23" s="288"/>
      <c r="Z23" s="289"/>
      <c r="AA23" s="290"/>
      <c r="AB23" s="290"/>
      <c r="AC23" s="290"/>
      <c r="AD23" s="290"/>
      <c r="AE23" s="290"/>
      <c r="AF23" s="290"/>
      <c r="AG23" s="290"/>
      <c r="AH23" s="290"/>
      <c r="AI23" s="290"/>
      <c r="AJ23" s="291"/>
      <c r="AK23" s="288"/>
      <c r="AL23" s="289"/>
      <c r="AM23" s="290"/>
      <c r="AN23" s="290"/>
      <c r="AO23" s="290"/>
      <c r="AP23" s="290"/>
      <c r="AQ23" s="290"/>
      <c r="AR23" s="290"/>
      <c r="AS23" s="290"/>
      <c r="AT23" s="290"/>
      <c r="AU23" s="290"/>
      <c r="AV23" s="291"/>
      <c r="AW23" s="288"/>
      <c r="AX23" s="289"/>
      <c r="AY23" s="2"/>
    </row>
    <row r="24" spans="1:51" s="16" customFormat="1" ht="25.35" customHeight="1" x14ac:dyDescent="0.25">
      <c r="A24" s="255"/>
      <c r="B24" s="263">
        <v>0.3</v>
      </c>
      <c r="C24" s="264"/>
      <c r="D24" s="264"/>
      <c r="E24" s="264"/>
      <c r="F24" s="265"/>
      <c r="G24" s="265"/>
      <c r="H24" s="265"/>
      <c r="I24" s="265"/>
      <c r="J24" s="295"/>
      <c r="K24" s="274"/>
      <c r="L24" s="274"/>
      <c r="M24" s="302"/>
      <c r="N24" s="303"/>
      <c r="O24" s="290"/>
      <c r="P24" s="290"/>
      <c r="Q24" s="290"/>
      <c r="R24" s="290" t="s">
        <v>505</v>
      </c>
      <c r="S24" s="290"/>
      <c r="T24" s="290"/>
      <c r="U24" s="290"/>
      <c r="V24" s="290"/>
      <c r="W24" s="290"/>
      <c r="X24" s="291"/>
      <c r="Y24" s="288"/>
      <c r="Z24" s="289"/>
      <c r="AA24" s="290"/>
      <c r="AB24" s="290"/>
      <c r="AC24" s="290"/>
      <c r="AD24" s="290" t="s">
        <v>506</v>
      </c>
      <c r="AE24" s="290"/>
      <c r="AF24" s="290"/>
      <c r="AG24" s="290"/>
      <c r="AH24" s="290"/>
      <c r="AI24" s="290"/>
      <c r="AJ24" s="291"/>
      <c r="AK24" s="288"/>
      <c r="AL24" s="289"/>
      <c r="AM24" s="290"/>
      <c r="AN24" s="290"/>
      <c r="AO24" s="290"/>
      <c r="AP24" s="290" t="s">
        <v>507</v>
      </c>
      <c r="AQ24" s="290"/>
      <c r="AR24" s="290"/>
      <c r="AS24" s="290"/>
      <c r="AT24" s="290"/>
      <c r="AU24" s="290"/>
      <c r="AV24" s="291"/>
      <c r="AW24" s="288"/>
      <c r="AX24" s="289"/>
      <c r="AY24" s="2"/>
    </row>
    <row r="25" spans="1:51" s="16" customFormat="1" ht="25.35" customHeight="1" x14ac:dyDescent="0.25">
      <c r="A25" s="255"/>
      <c r="B25" s="263">
        <v>0.2</v>
      </c>
      <c r="C25" s="264"/>
      <c r="D25" s="264"/>
      <c r="E25" s="264"/>
      <c r="F25" s="265"/>
      <c r="G25" s="265"/>
      <c r="H25" s="265"/>
      <c r="I25" s="265"/>
      <c r="J25" s="295"/>
      <c r="K25" s="274"/>
      <c r="L25" s="274"/>
      <c r="M25" s="304"/>
      <c r="N25" s="289"/>
      <c r="O25" s="290"/>
      <c r="P25" s="290"/>
      <c r="Q25" s="290"/>
      <c r="R25" s="290"/>
      <c r="S25" s="290"/>
      <c r="T25" s="290"/>
      <c r="U25" s="290"/>
      <c r="V25" s="290"/>
      <c r="W25" s="290"/>
      <c r="X25" s="291"/>
      <c r="Y25" s="288"/>
      <c r="Z25" s="289"/>
      <c r="AA25" s="290"/>
      <c r="AB25" s="290"/>
      <c r="AC25" s="290"/>
      <c r="AD25" s="290"/>
      <c r="AE25" s="290"/>
      <c r="AF25" s="290"/>
      <c r="AG25" s="290"/>
      <c r="AH25" s="290"/>
      <c r="AI25" s="290"/>
      <c r="AJ25" s="291"/>
      <c r="AK25" s="288"/>
      <c r="AL25" s="289"/>
      <c r="AM25" s="290"/>
      <c r="AN25" s="290"/>
      <c r="AO25" s="290"/>
      <c r="AP25" s="290" t="s">
        <v>508</v>
      </c>
      <c r="AQ25" s="290"/>
      <c r="AR25" s="290"/>
      <c r="AS25" s="290"/>
      <c r="AT25" s="290"/>
      <c r="AU25" s="290"/>
      <c r="AV25" s="291"/>
      <c r="AW25" s="288"/>
      <c r="AX25" s="289"/>
      <c r="AY25" s="2"/>
    </row>
    <row r="26" spans="1:51" s="262" customFormat="1" ht="25.35" customHeight="1" thickBot="1" x14ac:dyDescent="0.3">
      <c r="A26" s="255"/>
      <c r="B26" s="263">
        <v>0.1</v>
      </c>
      <c r="C26" s="264"/>
      <c r="D26" s="264"/>
      <c r="E26" s="264"/>
      <c r="F26" s="265"/>
      <c r="G26" s="265"/>
      <c r="H26" s="265"/>
      <c r="I26" s="265"/>
      <c r="J26" s="305"/>
      <c r="K26" s="306"/>
      <c r="L26" s="306"/>
      <c r="M26" s="307"/>
      <c r="N26" s="308"/>
      <c r="O26" s="309"/>
      <c r="P26" s="309"/>
      <c r="Q26" s="309"/>
      <c r="R26" s="309"/>
      <c r="S26" s="309"/>
      <c r="T26" s="309"/>
      <c r="U26" s="309"/>
      <c r="V26" s="309"/>
      <c r="W26" s="309"/>
      <c r="X26" s="310"/>
      <c r="Y26" s="307"/>
      <c r="Z26" s="308"/>
      <c r="AA26" s="309"/>
      <c r="AB26" s="309"/>
      <c r="AC26" s="309"/>
      <c r="AD26" s="309"/>
      <c r="AE26" s="309"/>
      <c r="AF26" s="309"/>
      <c r="AG26" s="309"/>
      <c r="AH26" s="309"/>
      <c r="AI26" s="309"/>
      <c r="AJ26" s="310"/>
      <c r="AK26" s="307"/>
      <c r="AL26" s="308"/>
      <c r="AM26" s="309"/>
      <c r="AN26" s="309"/>
      <c r="AO26" s="309"/>
      <c r="AP26" s="309"/>
      <c r="AQ26" s="309"/>
      <c r="AR26" s="309"/>
      <c r="AS26" s="309"/>
      <c r="AT26" s="309"/>
      <c r="AU26" s="309"/>
      <c r="AV26" s="310"/>
      <c r="AW26" s="307"/>
      <c r="AX26" s="308"/>
      <c r="AY26" s="261"/>
    </row>
    <row r="27" spans="1:51" s="16" customFormat="1" ht="14.4" x14ac:dyDescent="0.3">
      <c r="A27" s="311"/>
      <c r="B27" s="12"/>
      <c r="C27" s="12"/>
      <c r="D27" s="12"/>
      <c r="E27" s="12"/>
      <c r="F27" s="12"/>
      <c r="G27" s="12"/>
      <c r="H27" s="12"/>
      <c r="I27" s="12"/>
      <c r="J27" s="12"/>
      <c r="K27" s="12"/>
      <c r="L27" s="12"/>
      <c r="M27" s="951" t="s">
        <v>509</v>
      </c>
      <c r="N27" s="949"/>
      <c r="O27" s="949"/>
      <c r="P27" s="949"/>
      <c r="Q27" s="949"/>
      <c r="R27" s="949"/>
      <c r="S27" s="949"/>
      <c r="T27" s="949"/>
      <c r="U27" s="949"/>
      <c r="V27" s="949"/>
      <c r="W27" s="949"/>
      <c r="X27" s="952"/>
      <c r="Y27" s="951" t="s">
        <v>510</v>
      </c>
      <c r="Z27" s="949"/>
      <c r="AA27" s="949"/>
      <c r="AB27" s="949"/>
      <c r="AC27" s="949"/>
      <c r="AD27" s="949"/>
      <c r="AE27" s="949"/>
      <c r="AF27" s="949"/>
      <c r="AG27" s="949"/>
      <c r="AH27" s="949"/>
      <c r="AI27" s="949"/>
      <c r="AJ27" s="952"/>
      <c r="AK27" s="951" t="s">
        <v>510</v>
      </c>
      <c r="AL27" s="949"/>
      <c r="AM27" s="949"/>
      <c r="AN27" s="949"/>
      <c r="AO27" s="949"/>
      <c r="AP27" s="949"/>
      <c r="AQ27" s="949"/>
      <c r="AR27" s="949"/>
      <c r="AS27" s="949"/>
      <c r="AT27" s="949"/>
      <c r="AU27" s="949"/>
      <c r="AV27" s="952"/>
      <c r="AW27" s="312" t="s">
        <v>511</v>
      </c>
      <c r="AX27" s="313"/>
      <c r="AY27" s="2"/>
    </row>
    <row r="28" spans="1:51" s="16" customFormat="1" ht="13.8" x14ac:dyDescent="0.25">
      <c r="A28" s="311"/>
      <c r="B28" s="12"/>
      <c r="C28" s="12"/>
      <c r="D28" s="12"/>
      <c r="E28" s="12"/>
      <c r="F28" s="12"/>
      <c r="G28" s="12"/>
      <c r="H28" s="12"/>
      <c r="I28" s="12"/>
      <c r="J28" s="12"/>
      <c r="K28" s="12"/>
      <c r="L28" s="12"/>
      <c r="M28" s="12"/>
      <c r="N28" s="314"/>
      <c r="O28" s="12"/>
      <c r="P28" s="12"/>
      <c r="Q28" s="12"/>
      <c r="R28" s="12"/>
      <c r="S28" s="12"/>
      <c r="T28" s="12"/>
      <c r="U28" s="12"/>
      <c r="V28" s="12"/>
      <c r="W28" s="12"/>
      <c r="X28" s="12"/>
      <c r="Y28" s="12"/>
      <c r="Z28" s="314"/>
      <c r="AA28" s="2"/>
      <c r="AB28" s="2"/>
      <c r="AC28" s="2"/>
      <c r="AD28" s="2"/>
      <c r="AE28" s="2"/>
      <c r="AF28" s="2"/>
      <c r="AG28" s="2"/>
      <c r="AH28" s="2"/>
      <c r="AI28" s="2"/>
      <c r="AJ28" s="12"/>
      <c r="AK28" s="12"/>
      <c r="AL28" s="315"/>
      <c r="AM28" s="2"/>
      <c r="AN28" s="2"/>
      <c r="AO28" s="2"/>
      <c r="AP28" s="2"/>
      <c r="AQ28" s="2"/>
      <c r="AR28" s="2"/>
      <c r="AS28" s="2"/>
      <c r="AT28" s="2"/>
      <c r="AU28" s="2"/>
      <c r="AV28" s="12"/>
      <c r="AW28" s="12"/>
      <c r="AX28" s="315"/>
      <c r="AY28" s="2"/>
    </row>
    <row r="29" spans="1:51" s="16" customFormat="1" ht="13.8" x14ac:dyDescent="0.25">
      <c r="A29" s="311"/>
      <c r="B29" s="12"/>
      <c r="C29" s="12"/>
      <c r="D29" s="12"/>
      <c r="E29" s="12"/>
      <c r="F29" s="12"/>
      <c r="G29" s="12"/>
      <c r="H29" s="12"/>
      <c r="I29" s="12"/>
      <c r="J29" s="12"/>
      <c r="K29" s="12"/>
      <c r="L29" s="12"/>
      <c r="M29" s="12"/>
      <c r="N29" s="314"/>
      <c r="O29" s="12"/>
      <c r="P29" s="12"/>
      <c r="Q29" s="12"/>
      <c r="R29" s="12"/>
      <c r="S29" s="12"/>
      <c r="T29" s="12"/>
      <c r="U29" s="12"/>
      <c r="V29" s="12"/>
      <c r="W29" s="12"/>
      <c r="X29" s="12"/>
      <c r="Y29" s="12"/>
      <c r="Z29" s="314"/>
      <c r="AA29" s="2"/>
      <c r="AB29" s="2"/>
      <c r="AC29" s="2"/>
      <c r="AD29" s="2"/>
      <c r="AE29" s="2"/>
      <c r="AF29" s="2"/>
      <c r="AG29" s="2"/>
      <c r="AH29" s="2"/>
      <c r="AI29" s="2"/>
      <c r="AJ29" s="12"/>
      <c r="AK29" s="12"/>
      <c r="AL29" s="315"/>
      <c r="AM29" s="2"/>
      <c r="AN29" s="2"/>
      <c r="AO29" s="2"/>
      <c r="AP29" s="2"/>
      <c r="AQ29" s="2"/>
      <c r="AR29" s="2"/>
      <c r="AS29" s="2"/>
      <c r="AT29" s="2"/>
      <c r="AU29" s="2"/>
      <c r="AV29" s="12"/>
      <c r="AW29" s="12"/>
      <c r="AX29" s="315"/>
      <c r="AY29" s="2"/>
    </row>
    <row r="30" spans="1:51" s="16" customFormat="1" ht="13.8" x14ac:dyDescent="0.25">
      <c r="A30" s="311"/>
      <c r="B30" s="12"/>
      <c r="C30" s="12"/>
      <c r="D30" s="12"/>
      <c r="E30" s="12"/>
      <c r="F30" s="12"/>
      <c r="G30" s="12"/>
      <c r="H30" s="12"/>
      <c r="I30" s="12"/>
      <c r="J30" s="12"/>
      <c r="K30" s="12"/>
      <c r="L30" s="12"/>
      <c r="M30" s="12"/>
      <c r="N30" s="314"/>
      <c r="O30" s="12"/>
      <c r="P30" s="12"/>
      <c r="Q30" s="12"/>
      <c r="R30" s="12"/>
      <c r="S30" s="12"/>
      <c r="T30" s="12"/>
      <c r="U30" s="12"/>
      <c r="V30" s="12"/>
      <c r="W30" s="12"/>
      <c r="X30" s="12"/>
      <c r="Y30" s="12"/>
      <c r="Z30" s="314"/>
      <c r="AA30" s="2"/>
      <c r="AB30" s="2"/>
      <c r="AC30" s="2"/>
      <c r="AD30" s="2"/>
      <c r="AE30" s="2"/>
      <c r="AF30" s="2"/>
      <c r="AG30" s="2"/>
      <c r="AH30" s="2"/>
      <c r="AI30" s="2"/>
      <c r="AJ30" s="12"/>
      <c r="AK30" s="12"/>
      <c r="AL30" s="315"/>
      <c r="AM30" s="2"/>
      <c r="AN30" s="2"/>
      <c r="AO30" s="2"/>
      <c r="AP30" s="2"/>
      <c r="AQ30" s="2"/>
      <c r="AR30" s="2"/>
      <c r="AS30" s="2"/>
      <c r="AT30" s="2"/>
      <c r="AU30" s="2"/>
      <c r="AV30" s="12"/>
      <c r="AW30" s="12"/>
      <c r="AX30" s="315"/>
      <c r="AY30" s="2"/>
    </row>
    <row r="31" spans="1:51" s="16" customFormat="1" ht="13.8" x14ac:dyDescent="0.25">
      <c r="A31" s="311"/>
      <c r="B31" s="12"/>
      <c r="C31" s="12"/>
      <c r="D31" s="12"/>
      <c r="E31" s="12"/>
      <c r="F31" s="12"/>
      <c r="G31" s="12"/>
      <c r="H31" s="12"/>
      <c r="I31" s="12"/>
      <c r="J31" s="12"/>
      <c r="K31" s="12"/>
      <c r="L31" s="12"/>
      <c r="M31" s="12"/>
      <c r="N31" s="314"/>
      <c r="O31" s="12"/>
      <c r="P31" s="12"/>
      <c r="Q31" s="12"/>
      <c r="R31" s="12"/>
      <c r="S31" s="12"/>
      <c r="T31" s="12"/>
      <c r="U31" s="12"/>
      <c r="V31" s="12"/>
      <c r="W31" s="12"/>
      <c r="X31" s="12"/>
      <c r="Y31" s="12"/>
      <c r="Z31" s="314"/>
      <c r="AA31" s="2"/>
      <c r="AB31" s="2"/>
      <c r="AC31" s="2"/>
      <c r="AD31" s="2"/>
      <c r="AE31" s="2"/>
      <c r="AF31" s="2"/>
      <c r="AG31" s="2"/>
      <c r="AH31" s="2"/>
      <c r="AI31" s="2"/>
      <c r="AJ31" s="12"/>
      <c r="AK31" s="12"/>
      <c r="AL31" s="315"/>
      <c r="AM31" s="2"/>
      <c r="AN31" s="2"/>
      <c r="AO31" s="2"/>
      <c r="AP31" s="2"/>
      <c r="AQ31" s="2"/>
      <c r="AR31" s="2"/>
      <c r="AS31" s="2"/>
      <c r="AT31" s="2"/>
      <c r="AU31" s="2"/>
      <c r="AV31" s="12"/>
      <c r="AW31" s="12"/>
      <c r="AX31" s="315"/>
      <c r="AY31" s="2"/>
    </row>
    <row r="32" spans="1:51" s="16" customFormat="1" x14ac:dyDescent="0.25">
      <c r="A32" s="311"/>
      <c r="B32" s="12"/>
      <c r="C32" s="12"/>
      <c r="D32" s="12"/>
      <c r="E32" s="12"/>
      <c r="F32" s="12"/>
      <c r="G32" s="12"/>
      <c r="H32" s="12"/>
      <c r="I32" s="12"/>
      <c r="J32" s="12"/>
      <c r="K32" s="12"/>
      <c r="L32" s="12"/>
      <c r="M32" s="246" t="s">
        <v>512</v>
      </c>
      <c r="N32" s="246"/>
      <c r="O32" s="246"/>
      <c r="P32" s="246"/>
      <c r="Q32" s="246"/>
      <c r="R32" s="246" t="s">
        <v>513</v>
      </c>
      <c r="S32" s="246"/>
      <c r="T32" s="246"/>
      <c r="U32" s="246"/>
      <c r="V32" s="246"/>
      <c r="W32" s="243"/>
      <c r="X32" s="246" t="s">
        <v>512</v>
      </c>
      <c r="Y32" s="246"/>
      <c r="Z32" s="243"/>
      <c r="AA32" s="243"/>
      <c r="AB32" s="243"/>
      <c r="AC32" s="243"/>
      <c r="AD32" s="243" t="s">
        <v>513</v>
      </c>
      <c r="AE32" s="243"/>
      <c r="AF32" s="243"/>
      <c r="AG32" s="243"/>
      <c r="AH32" s="243"/>
      <c r="AI32" s="243"/>
      <c r="AJ32" s="246" t="s">
        <v>512</v>
      </c>
      <c r="AK32" s="246"/>
      <c r="AL32" s="243"/>
      <c r="AM32" s="243"/>
      <c r="AN32" s="243"/>
      <c r="AO32" s="243"/>
      <c r="AP32" s="243" t="s">
        <v>513</v>
      </c>
      <c r="AQ32" s="243"/>
      <c r="AR32" s="243"/>
      <c r="AS32" s="243"/>
      <c r="AT32" s="2"/>
      <c r="AU32" s="2"/>
      <c r="AV32" s="246" t="s">
        <v>512</v>
      </c>
      <c r="AW32" s="12"/>
      <c r="AX32" s="315"/>
      <c r="AY32" s="2"/>
    </row>
    <row r="33" spans="1:51" s="16" customFormat="1" ht="13.8" x14ac:dyDescent="0.25">
      <c r="A33" s="311"/>
      <c r="B33" s="12"/>
      <c r="C33" s="12"/>
      <c r="D33" s="12"/>
      <c r="E33" s="12"/>
      <c r="F33" s="12"/>
      <c r="G33" s="12"/>
      <c r="H33" s="12"/>
      <c r="I33" s="12"/>
      <c r="J33" s="12"/>
      <c r="K33" s="12"/>
      <c r="L33" s="12"/>
      <c r="M33" s="12"/>
      <c r="N33" s="314"/>
      <c r="O33" s="12"/>
      <c r="P33" s="12"/>
      <c r="Q33" s="12"/>
      <c r="R33" s="12"/>
      <c r="S33" s="12"/>
      <c r="T33" s="12"/>
      <c r="U33" s="12"/>
      <c r="V33" s="12"/>
      <c r="W33" s="12"/>
      <c r="X33" s="12"/>
      <c r="Y33" s="12"/>
      <c r="Z33" s="314"/>
      <c r="AA33" s="2"/>
      <c r="AB33" s="2"/>
      <c r="AC33" s="2"/>
      <c r="AD33" s="2"/>
      <c r="AE33" s="2"/>
      <c r="AF33" s="2"/>
      <c r="AG33" s="2"/>
      <c r="AH33" s="2"/>
      <c r="AI33" s="2"/>
      <c r="AJ33" s="12"/>
      <c r="AK33" s="12"/>
      <c r="AL33" s="315"/>
      <c r="AM33" s="2"/>
      <c r="AN33" s="2"/>
      <c r="AO33" s="2"/>
      <c r="AP33" s="2"/>
      <c r="AQ33" s="2"/>
      <c r="AR33" s="2"/>
      <c r="AS33" s="2"/>
      <c r="AT33" s="2"/>
      <c r="AU33" s="2"/>
      <c r="AV33" s="12"/>
      <c r="AW33" s="12"/>
      <c r="AX33" s="315"/>
      <c r="AY33" s="2"/>
    </row>
    <row r="34" spans="1:51" s="16" customFormat="1" ht="13.8" x14ac:dyDescent="0.25">
      <c r="A34" s="311"/>
      <c r="B34" s="12"/>
      <c r="C34" s="12"/>
      <c r="D34" s="12"/>
      <c r="E34" s="12"/>
      <c r="F34" s="12"/>
      <c r="G34" s="12"/>
      <c r="H34" s="12"/>
      <c r="I34" s="12"/>
      <c r="J34" s="12"/>
      <c r="K34" s="12"/>
      <c r="L34" s="12"/>
      <c r="M34" s="12"/>
      <c r="N34" s="314"/>
      <c r="O34" s="12"/>
      <c r="P34" s="12"/>
      <c r="Q34" s="12"/>
      <c r="R34" s="12"/>
      <c r="S34" s="12"/>
      <c r="T34" s="12"/>
      <c r="U34" s="12"/>
      <c r="V34" s="12"/>
      <c r="W34" s="12"/>
      <c r="X34" s="12"/>
      <c r="Y34" s="12"/>
      <c r="Z34" s="314"/>
      <c r="AA34" s="2"/>
      <c r="AB34" s="2"/>
      <c r="AC34" s="2"/>
      <c r="AD34" s="2"/>
      <c r="AE34" s="2"/>
      <c r="AF34" s="2"/>
      <c r="AG34" s="2"/>
      <c r="AH34" s="2"/>
      <c r="AI34" s="2"/>
      <c r="AJ34" s="12"/>
      <c r="AK34" s="12"/>
      <c r="AL34" s="315"/>
      <c r="AM34" s="2"/>
      <c r="AN34" s="2"/>
      <c r="AO34" s="2"/>
      <c r="AP34" s="2"/>
      <c r="AQ34" s="2"/>
      <c r="AR34" s="2"/>
      <c r="AS34" s="2"/>
      <c r="AT34" s="2"/>
      <c r="AU34" s="2"/>
      <c r="AV34" s="12"/>
      <c r="AW34" s="12"/>
      <c r="AX34" s="315"/>
      <c r="AY34" s="2"/>
    </row>
    <row r="35" spans="1:51" s="16" customFormat="1" x14ac:dyDescent="0.25">
      <c r="A35" s="311"/>
      <c r="B35" s="12"/>
      <c r="C35" s="316"/>
      <c r="D35" s="317"/>
      <c r="E35" s="317"/>
      <c r="F35" s="317"/>
      <c r="G35" s="317"/>
      <c r="H35" s="317"/>
      <c r="I35" s="317" t="s">
        <v>514</v>
      </c>
      <c r="J35" s="317"/>
      <c r="K35" s="317"/>
      <c r="L35" s="317"/>
      <c r="M35" s="317"/>
      <c r="N35" s="318"/>
      <c r="O35" s="316"/>
      <c r="P35" s="317"/>
      <c r="Q35" s="317"/>
      <c r="R35" s="317"/>
      <c r="S35" s="317"/>
      <c r="T35" s="317"/>
      <c r="U35" s="317" t="s">
        <v>515</v>
      </c>
      <c r="V35" s="317"/>
      <c r="W35" s="317"/>
      <c r="X35" s="317"/>
      <c r="Y35" s="317"/>
      <c r="Z35" s="318"/>
      <c r="AA35" s="316"/>
      <c r="AB35" s="317"/>
      <c r="AC35" s="317"/>
      <c r="AD35" s="317"/>
      <c r="AE35" s="317"/>
      <c r="AF35" s="317"/>
      <c r="AG35" s="317" t="s">
        <v>516</v>
      </c>
      <c r="AH35" s="317"/>
      <c r="AI35" s="317"/>
      <c r="AJ35" s="317"/>
      <c r="AK35" s="317"/>
      <c r="AL35" s="318"/>
      <c r="AM35" s="316"/>
      <c r="AN35" s="317"/>
      <c r="AO35" s="317"/>
      <c r="AP35" s="317"/>
      <c r="AQ35" s="317"/>
      <c r="AR35" s="317"/>
      <c r="AS35" s="317" t="s">
        <v>517</v>
      </c>
      <c r="AT35" s="317"/>
      <c r="AU35" s="317"/>
      <c r="AV35" s="317"/>
      <c r="AW35" s="317"/>
      <c r="AX35" s="318"/>
      <c r="AY35" s="2"/>
    </row>
    <row r="36" spans="1:51" ht="15.6" x14ac:dyDescent="0.25">
      <c r="A36" s="319"/>
      <c r="B36" s="246"/>
      <c r="C36" s="320"/>
      <c r="D36" s="320"/>
      <c r="E36" s="320"/>
      <c r="F36" s="320"/>
      <c r="G36" s="320"/>
      <c r="H36" s="320"/>
      <c r="I36" s="320"/>
      <c r="J36" s="320"/>
      <c r="K36" s="320"/>
      <c r="L36" s="321"/>
      <c r="M36" s="322"/>
      <c r="N36" s="323" t="s">
        <v>518</v>
      </c>
      <c r="O36" s="324"/>
      <c r="P36" s="321"/>
      <c r="Q36" s="321"/>
      <c r="R36" s="321"/>
      <c r="S36" s="321"/>
      <c r="T36" s="321"/>
      <c r="U36" s="321"/>
      <c r="V36" s="321"/>
      <c r="W36" s="324" t="s">
        <v>519</v>
      </c>
      <c r="X36" s="321"/>
      <c r="Y36" s="321"/>
      <c r="Z36" s="323" t="s">
        <v>518</v>
      </c>
      <c r="AA36" s="324"/>
      <c r="AB36" s="324"/>
      <c r="AC36" s="321"/>
      <c r="AD36" s="324"/>
      <c r="AE36" s="320"/>
      <c r="AF36" s="320"/>
      <c r="AG36" s="320"/>
      <c r="AH36" s="320"/>
      <c r="AI36" s="324" t="s">
        <v>519</v>
      </c>
      <c r="AJ36" s="321"/>
      <c r="AK36" s="321"/>
      <c r="AL36" s="323" t="s">
        <v>518</v>
      </c>
      <c r="AM36" s="320"/>
      <c r="AN36" s="320"/>
      <c r="AO36" s="320"/>
      <c r="AP36" s="320"/>
      <c r="AQ36" s="320"/>
      <c r="AR36" s="320"/>
      <c r="AS36" s="320"/>
      <c r="AT36" s="320"/>
      <c r="AU36" s="324" t="s">
        <v>519</v>
      </c>
      <c r="AV36" s="321"/>
      <c r="AW36" s="321"/>
      <c r="AX36" s="323" t="s">
        <v>518</v>
      </c>
      <c r="AY36" s="243"/>
    </row>
    <row r="37" spans="1:51" ht="15.6" x14ac:dyDescent="0.25">
      <c r="A37" s="319"/>
      <c r="B37" s="246"/>
      <c r="C37" s="320"/>
      <c r="D37" s="320"/>
      <c r="E37" s="320"/>
      <c r="F37" s="320"/>
      <c r="G37" s="320"/>
      <c r="H37" s="320"/>
      <c r="I37" s="320"/>
      <c r="J37" s="320"/>
      <c r="K37" s="320"/>
      <c r="L37" s="320"/>
      <c r="M37" s="320"/>
      <c r="N37" s="325" t="s">
        <v>520</v>
      </c>
      <c r="O37" s="326"/>
      <c r="P37" s="320"/>
      <c r="Q37" s="320"/>
      <c r="R37" s="320"/>
      <c r="S37" s="320"/>
      <c r="T37" s="320"/>
      <c r="U37" s="320"/>
      <c r="V37" s="320"/>
      <c r="W37" s="326" t="s">
        <v>520</v>
      </c>
      <c r="X37" s="326" t="s">
        <v>521</v>
      </c>
      <c r="Y37" s="320"/>
      <c r="Z37" s="325" t="s">
        <v>520</v>
      </c>
      <c r="AA37" s="326"/>
      <c r="AB37" s="326"/>
      <c r="AC37" s="320"/>
      <c r="AD37" s="326"/>
      <c r="AE37" s="320"/>
      <c r="AF37" s="320"/>
      <c r="AG37" s="320"/>
      <c r="AH37" s="320"/>
      <c r="AI37" s="326" t="s">
        <v>520</v>
      </c>
      <c r="AJ37" s="326" t="s">
        <v>521</v>
      </c>
      <c r="AK37" s="320"/>
      <c r="AL37" s="325" t="s">
        <v>520</v>
      </c>
      <c r="AM37" s="320"/>
      <c r="AN37" s="320"/>
      <c r="AO37" s="320"/>
      <c r="AP37" s="320"/>
      <c r="AQ37" s="320"/>
      <c r="AR37" s="320"/>
      <c r="AS37" s="320"/>
      <c r="AT37" s="320"/>
      <c r="AU37" s="326" t="s">
        <v>520</v>
      </c>
      <c r="AV37" s="326" t="s">
        <v>521</v>
      </c>
      <c r="AW37" s="320"/>
      <c r="AX37" s="325" t="s">
        <v>520</v>
      </c>
      <c r="AY37" s="243"/>
    </row>
    <row r="38" spans="1:51" ht="15.6" x14ac:dyDescent="0.25">
      <c r="A38" s="319"/>
      <c r="B38" s="246"/>
      <c r="C38" s="320"/>
      <c r="D38" s="320"/>
      <c r="E38" s="320"/>
      <c r="F38" s="320"/>
      <c r="G38" s="320"/>
      <c r="H38" s="320"/>
      <c r="I38" s="320"/>
      <c r="J38" s="320"/>
      <c r="K38" s="320"/>
      <c r="L38" s="320"/>
      <c r="M38" s="320"/>
      <c r="N38" s="325">
        <v>0.4</v>
      </c>
      <c r="O38" s="326"/>
      <c r="P38" s="320"/>
      <c r="Q38" s="320"/>
      <c r="R38" s="320"/>
      <c r="S38" s="320"/>
      <c r="T38" s="320"/>
      <c r="U38" s="320"/>
      <c r="V38" s="320"/>
      <c r="W38" s="327">
        <v>0.4</v>
      </c>
      <c r="X38" s="320"/>
      <c r="Y38" s="320"/>
      <c r="Z38" s="325">
        <v>0.6</v>
      </c>
      <c r="AA38" s="326"/>
      <c r="AB38" s="326"/>
      <c r="AC38" s="320"/>
      <c r="AD38" s="327"/>
      <c r="AE38" s="320"/>
      <c r="AF38" s="320"/>
      <c r="AG38" s="320"/>
      <c r="AH38" s="320"/>
      <c r="AI38" s="327">
        <v>0.6</v>
      </c>
      <c r="AJ38" s="320"/>
      <c r="AK38" s="320"/>
      <c r="AL38" s="325">
        <v>0.8</v>
      </c>
      <c r="AM38" s="320"/>
      <c r="AN38" s="320"/>
      <c r="AO38" s="320"/>
      <c r="AP38" s="320"/>
      <c r="AQ38" s="320"/>
      <c r="AR38" s="320"/>
      <c r="AS38" s="320"/>
      <c r="AT38" s="320"/>
      <c r="AU38" s="327">
        <v>0.8</v>
      </c>
      <c r="AV38" s="320"/>
      <c r="AW38" s="320"/>
      <c r="AX38" s="325">
        <v>0.8</v>
      </c>
      <c r="AY38" s="243"/>
    </row>
    <row r="39" spans="1:51" ht="15.6" x14ac:dyDescent="0.25">
      <c r="A39" s="319"/>
      <c r="B39" s="246"/>
      <c r="C39" s="320"/>
      <c r="D39" s="320"/>
      <c r="E39" s="320"/>
      <c r="F39" s="320"/>
      <c r="G39" s="320"/>
      <c r="H39" s="320"/>
      <c r="I39" s="320"/>
      <c r="J39" s="320"/>
      <c r="K39" s="320"/>
      <c r="L39" s="320"/>
      <c r="M39" s="320"/>
      <c r="N39" s="328" t="s">
        <v>522</v>
      </c>
      <c r="O39" s="320"/>
      <c r="P39" s="320"/>
      <c r="Q39" s="320"/>
      <c r="R39" s="320"/>
      <c r="S39" s="320"/>
      <c r="T39" s="320"/>
      <c r="U39" s="320"/>
      <c r="V39" s="320"/>
      <c r="W39" s="320"/>
      <c r="X39" s="320"/>
      <c r="Y39" s="320"/>
      <c r="Z39" s="328" t="s">
        <v>522</v>
      </c>
      <c r="AA39" s="320"/>
      <c r="AB39" s="320"/>
      <c r="AC39" s="320"/>
      <c r="AD39" s="320"/>
      <c r="AE39" s="320"/>
      <c r="AF39" s="320"/>
      <c r="AG39" s="320"/>
      <c r="AH39" s="320"/>
      <c r="AI39" s="320"/>
      <c r="AJ39" s="320"/>
      <c r="AK39" s="320"/>
      <c r="AL39" s="328" t="s">
        <v>522</v>
      </c>
      <c r="AM39" s="320"/>
      <c r="AN39" s="320"/>
      <c r="AO39" s="320"/>
      <c r="AP39" s="320"/>
      <c r="AQ39" s="320"/>
      <c r="AR39" s="320"/>
      <c r="AS39" s="320"/>
      <c r="AT39" s="320"/>
      <c r="AU39" s="320"/>
      <c r="AV39" s="320"/>
      <c r="AW39" s="320"/>
      <c r="AX39" s="328" t="s">
        <v>522</v>
      </c>
      <c r="AY39" s="243"/>
    </row>
    <row r="40" spans="1:51" ht="15.6" x14ac:dyDescent="0.3">
      <c r="A40" s="319"/>
      <c r="B40" s="246"/>
      <c r="C40" s="320"/>
      <c r="D40" s="320"/>
      <c r="E40" s="320"/>
      <c r="F40" s="320"/>
      <c r="G40" s="320"/>
      <c r="H40" s="320"/>
      <c r="I40" s="320"/>
      <c r="J40" s="320"/>
      <c r="K40" s="320"/>
      <c r="L40" s="320"/>
      <c r="M40" s="320"/>
      <c r="N40" s="329">
        <f>(2/12)*40%</f>
        <v>6.6666666666666666E-2</v>
      </c>
      <c r="O40" s="320"/>
      <c r="P40" s="320"/>
      <c r="Q40" s="320"/>
      <c r="R40" s="320"/>
      <c r="S40" s="320"/>
      <c r="T40" s="320"/>
      <c r="U40" s="320"/>
      <c r="V40" s="320"/>
      <c r="W40" s="320"/>
      <c r="X40" s="320"/>
      <c r="Y40" s="320"/>
      <c r="Z40" s="329">
        <f>((10/12)*40%)+((2/12)*60%)</f>
        <v>0.43333333333333335</v>
      </c>
      <c r="AA40" s="320"/>
      <c r="AB40" s="320"/>
      <c r="AC40" s="320"/>
      <c r="AD40" s="320"/>
      <c r="AE40" s="320"/>
      <c r="AF40" s="320"/>
      <c r="AG40" s="320"/>
      <c r="AH40" s="320"/>
      <c r="AI40" s="320"/>
      <c r="AJ40" s="320"/>
      <c r="AK40" s="320"/>
      <c r="AL40" s="329">
        <f>((10/12)*60%)+((2/12)*80%)</f>
        <v>0.6333333333333333</v>
      </c>
      <c r="AM40" s="320"/>
      <c r="AN40" s="320"/>
      <c r="AO40" s="320"/>
      <c r="AP40" s="320"/>
      <c r="AQ40" s="320"/>
      <c r="AR40" s="320"/>
      <c r="AS40" s="320"/>
      <c r="AT40" s="320"/>
      <c r="AU40" s="320"/>
      <c r="AV40" s="320"/>
      <c r="AW40" s="320"/>
      <c r="AX40" s="329">
        <f>((10/12)*80%)+((2/12)*80%)</f>
        <v>0.8</v>
      </c>
      <c r="AY40" s="243"/>
    </row>
    <row r="41" spans="1:51" ht="15.6" x14ac:dyDescent="0.25">
      <c r="A41" s="319"/>
      <c r="B41" s="246"/>
      <c r="C41" s="320"/>
      <c r="D41" s="320"/>
      <c r="E41" s="320"/>
      <c r="F41" s="320"/>
      <c r="G41" s="320"/>
      <c r="H41" s="320"/>
      <c r="I41" s="320"/>
      <c r="J41" s="320"/>
      <c r="K41" s="320"/>
      <c r="L41" s="320"/>
      <c r="M41" s="320"/>
      <c r="N41" s="328" t="s">
        <v>523</v>
      </c>
      <c r="O41" s="320"/>
      <c r="P41" s="320"/>
      <c r="Q41" s="320"/>
      <c r="R41" s="320"/>
      <c r="S41" s="320"/>
      <c r="T41" s="320"/>
      <c r="U41" s="320"/>
      <c r="V41" s="320"/>
      <c r="W41" s="320"/>
      <c r="X41" s="320"/>
      <c r="Y41" s="320"/>
      <c r="Z41" s="328" t="s">
        <v>523</v>
      </c>
      <c r="AA41" s="320"/>
      <c r="AB41" s="320"/>
      <c r="AC41" s="320"/>
      <c r="AD41" s="320"/>
      <c r="AE41" s="320"/>
      <c r="AF41" s="320"/>
      <c r="AG41" s="320"/>
      <c r="AH41" s="320"/>
      <c r="AI41" s="320"/>
      <c r="AJ41" s="320"/>
      <c r="AK41" s="320"/>
      <c r="AL41" s="328" t="s">
        <v>523</v>
      </c>
      <c r="AM41" s="320"/>
      <c r="AN41" s="320"/>
      <c r="AO41" s="320"/>
      <c r="AP41" s="320"/>
      <c r="AQ41" s="320"/>
      <c r="AR41" s="320"/>
      <c r="AS41" s="320"/>
      <c r="AT41" s="320"/>
      <c r="AU41" s="320"/>
      <c r="AV41" s="320"/>
      <c r="AW41" s="320"/>
      <c r="AX41" s="328" t="s">
        <v>523</v>
      </c>
      <c r="AY41" s="243"/>
    </row>
    <row r="42" spans="1:51" ht="15.6" x14ac:dyDescent="0.3">
      <c r="A42" s="319"/>
      <c r="B42" s="246"/>
      <c r="C42" s="320"/>
      <c r="D42" s="320"/>
      <c r="E42" s="320"/>
      <c r="F42" s="320"/>
      <c r="G42" s="320"/>
      <c r="H42" s="320"/>
      <c r="I42" s="320"/>
      <c r="J42" s="320"/>
      <c r="K42" s="320"/>
      <c r="L42" s="320"/>
      <c r="M42" s="320"/>
      <c r="N42" s="329">
        <f>100%-N40</f>
        <v>0.93333333333333335</v>
      </c>
      <c r="O42" s="320"/>
      <c r="P42" s="320"/>
      <c r="Q42" s="320"/>
      <c r="R42" s="320"/>
      <c r="S42" s="320"/>
      <c r="T42" s="320"/>
      <c r="U42" s="320"/>
      <c r="V42" s="320"/>
      <c r="W42" s="320"/>
      <c r="X42" s="320"/>
      <c r="Y42" s="320"/>
      <c r="Z42" s="329">
        <f>100%-Z40</f>
        <v>0.56666666666666665</v>
      </c>
      <c r="AA42" s="320"/>
      <c r="AB42" s="320"/>
      <c r="AC42" s="320"/>
      <c r="AD42" s="320"/>
      <c r="AE42" s="320"/>
      <c r="AF42" s="320"/>
      <c r="AG42" s="320"/>
      <c r="AH42" s="320"/>
      <c r="AI42" s="320"/>
      <c r="AJ42" s="320"/>
      <c r="AK42" s="320"/>
      <c r="AL42" s="329">
        <f>100%-AL40</f>
        <v>0.3666666666666667</v>
      </c>
      <c r="AM42" s="320"/>
      <c r="AN42" s="320"/>
      <c r="AO42" s="320"/>
      <c r="AP42" s="320"/>
      <c r="AQ42" s="320"/>
      <c r="AR42" s="320"/>
      <c r="AS42" s="320"/>
      <c r="AT42" s="320"/>
      <c r="AU42" s="320"/>
      <c r="AV42" s="320"/>
      <c r="AW42" s="320"/>
      <c r="AX42" s="329">
        <f>100%-AX40</f>
        <v>0.19999999999999996</v>
      </c>
      <c r="AY42" s="243"/>
    </row>
    <row r="43" spans="1:51" ht="15.6" x14ac:dyDescent="0.25">
      <c r="A43" s="319"/>
      <c r="B43" s="246"/>
      <c r="C43" s="320"/>
      <c r="D43" s="320"/>
      <c r="E43" s="320"/>
      <c r="F43" s="320"/>
      <c r="G43" s="320"/>
      <c r="H43" s="320"/>
      <c r="I43" s="320"/>
      <c r="J43" s="320"/>
      <c r="K43" s="320"/>
      <c r="L43" s="320"/>
      <c r="M43" s="320"/>
      <c r="N43" s="328" t="s">
        <v>524</v>
      </c>
      <c r="O43" s="320"/>
      <c r="P43" s="320"/>
      <c r="Q43" s="320"/>
      <c r="R43" s="320"/>
      <c r="S43" s="320"/>
      <c r="T43" s="320"/>
      <c r="U43" s="320"/>
      <c r="V43" s="320"/>
      <c r="W43" s="320"/>
      <c r="X43" s="320"/>
      <c r="Y43" s="320"/>
      <c r="Z43" s="328" t="s">
        <v>524</v>
      </c>
      <c r="AA43" s="320"/>
      <c r="AB43" s="320"/>
      <c r="AC43" s="320"/>
      <c r="AD43" s="320"/>
      <c r="AE43" s="320"/>
      <c r="AF43" s="320"/>
      <c r="AG43" s="320"/>
      <c r="AH43" s="320"/>
      <c r="AI43" s="320"/>
      <c r="AJ43" s="320"/>
      <c r="AK43" s="320"/>
      <c r="AL43" s="328" t="s">
        <v>524</v>
      </c>
      <c r="AM43" s="320"/>
      <c r="AN43" s="320"/>
      <c r="AO43" s="320"/>
      <c r="AP43" s="320"/>
      <c r="AQ43" s="320"/>
      <c r="AR43" s="320"/>
      <c r="AS43" s="320"/>
      <c r="AT43" s="320"/>
      <c r="AU43" s="320"/>
      <c r="AV43" s="320"/>
      <c r="AW43" s="320"/>
      <c r="AX43" s="328" t="s">
        <v>524</v>
      </c>
      <c r="AY43" s="243"/>
    </row>
    <row r="44" spans="1:51" ht="15.6" x14ac:dyDescent="0.3">
      <c r="A44" s="319"/>
      <c r="B44" s="246"/>
      <c r="C44" s="320"/>
      <c r="D44" s="320"/>
      <c r="E44" s="320"/>
      <c r="F44" s="320"/>
      <c r="G44" s="320"/>
      <c r="H44" s="320"/>
      <c r="I44" s="320"/>
      <c r="J44" s="320"/>
      <c r="K44" s="320"/>
      <c r="L44" s="320"/>
      <c r="M44" s="320"/>
      <c r="N44" s="330"/>
      <c r="O44" s="320"/>
      <c r="P44" s="320"/>
      <c r="Q44" s="320"/>
      <c r="R44" s="320"/>
      <c r="S44" s="320"/>
      <c r="T44" s="320"/>
      <c r="U44" s="320"/>
      <c r="V44" s="320"/>
      <c r="W44" s="320"/>
      <c r="X44" s="320"/>
      <c r="Y44" s="320"/>
      <c r="Z44" s="329"/>
      <c r="AA44" s="320"/>
      <c r="AB44" s="320"/>
      <c r="AC44" s="320"/>
      <c r="AD44" s="320"/>
      <c r="AE44" s="320"/>
      <c r="AF44" s="320"/>
      <c r="AG44" s="320"/>
      <c r="AH44" s="320"/>
      <c r="AI44" s="320"/>
      <c r="AJ44" s="320"/>
      <c r="AK44" s="320"/>
      <c r="AL44" s="331"/>
      <c r="AM44" s="320"/>
      <c r="AN44" s="320"/>
      <c r="AO44" s="320"/>
      <c r="AP44" s="320"/>
      <c r="AQ44" s="320"/>
      <c r="AR44" s="320"/>
      <c r="AS44" s="320"/>
      <c r="AT44" s="320"/>
      <c r="AU44" s="320"/>
      <c r="AV44" s="320"/>
      <c r="AW44" s="320"/>
      <c r="AX44" s="331"/>
      <c r="AY44" s="243"/>
    </row>
    <row r="45" spans="1:51" ht="15.6" x14ac:dyDescent="0.3">
      <c r="A45" s="319"/>
      <c r="B45" s="246"/>
      <c r="C45" s="320"/>
      <c r="D45" s="320"/>
      <c r="E45" s="320"/>
      <c r="F45" s="320"/>
      <c r="G45" s="320"/>
      <c r="H45" s="320"/>
      <c r="I45" s="320"/>
      <c r="J45" s="320"/>
      <c r="K45" s="320"/>
      <c r="L45" s="320"/>
      <c r="M45" s="320"/>
      <c r="N45" s="332" t="s">
        <v>525</v>
      </c>
      <c r="O45" s="320"/>
      <c r="P45" s="320"/>
      <c r="Q45" s="320"/>
      <c r="R45" s="320"/>
      <c r="S45" s="320"/>
      <c r="T45" s="320"/>
      <c r="U45" s="320"/>
      <c r="V45" s="320"/>
      <c r="W45" s="320"/>
      <c r="X45" s="320"/>
      <c r="Y45" s="320"/>
      <c r="Z45" s="332" t="s">
        <v>526</v>
      </c>
      <c r="AA45" s="320"/>
      <c r="AB45" s="320"/>
      <c r="AC45" s="320"/>
      <c r="AD45" s="320"/>
      <c r="AE45" s="320"/>
      <c r="AF45" s="320"/>
      <c r="AG45" s="320"/>
      <c r="AH45" s="320"/>
      <c r="AI45" s="320"/>
      <c r="AJ45" s="320"/>
      <c r="AK45" s="320"/>
      <c r="AL45" s="332" t="s">
        <v>527</v>
      </c>
      <c r="AM45" s="320"/>
      <c r="AN45" s="320"/>
      <c r="AO45" s="320"/>
      <c r="AP45" s="320"/>
      <c r="AQ45" s="320"/>
      <c r="AR45" s="320"/>
      <c r="AS45" s="320"/>
      <c r="AT45" s="320"/>
      <c r="AU45" s="320"/>
      <c r="AV45" s="320"/>
      <c r="AW45" s="320"/>
      <c r="AX45" s="332" t="s">
        <v>528</v>
      </c>
      <c r="AY45" s="243"/>
    </row>
    <row r="46" spans="1:51" ht="15.6" x14ac:dyDescent="0.3">
      <c r="A46" s="319"/>
      <c r="B46" s="246"/>
      <c r="C46" s="320"/>
      <c r="D46" s="320"/>
      <c r="E46" s="320"/>
      <c r="F46" s="320"/>
      <c r="G46" s="320"/>
      <c r="H46" s="320"/>
      <c r="I46" s="320"/>
      <c r="J46" s="320"/>
      <c r="K46" s="320"/>
      <c r="L46" s="320"/>
      <c r="M46" s="320"/>
      <c r="N46" s="332" t="s">
        <v>529</v>
      </c>
      <c r="O46" s="320"/>
      <c r="P46" s="320"/>
      <c r="Q46" s="320"/>
      <c r="R46" s="320"/>
      <c r="S46" s="320"/>
      <c r="T46" s="320"/>
      <c r="U46" s="320"/>
      <c r="V46" s="320"/>
      <c r="W46" s="320"/>
      <c r="X46" s="320"/>
      <c r="Y46" s="320"/>
      <c r="Z46" s="332" t="s">
        <v>529</v>
      </c>
      <c r="AA46" s="320"/>
      <c r="AB46" s="320"/>
      <c r="AC46" s="320"/>
      <c r="AD46" s="320"/>
      <c r="AE46" s="320"/>
      <c r="AF46" s="320"/>
      <c r="AG46" s="320"/>
      <c r="AH46" s="320"/>
      <c r="AI46" s="320"/>
      <c r="AJ46" s="320"/>
      <c r="AK46" s="320"/>
      <c r="AL46" s="332" t="s">
        <v>529</v>
      </c>
      <c r="AM46" s="320"/>
      <c r="AN46" s="320"/>
      <c r="AO46" s="320"/>
      <c r="AP46" s="320"/>
      <c r="AQ46" s="320"/>
      <c r="AR46" s="320"/>
      <c r="AS46" s="320"/>
      <c r="AT46" s="320"/>
      <c r="AU46" s="320"/>
      <c r="AV46" s="320"/>
      <c r="AW46" s="320"/>
      <c r="AX46" s="332" t="s">
        <v>529</v>
      </c>
      <c r="AY46" s="243"/>
    </row>
    <row r="47" spans="1:51" ht="15.6" x14ac:dyDescent="0.3">
      <c r="A47" s="319"/>
      <c r="B47" s="246"/>
      <c r="C47" s="246"/>
      <c r="D47" s="246"/>
      <c r="E47" s="246"/>
      <c r="F47" s="246"/>
      <c r="G47" s="246"/>
      <c r="H47" s="246"/>
      <c r="I47" s="246"/>
      <c r="J47" s="246"/>
      <c r="K47" s="246"/>
      <c r="L47" s="246"/>
      <c r="M47" s="246"/>
      <c r="N47" s="333"/>
      <c r="O47" s="246"/>
      <c r="P47" s="246"/>
      <c r="Q47" s="246"/>
      <c r="R47" s="246"/>
      <c r="S47" s="246"/>
      <c r="T47" s="246"/>
      <c r="U47" s="246"/>
      <c r="V47" s="246"/>
      <c r="W47" s="246"/>
      <c r="X47" s="246"/>
      <c r="Y47" s="246"/>
      <c r="Z47" s="333"/>
      <c r="AA47" s="243"/>
      <c r="AB47" s="243"/>
      <c r="AC47" s="243"/>
      <c r="AD47" s="243"/>
      <c r="AE47" s="243"/>
      <c r="AF47" s="243"/>
      <c r="AG47" s="243"/>
      <c r="AH47" s="243"/>
      <c r="AI47" s="243"/>
      <c r="AJ47" s="243"/>
      <c r="AK47" s="243"/>
      <c r="AL47" s="334"/>
      <c r="AM47" s="243"/>
      <c r="AN47" s="243"/>
      <c r="AO47" s="243"/>
      <c r="AP47" s="243"/>
      <c r="AQ47" s="243"/>
      <c r="AR47" s="243"/>
      <c r="AS47" s="243"/>
      <c r="AT47" s="243"/>
      <c r="AU47" s="243"/>
      <c r="AV47" s="243"/>
      <c r="AW47" s="243"/>
      <c r="AX47" s="333"/>
      <c r="AY47" s="243"/>
    </row>
    <row r="48" spans="1:51" ht="15.6" x14ac:dyDescent="0.25">
      <c r="A48" s="335"/>
      <c r="B48" s="247"/>
      <c r="D48" s="247"/>
      <c r="E48" s="247"/>
      <c r="F48" s="247"/>
      <c r="G48" s="247"/>
      <c r="H48" s="247"/>
    </row>
    <row r="49" spans="1:51" s="245" customFormat="1" ht="15.6" x14ac:dyDescent="0.25">
      <c r="A49" s="335"/>
    </row>
    <row r="50" spans="1:51" s="245" customFormat="1" ht="15.6" x14ac:dyDescent="0.25">
      <c r="A50" s="335"/>
    </row>
    <row r="51" spans="1:51" s="245" customFormat="1" ht="16.2" thickBot="1" x14ac:dyDescent="0.3">
      <c r="A51" s="335"/>
    </row>
    <row r="52" spans="1:51" ht="30.6" customHeight="1" thickBot="1" x14ac:dyDescent="0.3">
      <c r="A52" s="953" t="s">
        <v>530</v>
      </c>
      <c r="B52" s="954"/>
      <c r="C52" s="954"/>
      <c r="D52" s="954"/>
      <c r="E52" s="954"/>
      <c r="F52" s="954"/>
      <c r="G52" s="954"/>
      <c r="H52" s="954"/>
      <c r="I52" s="954"/>
      <c r="J52" s="954"/>
      <c r="K52" s="954"/>
      <c r="L52" s="954"/>
      <c r="M52" s="954"/>
      <c r="N52" s="955"/>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3"/>
      <c r="AN52" s="243"/>
      <c r="AO52" s="243"/>
      <c r="AP52" s="243"/>
      <c r="AQ52" s="243"/>
      <c r="AR52" s="243"/>
      <c r="AS52" s="243"/>
      <c r="AT52" s="243"/>
      <c r="AU52" s="243"/>
      <c r="AV52" s="243"/>
      <c r="AW52" s="243"/>
      <c r="AX52" s="243"/>
      <c r="AY52" s="243"/>
    </row>
    <row r="53" spans="1:51" ht="15.75" customHeight="1" x14ac:dyDescent="0.25">
      <c r="A53" s="248"/>
      <c r="B53" s="249"/>
      <c r="C53" s="250"/>
      <c r="D53" s="244"/>
      <c r="E53" s="243"/>
      <c r="F53" s="243"/>
      <c r="G53" s="243"/>
      <c r="H53" s="246"/>
      <c r="I53" s="246"/>
      <c r="J53" s="246"/>
      <c r="K53" s="246"/>
      <c r="L53" s="246"/>
      <c r="M53" s="246"/>
      <c r="N53" s="246"/>
      <c r="O53" s="246"/>
      <c r="P53" s="246"/>
      <c r="Q53" s="246"/>
      <c r="R53" s="246"/>
      <c r="S53" s="246"/>
      <c r="T53" s="246"/>
      <c r="U53" s="246"/>
      <c r="V53" s="246"/>
      <c r="W53" s="246"/>
      <c r="X53" s="246"/>
      <c r="Y53" s="246"/>
      <c r="Z53" s="246"/>
      <c r="AA53" s="246"/>
      <c r="AB53" s="253"/>
      <c r="AC53" s="246"/>
      <c r="AD53" s="246"/>
      <c r="AE53" s="246"/>
      <c r="AF53" s="246"/>
      <c r="AG53" s="246"/>
      <c r="AH53" s="246"/>
      <c r="AI53" s="246"/>
      <c r="AJ53" s="246"/>
      <c r="AK53" s="246"/>
      <c r="AL53" s="246"/>
      <c r="AM53" s="243"/>
      <c r="AN53" s="243"/>
      <c r="AO53" s="243"/>
      <c r="AP53" s="243"/>
      <c r="AQ53" s="243"/>
      <c r="AR53" s="243"/>
      <c r="AS53" s="243"/>
      <c r="AT53" s="243"/>
      <c r="AU53" s="243"/>
      <c r="AV53" s="243"/>
      <c r="AW53" s="243"/>
      <c r="AX53" s="243"/>
      <c r="AY53" s="243"/>
    </row>
    <row r="54" spans="1:51" ht="15.6" x14ac:dyDescent="0.25">
      <c r="A54" s="254"/>
      <c r="B54" s="249"/>
      <c r="C54" s="252">
        <v>1200</v>
      </c>
      <c r="D54" s="336" t="s">
        <v>531</v>
      </c>
      <c r="E54" s="243"/>
      <c r="F54" s="243"/>
      <c r="G54" s="243"/>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3"/>
      <c r="AN54" s="243"/>
      <c r="AO54" s="243"/>
      <c r="AP54" s="243"/>
      <c r="AQ54" s="243"/>
      <c r="AR54" s="243"/>
      <c r="AS54" s="243"/>
      <c r="AT54" s="243"/>
      <c r="AU54" s="243"/>
      <c r="AV54" s="243"/>
      <c r="AW54" s="243"/>
      <c r="AX54" s="243"/>
      <c r="AY54" s="243"/>
    </row>
    <row r="55" spans="1:51" ht="15.6" x14ac:dyDescent="0.25">
      <c r="A55" s="254"/>
      <c r="B55" s="249"/>
      <c r="C55" s="252" t="s">
        <v>532</v>
      </c>
      <c r="D55" s="244"/>
      <c r="E55" s="243"/>
      <c r="F55" s="243"/>
      <c r="G55" s="243"/>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3"/>
      <c r="AN55" s="246"/>
      <c r="AO55" s="246"/>
      <c r="AP55" s="243"/>
      <c r="AQ55" s="243"/>
      <c r="AR55" s="243"/>
      <c r="AS55" s="243"/>
      <c r="AT55" s="243"/>
      <c r="AU55" s="243"/>
      <c r="AV55" s="243"/>
      <c r="AW55" s="243"/>
      <c r="AX55" s="243"/>
      <c r="AY55" s="243"/>
    </row>
    <row r="56" spans="1:51" ht="15.6" x14ac:dyDescent="0.25">
      <c r="A56" s="254"/>
      <c r="B56" s="249"/>
      <c r="C56" s="252" t="s">
        <v>533</v>
      </c>
      <c r="D56" s="244"/>
      <c r="E56" s="243"/>
      <c r="F56" s="243"/>
      <c r="G56" s="243"/>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3"/>
      <c r="AN56" s="243"/>
      <c r="AO56" s="243"/>
      <c r="AP56" s="243"/>
      <c r="AQ56" s="243"/>
      <c r="AR56" s="243"/>
      <c r="AS56" s="243"/>
      <c r="AT56" s="243"/>
      <c r="AU56" s="243"/>
      <c r="AV56" s="243"/>
      <c r="AW56" s="243"/>
      <c r="AX56" s="243"/>
      <c r="AY56" s="243"/>
    </row>
    <row r="57" spans="1:51" ht="15.6" x14ac:dyDescent="0.25">
      <c r="A57" s="254"/>
      <c r="B57" s="249"/>
      <c r="C57" s="250" t="s">
        <v>534</v>
      </c>
      <c r="D57" s="244"/>
      <c r="E57" s="243"/>
      <c r="F57" s="243"/>
      <c r="G57" s="243"/>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3"/>
      <c r="AN57" s="243"/>
      <c r="AO57" s="243"/>
      <c r="AP57" s="243"/>
      <c r="AQ57" s="243"/>
      <c r="AR57" s="243"/>
      <c r="AS57" s="243"/>
      <c r="AT57" s="243"/>
      <c r="AU57" s="243"/>
      <c r="AV57" s="243"/>
      <c r="AW57" s="243"/>
      <c r="AX57" s="243"/>
      <c r="AY57" s="243"/>
    </row>
    <row r="58" spans="1:51" ht="15.6" thickBot="1" x14ac:dyDescent="0.3">
      <c r="A58" s="255"/>
      <c r="B58" s="242"/>
      <c r="C58" s="243"/>
      <c r="D58" s="243"/>
      <c r="E58" s="243"/>
      <c r="F58" s="243"/>
      <c r="G58" s="243"/>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3"/>
      <c r="AN58" s="243"/>
      <c r="AO58" s="243"/>
      <c r="AP58" s="243"/>
      <c r="AQ58" s="243"/>
      <c r="AR58" s="243"/>
      <c r="AS58" s="243"/>
      <c r="AT58" s="243"/>
      <c r="AU58" s="243"/>
      <c r="AV58" s="243"/>
      <c r="AW58" s="243"/>
      <c r="AX58" s="243"/>
      <c r="AY58" s="243"/>
    </row>
    <row r="59" spans="1:51" ht="15.6" x14ac:dyDescent="0.3">
      <c r="A59" s="255"/>
      <c r="B59" s="242"/>
      <c r="C59" s="945" t="s">
        <v>535</v>
      </c>
      <c r="D59" s="946"/>
      <c r="E59" s="946"/>
      <c r="F59" s="946"/>
      <c r="G59" s="946"/>
      <c r="H59" s="946"/>
      <c r="I59" s="946"/>
      <c r="J59" s="946"/>
      <c r="K59" s="946"/>
      <c r="L59" s="946"/>
      <c r="M59" s="946"/>
      <c r="N59" s="947"/>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3"/>
      <c r="AN59" s="243"/>
      <c r="AO59" s="243"/>
      <c r="AP59" s="243"/>
      <c r="AQ59" s="243"/>
      <c r="AR59" s="243"/>
      <c r="AS59" s="243"/>
      <c r="AT59" s="243"/>
      <c r="AU59" s="243"/>
      <c r="AV59" s="243"/>
      <c r="AW59" s="243"/>
      <c r="AX59" s="243"/>
      <c r="AY59" s="243"/>
    </row>
    <row r="60" spans="1:51" s="262" customFormat="1" ht="62.1" customHeight="1" thickBot="1" x14ac:dyDescent="0.3">
      <c r="A60" s="255"/>
      <c r="B60" s="242"/>
      <c r="C60" s="257">
        <v>1</v>
      </c>
      <c r="D60" s="258">
        <v>2</v>
      </c>
      <c r="E60" s="259">
        <v>3</v>
      </c>
      <c r="F60" s="258">
        <v>4</v>
      </c>
      <c r="G60" s="258">
        <v>5</v>
      </c>
      <c r="H60" s="259">
        <v>6</v>
      </c>
      <c r="I60" s="258">
        <v>7</v>
      </c>
      <c r="J60" s="258">
        <v>8</v>
      </c>
      <c r="K60" s="259">
        <v>9</v>
      </c>
      <c r="L60" s="258">
        <v>10</v>
      </c>
      <c r="M60" s="258">
        <v>11</v>
      </c>
      <c r="N60" s="260">
        <v>12</v>
      </c>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3"/>
      <c r="AN60" s="243"/>
      <c r="AO60" s="243"/>
      <c r="AP60" s="243"/>
      <c r="AQ60" s="243"/>
      <c r="AR60" s="243"/>
      <c r="AS60" s="243"/>
      <c r="AT60" s="243"/>
      <c r="AU60" s="261"/>
      <c r="AV60" s="261"/>
      <c r="AW60" s="261"/>
      <c r="AX60" s="261"/>
      <c r="AY60" s="261"/>
    </row>
    <row r="61" spans="1:51" s="262" customFormat="1" ht="28.35" customHeight="1" x14ac:dyDescent="0.25">
      <c r="A61" s="255"/>
      <c r="B61" s="242"/>
      <c r="C61" s="337"/>
      <c r="D61" s="269"/>
      <c r="E61" s="338"/>
      <c r="F61" s="337"/>
      <c r="G61" s="269"/>
      <c r="H61" s="338"/>
      <c r="I61" s="337"/>
      <c r="J61" s="269"/>
      <c r="K61" s="338"/>
      <c r="L61" s="337"/>
      <c r="M61" s="269"/>
      <c r="N61" s="339">
        <v>90</v>
      </c>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3"/>
      <c r="AN61" s="243"/>
      <c r="AO61" s="243"/>
      <c r="AP61" s="243"/>
      <c r="AQ61" s="243"/>
      <c r="AR61" s="243"/>
      <c r="AS61" s="243"/>
      <c r="AT61" s="243"/>
      <c r="AU61" s="261"/>
      <c r="AV61" s="261"/>
      <c r="AW61" s="261"/>
      <c r="AX61" s="261"/>
      <c r="AY61" s="261"/>
    </row>
    <row r="62" spans="1:51" s="16" customFormat="1" ht="25.35" customHeight="1" x14ac:dyDescent="0.25">
      <c r="A62" s="255"/>
      <c r="B62" s="242"/>
      <c r="C62" s="264"/>
      <c r="D62" s="264"/>
      <c r="E62" s="264"/>
      <c r="F62" s="265"/>
      <c r="G62" s="265"/>
      <c r="H62" s="265"/>
      <c r="I62" s="264"/>
      <c r="J62" s="264"/>
      <c r="K62" s="264"/>
      <c r="L62" s="265"/>
      <c r="M62" s="340">
        <v>90</v>
      </c>
      <c r="N62" s="340">
        <v>90</v>
      </c>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6"/>
      <c r="AL62" s="246"/>
      <c r="AM62" s="243"/>
      <c r="AN62" s="243"/>
      <c r="AO62" s="243"/>
      <c r="AP62" s="243"/>
      <c r="AQ62" s="243"/>
      <c r="AR62" s="243"/>
      <c r="AS62" s="243"/>
      <c r="AT62" s="243"/>
      <c r="AU62" s="2"/>
      <c r="AV62" s="2"/>
      <c r="AW62" s="2"/>
      <c r="AX62" s="2"/>
      <c r="AY62" s="2"/>
    </row>
    <row r="63" spans="1:51" s="16" customFormat="1" ht="25.35" customHeight="1" x14ac:dyDescent="0.25">
      <c r="A63" s="255"/>
      <c r="B63" s="242"/>
      <c r="C63" s="264"/>
      <c r="D63" s="264"/>
      <c r="E63" s="264"/>
      <c r="F63" s="265"/>
      <c r="G63" s="265"/>
      <c r="H63" s="265"/>
      <c r="I63" s="264"/>
      <c r="J63" s="264"/>
      <c r="K63" s="264"/>
      <c r="L63" s="340">
        <v>90</v>
      </c>
      <c r="M63" s="340">
        <v>90</v>
      </c>
      <c r="N63" s="340">
        <v>90</v>
      </c>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3"/>
      <c r="AN63" s="243"/>
      <c r="AO63" s="243"/>
      <c r="AP63" s="243"/>
      <c r="AQ63" s="243"/>
      <c r="AR63" s="243"/>
      <c r="AS63" s="243"/>
      <c r="AT63" s="243"/>
      <c r="AU63" s="2"/>
      <c r="AV63" s="2"/>
      <c r="AW63" s="2"/>
      <c r="AX63" s="2"/>
      <c r="AY63" s="2"/>
    </row>
    <row r="64" spans="1:51" s="16" customFormat="1" ht="25.35" customHeight="1" x14ac:dyDescent="0.25">
      <c r="A64" s="255"/>
      <c r="B64" s="242"/>
      <c r="C64" s="264"/>
      <c r="D64" s="264"/>
      <c r="E64" s="264"/>
      <c r="F64" s="265"/>
      <c r="G64" s="265"/>
      <c r="H64" s="265"/>
      <c r="I64" s="264"/>
      <c r="J64" s="264"/>
      <c r="K64" s="340">
        <v>90</v>
      </c>
      <c r="L64" s="340">
        <v>90</v>
      </c>
      <c r="M64" s="340">
        <v>90</v>
      </c>
      <c r="N64" s="340">
        <v>90</v>
      </c>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3"/>
      <c r="AN64" s="243"/>
      <c r="AO64" s="243"/>
      <c r="AP64" s="243"/>
      <c r="AQ64" s="243"/>
      <c r="AR64" s="243"/>
      <c r="AS64" s="243"/>
      <c r="AT64" s="243"/>
      <c r="AU64" s="2"/>
      <c r="AV64" s="2"/>
      <c r="AW64" s="2"/>
      <c r="AX64" s="2"/>
      <c r="AY64" s="2"/>
    </row>
    <row r="65" spans="1:51" s="16" customFormat="1" ht="25.35" customHeight="1" x14ac:dyDescent="0.25">
      <c r="A65" s="255"/>
      <c r="B65" s="242"/>
      <c r="C65" s="285"/>
      <c r="D65" s="285"/>
      <c r="E65" s="285"/>
      <c r="F65" s="341"/>
      <c r="G65" s="341"/>
      <c r="H65" s="341"/>
      <c r="I65" s="285"/>
      <c r="J65" s="340">
        <v>90</v>
      </c>
      <c r="K65" s="340">
        <v>90</v>
      </c>
      <c r="L65" s="340">
        <v>90</v>
      </c>
      <c r="M65" s="340">
        <v>90</v>
      </c>
      <c r="N65" s="340">
        <v>90</v>
      </c>
      <c r="O65" s="246"/>
      <c r="P65" s="246"/>
      <c r="Q65" s="246"/>
      <c r="R65" s="246"/>
      <c r="S65" s="246"/>
      <c r="T65" s="246"/>
      <c r="U65" s="246"/>
      <c r="V65" s="246"/>
      <c r="W65" s="246"/>
      <c r="X65" s="246"/>
      <c r="Y65" s="246"/>
      <c r="Z65" s="246"/>
      <c r="AA65" s="246"/>
      <c r="AB65" s="246"/>
      <c r="AC65" s="246"/>
      <c r="AD65" s="246"/>
      <c r="AE65" s="246"/>
      <c r="AF65" s="246"/>
      <c r="AG65" s="246"/>
      <c r="AH65" s="246"/>
      <c r="AI65" s="246"/>
      <c r="AJ65" s="246"/>
      <c r="AK65" s="246"/>
      <c r="AL65" s="246"/>
      <c r="AM65" s="243"/>
      <c r="AN65" s="243"/>
      <c r="AO65" s="243"/>
      <c r="AP65" s="243"/>
      <c r="AQ65" s="243"/>
      <c r="AR65" s="243"/>
      <c r="AS65" s="243"/>
      <c r="AT65" s="243"/>
      <c r="AU65" s="2"/>
      <c r="AV65" s="2"/>
      <c r="AW65" s="2"/>
      <c r="AX65" s="2"/>
      <c r="AY65" s="2"/>
    </row>
    <row r="66" spans="1:51" s="16" customFormat="1" ht="25.35" customHeight="1" x14ac:dyDescent="0.25">
      <c r="A66" s="255"/>
      <c r="B66" s="242"/>
      <c r="C66" s="292"/>
      <c r="D66" s="293"/>
      <c r="E66" s="294"/>
      <c r="F66" s="342"/>
      <c r="G66" s="293"/>
      <c r="H66" s="294"/>
      <c r="I66" s="340">
        <v>90</v>
      </c>
      <c r="J66" s="340">
        <v>90</v>
      </c>
      <c r="K66" s="340">
        <v>90</v>
      </c>
      <c r="L66" s="340">
        <v>90</v>
      </c>
      <c r="M66" s="340">
        <v>90</v>
      </c>
      <c r="N66" s="340">
        <v>90</v>
      </c>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3"/>
      <c r="AN66" s="243"/>
      <c r="AO66" s="243"/>
      <c r="AP66" s="243"/>
      <c r="AQ66" s="243"/>
      <c r="AR66" s="243"/>
      <c r="AS66" s="243"/>
      <c r="AT66" s="243"/>
      <c r="AU66" s="2"/>
      <c r="AV66" s="2"/>
      <c r="AW66" s="2"/>
      <c r="AX66" s="2"/>
      <c r="AY66" s="2"/>
    </row>
    <row r="67" spans="1:51" s="16" customFormat="1" ht="25.35" customHeight="1" x14ac:dyDescent="0.25">
      <c r="A67" s="255"/>
      <c r="B67" s="242"/>
      <c r="C67" s="264"/>
      <c r="D67" s="264"/>
      <c r="E67" s="264"/>
      <c r="F67" s="265"/>
      <c r="G67" s="265"/>
      <c r="H67" s="340">
        <v>90</v>
      </c>
      <c r="I67" s="340">
        <v>90</v>
      </c>
      <c r="J67" s="340">
        <v>90</v>
      </c>
      <c r="K67" s="340">
        <v>90</v>
      </c>
      <c r="L67" s="340">
        <v>90</v>
      </c>
      <c r="M67" s="340">
        <v>90</v>
      </c>
      <c r="N67" s="340">
        <v>90</v>
      </c>
      <c r="O67" s="246"/>
      <c r="P67" s="246"/>
      <c r="Q67" s="246"/>
      <c r="R67" s="246"/>
      <c r="S67" s="246"/>
      <c r="T67" s="246"/>
      <c r="U67" s="246"/>
      <c r="V67" s="246"/>
      <c r="W67" s="246"/>
      <c r="X67" s="246"/>
      <c r="Y67" s="246"/>
      <c r="Z67" s="246"/>
      <c r="AA67" s="246"/>
      <c r="AB67" s="246"/>
      <c r="AC67" s="246"/>
      <c r="AD67" s="246"/>
      <c r="AE67" s="246"/>
      <c r="AF67" s="246"/>
      <c r="AG67" s="246"/>
      <c r="AH67" s="246"/>
      <c r="AI67" s="246"/>
      <c r="AJ67" s="246"/>
      <c r="AK67" s="246"/>
      <c r="AL67" s="246"/>
      <c r="AM67" s="243"/>
      <c r="AN67" s="243"/>
      <c r="AO67" s="243"/>
      <c r="AP67" s="243"/>
      <c r="AQ67" s="243"/>
      <c r="AR67" s="243"/>
      <c r="AS67" s="243"/>
      <c r="AT67" s="243"/>
      <c r="AU67" s="2"/>
      <c r="AV67" s="2"/>
      <c r="AW67" s="2"/>
      <c r="AX67" s="2"/>
      <c r="AY67" s="2"/>
    </row>
    <row r="68" spans="1:51" s="16" customFormat="1" ht="25.35" customHeight="1" x14ac:dyDescent="0.25">
      <c r="A68" s="255"/>
      <c r="B68" s="242"/>
      <c r="C68" s="264"/>
      <c r="D68" s="264"/>
      <c r="E68" s="264"/>
      <c r="F68" s="265"/>
      <c r="G68" s="340">
        <v>90</v>
      </c>
      <c r="H68" s="340">
        <v>90</v>
      </c>
      <c r="I68" s="340">
        <v>90</v>
      </c>
      <c r="J68" s="340">
        <v>90</v>
      </c>
      <c r="K68" s="340">
        <v>90</v>
      </c>
      <c r="L68" s="340">
        <v>90</v>
      </c>
      <c r="M68" s="340">
        <v>90</v>
      </c>
      <c r="N68" s="340">
        <v>90</v>
      </c>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3"/>
      <c r="AN68" s="243"/>
      <c r="AO68" s="243"/>
      <c r="AP68" s="243"/>
      <c r="AQ68" s="243"/>
      <c r="AR68" s="243"/>
      <c r="AS68" s="243"/>
      <c r="AT68" s="243"/>
      <c r="AU68" s="2"/>
      <c r="AV68" s="2"/>
      <c r="AW68" s="2"/>
      <c r="AX68" s="2"/>
      <c r="AY68" s="2"/>
    </row>
    <row r="69" spans="1:51" s="16" customFormat="1" ht="25.35" customHeight="1" x14ac:dyDescent="0.25">
      <c r="A69" s="255"/>
      <c r="B69" s="242"/>
      <c r="C69" s="264"/>
      <c r="D69" s="264"/>
      <c r="E69" s="264"/>
      <c r="F69" s="340">
        <v>90</v>
      </c>
      <c r="G69" s="340">
        <v>90</v>
      </c>
      <c r="H69" s="340">
        <v>90</v>
      </c>
      <c r="I69" s="340">
        <v>90</v>
      </c>
      <c r="J69" s="340">
        <v>90</v>
      </c>
      <c r="K69" s="340">
        <v>90</v>
      </c>
      <c r="L69" s="340">
        <v>90</v>
      </c>
      <c r="M69" s="340">
        <v>90</v>
      </c>
      <c r="N69" s="340">
        <v>90</v>
      </c>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3"/>
      <c r="AN69" s="243"/>
      <c r="AO69" s="243"/>
      <c r="AP69" s="243"/>
      <c r="AQ69" s="243"/>
      <c r="AR69" s="243"/>
      <c r="AS69" s="243"/>
      <c r="AT69" s="243"/>
      <c r="AU69" s="2"/>
      <c r="AV69" s="2"/>
      <c r="AW69" s="2"/>
      <c r="AX69" s="2"/>
      <c r="AY69" s="2"/>
    </row>
    <row r="70" spans="1:51" s="16" customFormat="1" ht="25.35" customHeight="1" x14ac:dyDescent="0.25">
      <c r="A70" s="255"/>
      <c r="B70" s="242"/>
      <c r="C70" s="264"/>
      <c r="D70" s="264"/>
      <c r="E70" s="340">
        <v>90</v>
      </c>
      <c r="F70" s="340">
        <v>90</v>
      </c>
      <c r="G70" s="340">
        <v>90</v>
      </c>
      <c r="H70" s="340">
        <v>90</v>
      </c>
      <c r="I70" s="340">
        <v>90</v>
      </c>
      <c r="J70" s="340">
        <v>90</v>
      </c>
      <c r="K70" s="340">
        <v>90</v>
      </c>
      <c r="L70" s="340">
        <v>90</v>
      </c>
      <c r="M70" s="340">
        <v>90</v>
      </c>
      <c r="N70" s="340">
        <v>90</v>
      </c>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3"/>
      <c r="AN70" s="243"/>
      <c r="AO70" s="243"/>
      <c r="AP70" s="243"/>
      <c r="AQ70" s="243"/>
      <c r="AR70" s="243"/>
      <c r="AS70" s="243"/>
      <c r="AT70" s="243"/>
      <c r="AU70" s="2"/>
      <c r="AV70" s="2"/>
      <c r="AW70" s="2"/>
      <c r="AX70" s="2"/>
      <c r="AY70" s="2"/>
    </row>
    <row r="71" spans="1:51" s="262" customFormat="1" ht="25.35" customHeight="1" x14ac:dyDescent="0.25">
      <c r="A71" s="255"/>
      <c r="B71" s="242"/>
      <c r="C71" s="264"/>
      <c r="D71" s="340">
        <v>90</v>
      </c>
      <c r="E71" s="340">
        <v>90</v>
      </c>
      <c r="F71" s="340">
        <v>90</v>
      </c>
      <c r="G71" s="340">
        <v>90</v>
      </c>
      <c r="H71" s="340">
        <v>90</v>
      </c>
      <c r="I71" s="340">
        <v>90</v>
      </c>
      <c r="J71" s="340">
        <v>90</v>
      </c>
      <c r="K71" s="340">
        <v>90</v>
      </c>
      <c r="L71" s="340">
        <v>90</v>
      </c>
      <c r="M71" s="340">
        <v>90</v>
      </c>
      <c r="N71" s="340">
        <v>90</v>
      </c>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3"/>
      <c r="AN71" s="243"/>
      <c r="AO71" s="243"/>
      <c r="AP71" s="243"/>
      <c r="AQ71" s="243"/>
      <c r="AR71" s="243"/>
      <c r="AS71" s="243"/>
      <c r="AT71" s="243"/>
      <c r="AU71" s="261"/>
      <c r="AV71" s="261"/>
      <c r="AW71" s="261"/>
      <c r="AX71" s="261"/>
      <c r="AY71" s="261"/>
    </row>
    <row r="72" spans="1:51" s="343" customFormat="1" ht="25.35" customHeight="1" x14ac:dyDescent="0.25">
      <c r="A72" s="255"/>
      <c r="B72" s="242"/>
      <c r="C72" s="340">
        <v>90</v>
      </c>
      <c r="D72" s="340">
        <v>90</v>
      </c>
      <c r="E72" s="340">
        <v>90</v>
      </c>
      <c r="F72" s="340">
        <v>90</v>
      </c>
      <c r="G72" s="340">
        <v>90</v>
      </c>
      <c r="H72" s="340">
        <v>90</v>
      </c>
      <c r="I72" s="340">
        <v>90</v>
      </c>
      <c r="J72" s="340">
        <v>90</v>
      </c>
      <c r="K72" s="340">
        <v>90</v>
      </c>
      <c r="L72" s="340">
        <v>90</v>
      </c>
      <c r="M72" s="340">
        <v>90</v>
      </c>
      <c r="N72" s="340">
        <v>90</v>
      </c>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3"/>
      <c r="AN72" s="243"/>
      <c r="AO72" s="243"/>
      <c r="AP72" s="243"/>
      <c r="AQ72" s="243"/>
      <c r="AR72" s="243"/>
      <c r="AS72" s="243"/>
      <c r="AT72" s="243"/>
      <c r="AU72" s="19"/>
      <c r="AV72" s="19"/>
      <c r="AW72" s="19"/>
      <c r="AX72" s="19"/>
      <c r="AY72" s="19"/>
    </row>
    <row r="73" spans="1:51" s="16" customFormat="1" ht="33.6" customHeight="1" x14ac:dyDescent="0.25">
      <c r="A73" s="311"/>
      <c r="B73" s="242"/>
      <c r="C73" s="344">
        <f>SUM(C61:C72)</f>
        <v>90</v>
      </c>
      <c r="D73" s="344">
        <f t="shared" ref="D73:N73" si="0">SUM(D61:D72)</f>
        <v>180</v>
      </c>
      <c r="E73" s="344">
        <f t="shared" si="0"/>
        <v>270</v>
      </c>
      <c r="F73" s="344">
        <f t="shared" si="0"/>
        <v>360</v>
      </c>
      <c r="G73" s="344">
        <f t="shared" si="0"/>
        <v>450</v>
      </c>
      <c r="H73" s="344">
        <f t="shared" si="0"/>
        <v>540</v>
      </c>
      <c r="I73" s="344">
        <f t="shared" si="0"/>
        <v>630</v>
      </c>
      <c r="J73" s="344">
        <f t="shared" si="0"/>
        <v>720</v>
      </c>
      <c r="K73" s="344">
        <f t="shared" si="0"/>
        <v>810</v>
      </c>
      <c r="L73" s="344">
        <f t="shared" si="0"/>
        <v>900</v>
      </c>
      <c r="M73" s="344">
        <f t="shared" si="0"/>
        <v>990</v>
      </c>
      <c r="N73" s="344">
        <f t="shared" si="0"/>
        <v>1080</v>
      </c>
      <c r="O73" s="345" t="s">
        <v>536</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25">
      <c r="A74" s="311"/>
      <c r="B74" s="242"/>
      <c r="C74" s="344"/>
      <c r="D74" s="344"/>
      <c r="E74" s="344"/>
      <c r="F74" s="344"/>
      <c r="G74" s="344"/>
      <c r="H74" s="344"/>
      <c r="I74" s="344"/>
      <c r="J74" s="344"/>
      <c r="K74" s="344"/>
      <c r="L74" s="344"/>
      <c r="M74" s="344"/>
      <c r="N74" s="346" t="s">
        <v>537</v>
      </c>
      <c r="O74" s="345"/>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6" x14ac:dyDescent="0.25">
      <c r="A75" s="319"/>
      <c r="B75" s="242"/>
      <c r="C75" s="347">
        <f>C73/$C$54</f>
        <v>7.4999999999999997E-2</v>
      </c>
      <c r="D75" s="347">
        <f t="shared" ref="D75:N75" si="1">D73/$C$54</f>
        <v>0.15</v>
      </c>
      <c r="E75" s="347">
        <f t="shared" si="1"/>
        <v>0.22500000000000001</v>
      </c>
      <c r="F75" s="347">
        <f t="shared" si="1"/>
        <v>0.3</v>
      </c>
      <c r="G75" s="347">
        <f t="shared" si="1"/>
        <v>0.375</v>
      </c>
      <c r="H75" s="347">
        <f t="shared" si="1"/>
        <v>0.45</v>
      </c>
      <c r="I75" s="347">
        <f t="shared" si="1"/>
        <v>0.52500000000000002</v>
      </c>
      <c r="J75" s="347">
        <f t="shared" si="1"/>
        <v>0.6</v>
      </c>
      <c r="K75" s="347">
        <f t="shared" si="1"/>
        <v>0.67500000000000004</v>
      </c>
      <c r="L75" s="347">
        <f t="shared" si="1"/>
        <v>0.75</v>
      </c>
      <c r="M75" s="347">
        <f t="shared" si="1"/>
        <v>0.82499999999999996</v>
      </c>
      <c r="N75" s="347">
        <f t="shared" si="1"/>
        <v>0.9</v>
      </c>
      <c r="O75" s="348" t="s">
        <v>538</v>
      </c>
      <c r="P75" s="246"/>
      <c r="Q75" s="246"/>
      <c r="R75" s="246"/>
      <c r="S75" s="246"/>
      <c r="T75" s="246"/>
      <c r="U75" s="246"/>
      <c r="V75" s="246"/>
      <c r="W75" s="246"/>
      <c r="X75" s="246"/>
      <c r="Y75" s="246"/>
      <c r="Z75" s="246"/>
      <c r="AA75" s="246"/>
      <c r="AB75" s="349"/>
      <c r="AC75" s="349"/>
      <c r="AD75" s="349"/>
      <c r="AE75" s="349"/>
      <c r="AF75" s="349"/>
      <c r="AG75" s="349"/>
      <c r="AH75" s="349"/>
      <c r="AI75" s="349"/>
      <c r="AJ75" s="349"/>
      <c r="AK75" s="349"/>
      <c r="AL75" s="349"/>
      <c r="AM75" s="349"/>
      <c r="AN75" s="349"/>
      <c r="AO75" s="349"/>
      <c r="AP75" s="349"/>
      <c r="AQ75" s="243"/>
      <c r="AR75" s="243"/>
      <c r="AS75" s="243"/>
      <c r="AT75" s="243"/>
      <c r="AU75" s="243"/>
      <c r="AV75" s="243"/>
      <c r="AW75" s="243"/>
      <c r="AX75" s="243"/>
      <c r="AY75" s="243"/>
    </row>
    <row r="76" spans="1:51" ht="15.6" x14ac:dyDescent="0.25">
      <c r="A76" s="319"/>
      <c r="B76" s="242"/>
      <c r="C76" s="12"/>
      <c r="D76" s="344"/>
      <c r="E76" s="344"/>
      <c r="F76" s="350"/>
      <c r="G76" s="350"/>
      <c r="H76" s="350"/>
      <c r="I76" s="12"/>
      <c r="J76" s="12"/>
      <c r="K76" s="12"/>
      <c r="L76" s="12"/>
      <c r="M76" s="12"/>
      <c r="N76" s="351">
        <f>SUM(C75:N75)</f>
        <v>5.8500000000000005</v>
      </c>
      <c r="O76" s="246"/>
      <c r="P76" s="246"/>
      <c r="Q76" s="246"/>
      <c r="R76" s="246"/>
      <c r="S76" s="246"/>
      <c r="T76" s="246"/>
      <c r="U76" s="246"/>
      <c r="V76" s="246"/>
      <c r="W76" s="246"/>
      <c r="X76" s="246"/>
      <c r="Y76" s="246"/>
      <c r="Z76" s="246"/>
      <c r="AA76" s="246"/>
      <c r="AB76" s="246"/>
      <c r="AC76" s="246"/>
      <c r="AD76" s="263"/>
      <c r="AE76" s="246"/>
      <c r="AF76" s="246"/>
      <c r="AG76" s="246"/>
      <c r="AH76" s="246"/>
      <c r="AI76" s="246"/>
      <c r="AJ76" s="246"/>
      <c r="AK76" s="246"/>
      <c r="AL76" s="246"/>
      <c r="AM76" s="246"/>
      <c r="AN76" s="246"/>
      <c r="AO76" s="246"/>
      <c r="AP76" s="263"/>
      <c r="AQ76" s="243"/>
      <c r="AR76" s="243"/>
      <c r="AS76" s="243"/>
      <c r="AT76" s="243"/>
      <c r="AU76" s="243"/>
      <c r="AV76" s="243"/>
      <c r="AW76" s="243"/>
      <c r="AX76" s="243"/>
      <c r="AY76" s="243"/>
    </row>
    <row r="77" spans="1:51" ht="15.6" x14ac:dyDescent="0.25">
      <c r="A77" s="319"/>
      <c r="B77" s="242"/>
      <c r="C77" s="12"/>
      <c r="D77" s="344"/>
      <c r="E77" s="344"/>
      <c r="F77" s="350"/>
      <c r="G77" s="350"/>
      <c r="H77" s="350"/>
      <c r="I77" s="12"/>
      <c r="J77" s="12"/>
      <c r="K77" s="12"/>
      <c r="L77" s="12"/>
      <c r="M77" s="12"/>
      <c r="N77" s="256" t="s">
        <v>539</v>
      </c>
      <c r="O77" s="246"/>
      <c r="P77" s="246"/>
      <c r="Q77" s="246"/>
      <c r="R77" s="246"/>
      <c r="S77" s="246"/>
      <c r="T77" s="246"/>
      <c r="U77" s="246"/>
      <c r="V77" s="246"/>
      <c r="W77" s="246"/>
      <c r="X77" s="246"/>
      <c r="Y77" s="246"/>
      <c r="Z77" s="246"/>
      <c r="AA77" s="246"/>
      <c r="AB77" s="246"/>
      <c r="AC77" s="246"/>
      <c r="AD77" s="256"/>
      <c r="AE77" s="246"/>
      <c r="AF77" s="246"/>
      <c r="AG77" s="246"/>
      <c r="AH77" s="246"/>
      <c r="AI77" s="246"/>
      <c r="AJ77" s="246"/>
      <c r="AK77" s="246"/>
      <c r="AL77" s="246"/>
      <c r="AM77" s="246"/>
      <c r="AN77" s="246"/>
      <c r="AO77" s="246"/>
      <c r="AP77" s="256"/>
      <c r="AQ77" s="243"/>
      <c r="AR77" s="243"/>
      <c r="AS77" s="243"/>
      <c r="AT77" s="243"/>
      <c r="AU77" s="243"/>
      <c r="AV77" s="243"/>
      <c r="AW77" s="243"/>
      <c r="AX77" s="243"/>
      <c r="AY77" s="243"/>
    </row>
    <row r="78" spans="1:51" ht="15.6" x14ac:dyDescent="0.3">
      <c r="A78" s="319"/>
      <c r="B78" s="352"/>
      <c r="C78" s="12"/>
      <c r="D78" s="344"/>
      <c r="E78" s="344"/>
      <c r="F78" s="350"/>
      <c r="G78" s="350"/>
      <c r="H78" s="350"/>
      <c r="I78" s="12"/>
      <c r="J78" s="12"/>
      <c r="K78" s="12"/>
      <c r="L78" s="12"/>
      <c r="M78" s="12"/>
      <c r="N78" s="353">
        <f>N76/(12*100%)</f>
        <v>0.48750000000000004</v>
      </c>
      <c r="O78" s="354" t="s">
        <v>540</v>
      </c>
      <c r="P78" s="246"/>
      <c r="Q78" s="246"/>
      <c r="R78" s="246"/>
      <c r="S78" s="246"/>
      <c r="T78" s="246"/>
      <c r="U78" s="246"/>
      <c r="V78" s="246"/>
      <c r="W78" s="246"/>
      <c r="X78" s="246"/>
      <c r="Y78" s="246"/>
      <c r="Z78" s="246"/>
      <c r="AA78" s="246"/>
      <c r="AB78" s="246"/>
      <c r="AC78" s="246"/>
      <c r="AD78" s="355"/>
      <c r="AE78" s="246"/>
      <c r="AF78" s="246"/>
      <c r="AG78" s="246"/>
      <c r="AH78" s="246"/>
      <c r="AI78" s="246"/>
      <c r="AJ78" s="246"/>
      <c r="AK78" s="246"/>
      <c r="AL78" s="246"/>
      <c r="AM78" s="246"/>
      <c r="AN78" s="246"/>
      <c r="AO78" s="246"/>
      <c r="AP78" s="356"/>
      <c r="AQ78" s="243"/>
      <c r="AR78" s="243"/>
      <c r="AS78" s="243"/>
      <c r="AT78" s="243"/>
      <c r="AU78" s="243"/>
      <c r="AV78" s="243"/>
      <c r="AW78" s="243"/>
      <c r="AX78" s="243"/>
      <c r="AY78" s="243"/>
    </row>
    <row r="79" spans="1:51" ht="15.6" x14ac:dyDescent="0.3">
      <c r="A79" s="319"/>
      <c r="B79" s="352"/>
      <c r="C79" s="246"/>
      <c r="D79" s="357"/>
      <c r="E79" s="357"/>
      <c r="F79" s="352"/>
      <c r="G79" s="352"/>
      <c r="H79" s="352"/>
      <c r="I79" s="246"/>
      <c r="J79" s="246"/>
      <c r="K79" s="246"/>
      <c r="L79" s="246"/>
      <c r="M79" s="246"/>
      <c r="N79" s="256" t="s">
        <v>541</v>
      </c>
      <c r="O79" s="246"/>
      <c r="P79" s="246"/>
      <c r="Q79" s="246"/>
      <c r="R79" s="246"/>
      <c r="S79" s="246"/>
      <c r="T79" s="246"/>
      <c r="U79" s="246"/>
      <c r="V79" s="246"/>
      <c r="W79" s="246"/>
      <c r="X79" s="246"/>
      <c r="Y79" s="246"/>
      <c r="Z79" s="246"/>
      <c r="AA79" s="246"/>
      <c r="AB79" s="246"/>
      <c r="AC79" s="246"/>
      <c r="AD79" s="333"/>
      <c r="AE79" s="246"/>
      <c r="AF79" s="246"/>
      <c r="AG79" s="246"/>
      <c r="AH79" s="246"/>
      <c r="AI79" s="246"/>
      <c r="AJ79" s="246"/>
      <c r="AK79" s="246"/>
      <c r="AL79" s="246"/>
      <c r="AM79" s="246"/>
      <c r="AN79" s="246"/>
      <c r="AO79" s="246"/>
      <c r="AP79" s="333"/>
      <c r="AQ79" s="243"/>
      <c r="AR79" s="243"/>
      <c r="AS79" s="243"/>
      <c r="AT79" s="243"/>
      <c r="AU79" s="243"/>
      <c r="AV79" s="243"/>
      <c r="AW79" s="243"/>
      <c r="AX79" s="243"/>
      <c r="AY79" s="243"/>
    </row>
    <row r="80" spans="1:51" ht="15.6" x14ac:dyDescent="0.3">
      <c r="A80" s="319"/>
      <c r="B80" s="352"/>
      <c r="C80" s="246"/>
      <c r="D80" s="357"/>
      <c r="E80" s="357"/>
      <c r="F80" s="352"/>
      <c r="G80" s="352"/>
      <c r="H80" s="352"/>
      <c r="I80" s="246"/>
      <c r="J80" s="246"/>
      <c r="K80" s="246"/>
      <c r="L80" s="246"/>
      <c r="M80" s="246"/>
      <c r="N80" s="256" t="s">
        <v>542</v>
      </c>
      <c r="O80" s="246"/>
      <c r="P80" s="246"/>
      <c r="Q80" s="246"/>
      <c r="R80" s="246"/>
      <c r="S80" s="246"/>
      <c r="T80" s="246"/>
      <c r="U80" s="246"/>
      <c r="V80" s="246"/>
      <c r="W80" s="246"/>
      <c r="X80" s="246"/>
      <c r="Y80" s="246"/>
      <c r="Z80" s="246"/>
      <c r="AA80" s="246"/>
      <c r="AB80" s="246"/>
      <c r="AC80" s="246"/>
      <c r="AD80" s="355"/>
      <c r="AE80" s="246"/>
      <c r="AF80" s="246"/>
      <c r="AG80" s="246"/>
      <c r="AH80" s="246"/>
      <c r="AI80" s="246"/>
      <c r="AJ80" s="246"/>
      <c r="AK80" s="246"/>
      <c r="AL80" s="246"/>
      <c r="AM80" s="246"/>
      <c r="AN80" s="246"/>
      <c r="AO80" s="246"/>
      <c r="AP80" s="356"/>
      <c r="AQ80" s="243"/>
      <c r="AR80" s="243"/>
      <c r="AS80" s="243"/>
      <c r="AT80" s="243"/>
      <c r="AU80" s="243"/>
      <c r="AV80" s="243"/>
      <c r="AW80" s="243"/>
      <c r="AX80" s="243"/>
      <c r="AY80" s="243"/>
    </row>
    <row r="81" spans="1:51" s="245" customFormat="1" ht="15.6" x14ac:dyDescent="0.25">
      <c r="A81" s="241"/>
      <c r="B81" s="242"/>
      <c r="C81" s="243"/>
      <c r="D81" s="244"/>
      <c r="E81" s="244"/>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row>
    <row r="82" spans="1:51" s="245" customFormat="1" ht="15.6" x14ac:dyDescent="0.25">
      <c r="A82" s="335"/>
      <c r="C82" s="247"/>
      <c r="D82" s="358"/>
      <c r="E82" s="358"/>
    </row>
    <row r="83" spans="1:51" s="245" customFormat="1" ht="15.6" x14ac:dyDescent="0.25">
      <c r="A83" s="335"/>
      <c r="C83" s="247"/>
      <c r="D83" s="358"/>
      <c r="E83" s="358"/>
    </row>
    <row r="84" spans="1:51" s="245" customFormat="1" ht="15.6" x14ac:dyDescent="0.25">
      <c r="A84" s="335"/>
      <c r="C84" s="247"/>
      <c r="D84" s="358"/>
      <c r="E84" s="358"/>
    </row>
    <row r="85" spans="1:51" s="245" customFormat="1" ht="15.6" x14ac:dyDescent="0.25">
      <c r="A85" s="335"/>
      <c r="C85" s="247"/>
      <c r="D85" s="358"/>
      <c r="E85" s="358"/>
    </row>
    <row r="86" spans="1:51" s="245" customFormat="1" ht="15.6" x14ac:dyDescent="0.25">
      <c r="A86" s="335"/>
      <c r="C86" s="247"/>
      <c r="D86" s="358"/>
      <c r="E86" s="358"/>
    </row>
    <row r="87" spans="1:51" s="245" customFormat="1" ht="15.6" x14ac:dyDescent="0.25">
      <c r="A87" s="335"/>
      <c r="C87" s="247"/>
      <c r="D87" s="358"/>
      <c r="E87" s="358"/>
    </row>
    <row r="88" spans="1:51" s="245" customFormat="1" ht="15.6" x14ac:dyDescent="0.25">
      <c r="A88" s="335"/>
      <c r="C88" s="247"/>
      <c r="D88" s="358"/>
      <c r="E88" s="358"/>
    </row>
    <row r="89" spans="1:51" s="245" customFormat="1" ht="15.6" x14ac:dyDescent="0.25">
      <c r="A89" s="335"/>
      <c r="C89" s="247"/>
      <c r="D89" s="358"/>
      <c r="E89" s="358"/>
    </row>
    <row r="90" spans="1:51" s="245" customFormat="1" ht="15.6" x14ac:dyDescent="0.25">
      <c r="A90" s="335"/>
      <c r="C90" s="247"/>
      <c r="D90" s="358"/>
      <c r="E90" s="358"/>
    </row>
    <row r="91" spans="1:51" s="245" customFormat="1" ht="15.6" x14ac:dyDescent="0.25">
      <c r="A91" s="335"/>
      <c r="C91" s="247"/>
      <c r="D91" s="358"/>
      <c r="E91" s="358"/>
    </row>
    <row r="92" spans="1:51" s="245" customFormat="1" ht="15.6" x14ac:dyDescent="0.25">
      <c r="A92" s="335"/>
      <c r="C92" s="247"/>
      <c r="D92" s="358"/>
      <c r="E92" s="358"/>
    </row>
    <row r="93" spans="1:51" s="245" customFormat="1" ht="15.6" x14ac:dyDescent="0.25">
      <c r="A93" s="335"/>
      <c r="C93" s="247"/>
      <c r="D93" s="358"/>
      <c r="E93" s="358"/>
    </row>
    <row r="94" spans="1:51" s="245" customFormat="1" ht="15.6" x14ac:dyDescent="0.25">
      <c r="A94" s="335"/>
      <c r="C94" s="247"/>
      <c r="D94" s="358"/>
      <c r="E94" s="358"/>
    </row>
    <row r="95" spans="1:51" s="245" customFormat="1" ht="15.6" x14ac:dyDescent="0.25">
      <c r="A95" s="335"/>
      <c r="C95" s="247"/>
      <c r="D95" s="358"/>
      <c r="E95" s="358"/>
    </row>
    <row r="96" spans="1:51" s="245" customFormat="1" ht="15.6" x14ac:dyDescent="0.25">
      <c r="A96" s="335"/>
      <c r="C96" s="247"/>
      <c r="D96" s="358"/>
      <c r="E96" s="358"/>
    </row>
    <row r="97" spans="1:5" s="245" customFormat="1" ht="15.6" x14ac:dyDescent="0.25">
      <c r="A97" s="335"/>
      <c r="C97" s="247"/>
      <c r="D97" s="358"/>
      <c r="E97" s="358"/>
    </row>
    <row r="98" spans="1:5" s="245" customFormat="1" ht="15.6" x14ac:dyDescent="0.25">
      <c r="A98" s="335"/>
      <c r="C98" s="247"/>
      <c r="D98" s="358"/>
      <c r="E98" s="358"/>
    </row>
    <row r="99" spans="1:5" s="245" customFormat="1" ht="15.6" x14ac:dyDescent="0.25">
      <c r="A99" s="335"/>
      <c r="C99" s="247"/>
      <c r="D99" s="358"/>
      <c r="E99" s="358"/>
    </row>
    <row r="100" spans="1:5" s="245" customFormat="1" ht="15.6" x14ac:dyDescent="0.25">
      <c r="A100" s="335"/>
      <c r="C100" s="247"/>
      <c r="D100" s="358"/>
      <c r="E100" s="358"/>
    </row>
    <row r="101" spans="1:5" s="245" customFormat="1" ht="15.6" x14ac:dyDescent="0.25">
      <c r="A101" s="335"/>
      <c r="C101" s="247"/>
      <c r="D101" s="358"/>
      <c r="E101" s="358"/>
    </row>
    <row r="102" spans="1:5" s="245" customFormat="1" ht="15.6" x14ac:dyDescent="0.25">
      <c r="A102" s="335"/>
      <c r="C102" s="247"/>
      <c r="D102" s="358"/>
      <c r="E102" s="358"/>
    </row>
    <row r="103" spans="1:5" s="245" customFormat="1" ht="15.6" x14ac:dyDescent="0.25">
      <c r="A103" s="335"/>
      <c r="C103" s="247"/>
      <c r="D103" s="358"/>
      <c r="E103" s="358"/>
    </row>
    <row r="104" spans="1:5" s="245" customFormat="1" ht="15.6" x14ac:dyDescent="0.25">
      <c r="A104" s="335"/>
      <c r="C104" s="247"/>
      <c r="D104" s="358"/>
      <c r="E104" s="358"/>
    </row>
    <row r="105" spans="1:5" s="245" customFormat="1" ht="15.6" x14ac:dyDescent="0.25">
      <c r="A105" s="335"/>
      <c r="C105" s="247"/>
      <c r="D105" s="358"/>
      <c r="E105" s="358"/>
    </row>
    <row r="106" spans="1:5" s="245" customFormat="1" ht="15.6" x14ac:dyDescent="0.25">
      <c r="A106" s="335"/>
      <c r="C106" s="247"/>
      <c r="D106" s="358"/>
      <c r="E106" s="358"/>
    </row>
    <row r="107" spans="1:5" s="245" customFormat="1" ht="15.6" x14ac:dyDescent="0.25">
      <c r="A107" s="335"/>
      <c r="C107" s="247"/>
      <c r="D107" s="358"/>
      <c r="E107" s="358"/>
    </row>
    <row r="108" spans="1:5" s="245" customFormat="1" ht="15.6" x14ac:dyDescent="0.25">
      <c r="A108" s="335"/>
      <c r="C108" s="247"/>
      <c r="D108" s="358"/>
      <c r="E108" s="358"/>
    </row>
    <row r="109" spans="1:5" s="245" customFormat="1" ht="15.6" x14ac:dyDescent="0.25">
      <c r="A109" s="335"/>
      <c r="C109" s="247"/>
      <c r="D109" s="358"/>
      <c r="E109" s="358"/>
    </row>
    <row r="110" spans="1:5" s="245" customFormat="1" ht="15.6" x14ac:dyDescent="0.25">
      <c r="A110" s="335"/>
      <c r="C110" s="247"/>
      <c r="D110" s="358"/>
      <c r="E110" s="358"/>
    </row>
    <row r="111" spans="1:5" s="245" customFormat="1" ht="15.6" x14ac:dyDescent="0.25">
      <c r="A111" s="335"/>
      <c r="C111" s="247"/>
      <c r="D111" s="358"/>
      <c r="E111" s="358"/>
    </row>
    <row r="112" spans="1:5" s="245" customFormat="1" ht="15.6" x14ac:dyDescent="0.25">
      <c r="A112" s="335"/>
      <c r="C112" s="247"/>
      <c r="D112" s="358"/>
      <c r="E112" s="358"/>
    </row>
    <row r="113" spans="1:5" s="245" customFormat="1" ht="15.6" x14ac:dyDescent="0.25">
      <c r="A113" s="335"/>
      <c r="C113" s="247"/>
      <c r="D113" s="358"/>
      <c r="E113" s="358"/>
    </row>
    <row r="114" spans="1:5" s="245" customFormat="1" ht="15.6" x14ac:dyDescent="0.25">
      <c r="A114" s="335"/>
      <c r="C114" s="247"/>
      <c r="D114" s="358"/>
      <c r="E114" s="358"/>
    </row>
    <row r="115" spans="1:5" s="245" customFormat="1" ht="15.6" x14ac:dyDescent="0.25">
      <c r="A115" s="335"/>
      <c r="C115" s="247"/>
      <c r="D115" s="358"/>
      <c r="E115" s="358"/>
    </row>
    <row r="116" spans="1:5" s="245" customFormat="1" ht="15.6" x14ac:dyDescent="0.25">
      <c r="A116" s="335"/>
      <c r="C116" s="247"/>
      <c r="D116" s="358"/>
      <c r="E116" s="358"/>
    </row>
    <row r="117" spans="1:5" s="245" customFormat="1" ht="15.6" x14ac:dyDescent="0.25">
      <c r="A117" s="335"/>
      <c r="C117" s="247"/>
      <c r="D117" s="358"/>
      <c r="E117" s="358"/>
    </row>
    <row r="118" spans="1:5" s="245" customFormat="1" ht="15.6" x14ac:dyDescent="0.25">
      <c r="A118" s="335"/>
      <c r="C118" s="247"/>
      <c r="D118" s="358"/>
      <c r="E118" s="358"/>
    </row>
    <row r="119" spans="1:5" s="245" customFormat="1" ht="15.6" x14ac:dyDescent="0.25">
      <c r="A119" s="335"/>
      <c r="C119" s="247"/>
      <c r="D119" s="358"/>
      <c r="E119" s="358"/>
    </row>
    <row r="120" spans="1:5" s="245" customFormat="1" ht="15.6" x14ac:dyDescent="0.25">
      <c r="A120" s="335"/>
      <c r="C120" s="247"/>
      <c r="D120" s="358"/>
      <c r="E120" s="358"/>
    </row>
    <row r="121" spans="1:5" s="245" customFormat="1" ht="15.6" x14ac:dyDescent="0.25">
      <c r="A121" s="335"/>
      <c r="C121" s="247"/>
      <c r="D121" s="358"/>
      <c r="E121" s="358"/>
    </row>
    <row r="122" spans="1:5" s="245" customFormat="1" ht="15.6" x14ac:dyDescent="0.25">
      <c r="A122" s="335"/>
      <c r="C122" s="247"/>
      <c r="D122" s="358"/>
      <c r="E122" s="358"/>
    </row>
    <row r="123" spans="1:5" s="245" customFormat="1" ht="15.6" x14ac:dyDescent="0.25">
      <c r="A123" s="335"/>
      <c r="C123" s="247"/>
      <c r="D123" s="358"/>
      <c r="E123" s="358"/>
    </row>
    <row r="124" spans="1:5" s="245" customFormat="1" ht="15.6" x14ac:dyDescent="0.25">
      <c r="A124" s="335"/>
      <c r="C124" s="247"/>
      <c r="D124" s="358"/>
      <c r="E124" s="358"/>
    </row>
    <row r="125" spans="1:5" s="245" customFormat="1" ht="15.6" x14ac:dyDescent="0.25">
      <c r="A125" s="335"/>
      <c r="C125" s="247"/>
      <c r="D125" s="358"/>
      <c r="E125" s="358"/>
    </row>
    <row r="126" spans="1:5" s="245" customFormat="1" ht="15.6" x14ac:dyDescent="0.25">
      <c r="A126" s="335"/>
      <c r="C126" s="247"/>
      <c r="D126" s="358"/>
      <c r="E126" s="358"/>
    </row>
    <row r="127" spans="1:5" s="245" customFormat="1" ht="15.6" x14ac:dyDescent="0.25">
      <c r="A127" s="335"/>
      <c r="C127" s="247"/>
      <c r="D127" s="358"/>
      <c r="E127" s="358"/>
    </row>
    <row r="128" spans="1:5" s="245" customFormat="1" ht="15.6" x14ac:dyDescent="0.25">
      <c r="A128" s="335"/>
      <c r="C128" s="247"/>
      <c r="D128" s="358"/>
      <c r="E128" s="358"/>
    </row>
    <row r="129" spans="1:5" s="245" customFormat="1" ht="15.6" x14ac:dyDescent="0.25">
      <c r="A129" s="335"/>
      <c r="C129" s="247"/>
      <c r="D129" s="358"/>
      <c r="E129" s="358"/>
    </row>
    <row r="130" spans="1:5" s="245" customFormat="1" ht="15.6" x14ac:dyDescent="0.25">
      <c r="A130" s="335"/>
      <c r="C130" s="247"/>
      <c r="D130" s="358"/>
      <c r="E130" s="358"/>
    </row>
    <row r="131" spans="1:5" s="245" customFormat="1" ht="15.6" x14ac:dyDescent="0.25">
      <c r="A131" s="335"/>
      <c r="C131" s="247"/>
      <c r="D131" s="358"/>
      <c r="E131" s="358"/>
    </row>
    <row r="132" spans="1:5" s="245" customFormat="1" ht="15.6" x14ac:dyDescent="0.25">
      <c r="A132" s="335"/>
      <c r="C132" s="247"/>
      <c r="D132" s="358"/>
      <c r="E132" s="358"/>
    </row>
    <row r="133" spans="1:5" s="245" customFormat="1" ht="15.6" x14ac:dyDescent="0.25">
      <c r="A133" s="335"/>
      <c r="C133" s="247"/>
      <c r="D133" s="358"/>
      <c r="E133" s="358"/>
    </row>
    <row r="134" spans="1:5" s="245" customFormat="1" ht="15.6" x14ac:dyDescent="0.25">
      <c r="A134" s="335"/>
      <c r="C134" s="247"/>
      <c r="D134" s="358"/>
      <c r="E134" s="358"/>
    </row>
    <row r="135" spans="1:5" s="245" customFormat="1" ht="15.6" x14ac:dyDescent="0.25">
      <c r="A135" s="335"/>
      <c r="C135" s="247"/>
      <c r="D135" s="358"/>
      <c r="E135" s="358"/>
    </row>
    <row r="136" spans="1:5" s="245" customFormat="1" ht="15.6" x14ac:dyDescent="0.25">
      <c r="A136" s="335"/>
      <c r="C136" s="247"/>
      <c r="D136" s="358"/>
      <c r="E136" s="358"/>
    </row>
    <row r="137" spans="1:5" s="245" customFormat="1" ht="15.6" x14ac:dyDescent="0.25">
      <c r="A137" s="335"/>
      <c r="C137" s="247"/>
      <c r="D137" s="358"/>
      <c r="E137" s="358"/>
    </row>
    <row r="138" spans="1:5" s="245" customFormat="1" ht="15.6" x14ac:dyDescent="0.25">
      <c r="A138" s="335"/>
      <c r="C138" s="247"/>
      <c r="D138" s="358"/>
      <c r="E138" s="358"/>
    </row>
    <row r="139" spans="1:5" s="245" customFormat="1" ht="15.6" x14ac:dyDescent="0.25">
      <c r="A139" s="335"/>
      <c r="C139" s="247"/>
      <c r="D139" s="358"/>
      <c r="E139" s="358"/>
    </row>
    <row r="140" spans="1:5" s="245" customFormat="1" ht="15.6" x14ac:dyDescent="0.25">
      <c r="A140" s="335"/>
      <c r="C140" s="247"/>
      <c r="D140" s="358"/>
      <c r="E140" s="358"/>
    </row>
    <row r="141" spans="1:5" s="245" customFormat="1" ht="15.6" x14ac:dyDescent="0.25">
      <c r="A141" s="335"/>
      <c r="C141" s="247"/>
      <c r="D141" s="358"/>
      <c r="E141" s="358"/>
    </row>
    <row r="142" spans="1:5" s="245" customFormat="1" ht="15.6" x14ac:dyDescent="0.25">
      <c r="A142" s="335"/>
      <c r="C142" s="247"/>
      <c r="D142" s="358"/>
      <c r="E142" s="358"/>
    </row>
    <row r="143" spans="1:5" s="245" customFormat="1" ht="15.6" x14ac:dyDescent="0.25">
      <c r="A143" s="335"/>
      <c r="C143" s="247"/>
      <c r="D143" s="358"/>
      <c r="E143" s="358"/>
    </row>
    <row r="144" spans="1:5" s="245" customFormat="1" ht="15.6" x14ac:dyDescent="0.25">
      <c r="A144" s="335"/>
      <c r="C144" s="247"/>
      <c r="D144" s="358"/>
      <c r="E144" s="358"/>
    </row>
    <row r="145" spans="1:5" s="245" customFormat="1" ht="15.6" x14ac:dyDescent="0.25">
      <c r="A145" s="335"/>
      <c r="C145" s="247"/>
      <c r="D145" s="358"/>
      <c r="E145" s="358"/>
    </row>
    <row r="146" spans="1:5" s="245" customFormat="1" ht="15.6" x14ac:dyDescent="0.25">
      <c r="A146" s="335"/>
      <c r="C146" s="247"/>
      <c r="D146" s="358"/>
      <c r="E146" s="358"/>
    </row>
    <row r="147" spans="1:5" s="245" customFormat="1" ht="15.6" x14ac:dyDescent="0.25">
      <c r="A147" s="335"/>
      <c r="C147" s="247"/>
      <c r="D147" s="358"/>
      <c r="E147" s="358"/>
    </row>
    <row r="148" spans="1:5" s="245" customFormat="1" ht="15.6" x14ac:dyDescent="0.25">
      <c r="A148" s="335"/>
      <c r="C148" s="247"/>
      <c r="D148" s="358"/>
      <c r="E148" s="358"/>
    </row>
    <row r="149" spans="1:5" s="245" customFormat="1" ht="15.6" x14ac:dyDescent="0.25">
      <c r="A149" s="335"/>
      <c r="C149" s="247"/>
      <c r="D149" s="358"/>
      <c r="E149" s="358"/>
    </row>
    <row r="150" spans="1:5" s="245" customFormat="1" ht="15.6" x14ac:dyDescent="0.25">
      <c r="A150" s="335"/>
      <c r="C150" s="247"/>
      <c r="D150" s="358"/>
      <c r="E150" s="358"/>
    </row>
    <row r="151" spans="1:5" s="245" customFormat="1" ht="15.6" x14ac:dyDescent="0.25">
      <c r="A151" s="335"/>
      <c r="C151" s="247"/>
      <c r="D151" s="358"/>
      <c r="E151" s="358"/>
    </row>
    <row r="152" spans="1:5" s="245" customFormat="1" ht="15.6" x14ac:dyDescent="0.25">
      <c r="A152" s="335"/>
      <c r="C152" s="247"/>
      <c r="D152" s="358"/>
      <c r="E152" s="358"/>
    </row>
    <row r="153" spans="1:5" s="245" customFormat="1" ht="15.6" x14ac:dyDescent="0.25">
      <c r="A153" s="335"/>
      <c r="C153" s="247"/>
      <c r="D153" s="358"/>
      <c r="E153" s="358"/>
    </row>
    <row r="154" spans="1:5" s="245" customFormat="1" ht="15.6" x14ac:dyDescent="0.25">
      <c r="A154" s="335"/>
      <c r="C154" s="247"/>
      <c r="D154" s="358"/>
      <c r="E154" s="358"/>
    </row>
    <row r="155" spans="1:5" s="245" customFormat="1" ht="15.6" x14ac:dyDescent="0.25">
      <c r="A155" s="335"/>
      <c r="C155" s="247"/>
      <c r="D155" s="358"/>
      <c r="E155" s="358"/>
    </row>
    <row r="156" spans="1:5" s="245" customFormat="1" ht="15.6" x14ac:dyDescent="0.25">
      <c r="A156" s="335"/>
      <c r="C156" s="247"/>
      <c r="D156" s="358"/>
      <c r="E156" s="358"/>
    </row>
    <row r="157" spans="1:5" s="245" customFormat="1" ht="15.6" x14ac:dyDescent="0.25">
      <c r="A157" s="335"/>
      <c r="C157" s="247"/>
      <c r="D157" s="358"/>
      <c r="E157" s="358"/>
    </row>
    <row r="158" spans="1:5" s="245" customFormat="1" ht="15.6" x14ac:dyDescent="0.25">
      <c r="A158" s="335"/>
      <c r="C158" s="247"/>
      <c r="D158" s="358"/>
      <c r="E158" s="358"/>
    </row>
    <row r="159" spans="1:5" s="245" customFormat="1" ht="15.6" x14ac:dyDescent="0.25">
      <c r="A159" s="335"/>
      <c r="C159" s="247"/>
      <c r="D159" s="358"/>
      <c r="E159" s="358"/>
    </row>
    <row r="160" spans="1:5" s="245" customFormat="1" ht="15.6" x14ac:dyDescent="0.25">
      <c r="A160" s="335"/>
      <c r="C160" s="247"/>
      <c r="D160" s="358"/>
      <c r="E160" s="358"/>
    </row>
    <row r="161" spans="1:5" s="245" customFormat="1" ht="15.6" x14ac:dyDescent="0.25">
      <c r="A161" s="335"/>
      <c r="C161" s="247"/>
      <c r="D161" s="358"/>
      <c r="E161" s="358"/>
    </row>
    <row r="162" spans="1:5" s="245" customFormat="1" ht="15.6" x14ac:dyDescent="0.25">
      <c r="A162" s="335"/>
      <c r="C162" s="247"/>
      <c r="D162" s="358"/>
      <c r="E162" s="358"/>
    </row>
    <row r="163" spans="1:5" s="245" customFormat="1" ht="15.6" x14ac:dyDescent="0.25">
      <c r="A163" s="335"/>
      <c r="C163" s="247"/>
      <c r="D163" s="358"/>
      <c r="E163" s="358"/>
    </row>
    <row r="164" spans="1:5" s="245" customFormat="1" ht="15.6" x14ac:dyDescent="0.25">
      <c r="A164" s="335"/>
      <c r="C164" s="247"/>
      <c r="D164" s="358"/>
      <c r="E164" s="358"/>
    </row>
    <row r="165" spans="1:5" s="245" customFormat="1" ht="15.6" x14ac:dyDescent="0.25">
      <c r="A165" s="335"/>
      <c r="C165" s="247"/>
      <c r="D165" s="358"/>
      <c r="E165" s="358"/>
    </row>
    <row r="166" spans="1:5" s="245" customFormat="1" ht="15.6" x14ac:dyDescent="0.25">
      <c r="A166" s="335"/>
      <c r="C166" s="247"/>
      <c r="D166" s="358"/>
      <c r="E166" s="358"/>
    </row>
    <row r="167" spans="1:5" s="245" customFormat="1" ht="15.6" x14ac:dyDescent="0.25">
      <c r="A167" s="335"/>
      <c r="C167" s="247"/>
      <c r="D167" s="358"/>
      <c r="E167" s="358"/>
    </row>
    <row r="168" spans="1:5" s="245" customFormat="1" ht="15.6" x14ac:dyDescent="0.25">
      <c r="A168" s="335"/>
      <c r="C168" s="247"/>
      <c r="D168" s="358"/>
      <c r="E168" s="358"/>
    </row>
    <row r="169" spans="1:5" s="245" customFormat="1" ht="15.6" x14ac:dyDescent="0.25">
      <c r="A169" s="335"/>
      <c r="C169" s="247"/>
      <c r="D169" s="358"/>
      <c r="E169" s="358"/>
    </row>
    <row r="170" spans="1:5" s="245" customFormat="1" ht="15.6" x14ac:dyDescent="0.25">
      <c r="A170" s="335"/>
      <c r="C170" s="247"/>
      <c r="D170" s="358"/>
      <c r="E170" s="358"/>
    </row>
    <row r="171" spans="1:5" s="245" customFormat="1" ht="15.6" x14ac:dyDescent="0.25">
      <c r="A171" s="335"/>
      <c r="C171" s="247"/>
      <c r="D171" s="358"/>
      <c r="E171" s="358"/>
    </row>
    <row r="172" spans="1:5" s="245" customFormat="1" ht="15.6" x14ac:dyDescent="0.25">
      <c r="A172" s="335"/>
      <c r="C172" s="247"/>
      <c r="D172" s="358"/>
      <c r="E172" s="358"/>
    </row>
    <row r="173" spans="1:5" s="245" customFormat="1" ht="15.6" x14ac:dyDescent="0.25">
      <c r="A173" s="335"/>
      <c r="C173" s="247"/>
      <c r="D173" s="358"/>
      <c r="E173" s="358"/>
    </row>
    <row r="174" spans="1:5" s="245" customFormat="1" ht="15.6" x14ac:dyDescent="0.25">
      <c r="A174" s="335"/>
      <c r="C174" s="247"/>
      <c r="D174" s="358"/>
      <c r="E174" s="358"/>
    </row>
    <row r="175" spans="1:5" s="245" customFormat="1" ht="15.6" x14ac:dyDescent="0.25">
      <c r="A175" s="335"/>
      <c r="C175" s="247"/>
      <c r="D175" s="358"/>
      <c r="E175" s="358"/>
    </row>
    <row r="176" spans="1:5" s="245" customFormat="1" ht="15.6" x14ac:dyDescent="0.25">
      <c r="A176" s="335"/>
      <c r="C176" s="247"/>
      <c r="D176" s="358"/>
      <c r="E176" s="358"/>
    </row>
    <row r="177" spans="1:5" s="245" customFormat="1" ht="15.6" x14ac:dyDescent="0.25">
      <c r="A177" s="335"/>
      <c r="C177" s="247"/>
      <c r="D177" s="358"/>
      <c r="E177" s="358"/>
    </row>
    <row r="178" spans="1:5" s="245" customFormat="1" ht="15.6" x14ac:dyDescent="0.25">
      <c r="A178" s="335"/>
      <c r="C178" s="247"/>
      <c r="D178" s="358"/>
      <c r="E178" s="358"/>
    </row>
    <row r="179" spans="1:5" s="245" customFormat="1" ht="15.6" x14ac:dyDescent="0.25">
      <c r="A179" s="335"/>
      <c r="C179" s="247"/>
      <c r="D179" s="358"/>
      <c r="E179" s="358"/>
    </row>
    <row r="180" spans="1:5" s="245" customFormat="1" ht="15.6" x14ac:dyDescent="0.25">
      <c r="A180" s="335"/>
      <c r="C180" s="247"/>
      <c r="D180" s="358"/>
      <c r="E180" s="358"/>
    </row>
    <row r="181" spans="1:5" s="245" customFormat="1" ht="15.6" x14ac:dyDescent="0.25">
      <c r="A181" s="335"/>
      <c r="C181" s="247"/>
      <c r="D181" s="358"/>
      <c r="E181" s="358"/>
    </row>
    <row r="182" spans="1:5" s="245" customFormat="1" ht="15.6" x14ac:dyDescent="0.25">
      <c r="A182" s="335"/>
      <c r="C182" s="247"/>
      <c r="D182" s="358"/>
      <c r="E182" s="358"/>
    </row>
    <row r="183" spans="1:5" s="245" customFormat="1" ht="15.6" x14ac:dyDescent="0.25">
      <c r="A183" s="335"/>
      <c r="C183" s="247"/>
      <c r="D183" s="358"/>
      <c r="E183" s="358"/>
    </row>
    <row r="184" spans="1:5" s="245" customFormat="1" ht="15.6" x14ac:dyDescent="0.25">
      <c r="A184" s="335"/>
      <c r="C184" s="247"/>
      <c r="D184" s="358"/>
      <c r="E184" s="358"/>
    </row>
    <row r="185" spans="1:5" s="245" customFormat="1" ht="15.6" x14ac:dyDescent="0.25">
      <c r="A185" s="335"/>
      <c r="C185" s="247"/>
      <c r="D185" s="358"/>
      <c r="E185" s="358"/>
    </row>
    <row r="186" spans="1:5" s="245" customFormat="1" ht="15.6" x14ac:dyDescent="0.25">
      <c r="A186" s="335"/>
      <c r="C186" s="247"/>
      <c r="D186" s="358"/>
      <c r="E186" s="358"/>
    </row>
    <row r="187" spans="1:5" s="245" customFormat="1" ht="15.6" x14ac:dyDescent="0.25">
      <c r="A187" s="335"/>
      <c r="C187" s="247"/>
      <c r="D187" s="358"/>
      <c r="E187" s="358"/>
    </row>
    <row r="188" spans="1:5" s="245" customFormat="1" ht="15.6" x14ac:dyDescent="0.25">
      <c r="A188" s="335"/>
      <c r="C188" s="247"/>
      <c r="D188" s="358"/>
      <c r="E188" s="358"/>
    </row>
    <row r="189" spans="1:5" s="245" customFormat="1" ht="15.6" x14ac:dyDescent="0.25">
      <c r="A189" s="335"/>
      <c r="C189" s="247"/>
      <c r="D189" s="358"/>
      <c r="E189" s="358"/>
    </row>
    <row r="190" spans="1:5" s="245" customFormat="1" ht="15.6" x14ac:dyDescent="0.25">
      <c r="A190" s="335"/>
      <c r="C190" s="247"/>
      <c r="D190" s="358"/>
      <c r="E190" s="358"/>
    </row>
    <row r="191" spans="1:5" s="245" customFormat="1" ht="15.6" x14ac:dyDescent="0.25">
      <c r="A191" s="335"/>
      <c r="C191" s="247"/>
      <c r="D191" s="358"/>
      <c r="E191" s="358"/>
    </row>
    <row r="192" spans="1:5" s="245" customFormat="1" ht="15.6" x14ac:dyDescent="0.25">
      <c r="A192" s="335"/>
      <c r="C192" s="247"/>
      <c r="D192" s="358"/>
      <c r="E192" s="358"/>
    </row>
    <row r="193" spans="1:5" s="245" customFormat="1" ht="15.6" x14ac:dyDescent="0.25">
      <c r="A193" s="335"/>
      <c r="C193" s="247"/>
      <c r="D193" s="358"/>
      <c r="E193" s="358"/>
    </row>
    <row r="194" spans="1:5" s="245" customFormat="1" ht="15.6" x14ac:dyDescent="0.25">
      <c r="A194" s="335"/>
      <c r="C194" s="247"/>
      <c r="D194" s="358"/>
      <c r="E194" s="358"/>
    </row>
    <row r="195" spans="1:5" s="245" customFormat="1" ht="15.6" x14ac:dyDescent="0.25">
      <c r="A195" s="335"/>
      <c r="C195" s="247"/>
      <c r="D195" s="358"/>
      <c r="E195" s="358"/>
    </row>
    <row r="196" spans="1:5" s="245" customFormat="1" ht="15.6" x14ac:dyDescent="0.25">
      <c r="A196" s="335"/>
      <c r="C196" s="247"/>
      <c r="D196" s="358"/>
      <c r="E196" s="358"/>
    </row>
    <row r="197" spans="1:5" s="245" customFormat="1" ht="15.6" x14ac:dyDescent="0.25">
      <c r="A197" s="335"/>
      <c r="C197" s="247"/>
      <c r="D197" s="358"/>
      <c r="E197" s="358"/>
    </row>
    <row r="198" spans="1:5" s="245" customFormat="1" ht="15.6" x14ac:dyDescent="0.25">
      <c r="A198" s="335"/>
      <c r="C198" s="247"/>
      <c r="D198" s="358"/>
      <c r="E198" s="358"/>
    </row>
    <row r="199" spans="1:5" s="245" customFormat="1" ht="15.6" x14ac:dyDescent="0.25">
      <c r="A199" s="335"/>
      <c r="C199" s="247"/>
      <c r="D199" s="358"/>
      <c r="E199" s="358"/>
    </row>
    <row r="200" spans="1:5" s="245" customFormat="1" ht="15.6" x14ac:dyDescent="0.25">
      <c r="A200" s="335"/>
      <c r="C200" s="247"/>
      <c r="D200" s="358"/>
      <c r="E200" s="358"/>
    </row>
    <row r="201" spans="1:5" s="245" customFormat="1" ht="15.6" x14ac:dyDescent="0.25">
      <c r="A201" s="335"/>
      <c r="C201" s="247"/>
      <c r="D201" s="358"/>
      <c r="E201" s="358"/>
    </row>
    <row r="202" spans="1:5" s="245" customFormat="1" ht="15.6" x14ac:dyDescent="0.25">
      <c r="A202" s="335"/>
      <c r="C202" s="247"/>
      <c r="D202" s="358"/>
      <c r="E202" s="358"/>
    </row>
    <row r="203" spans="1:5" s="245" customFormat="1" ht="15.6" x14ac:dyDescent="0.25">
      <c r="A203" s="335"/>
      <c r="C203" s="247"/>
      <c r="D203" s="358"/>
      <c r="E203" s="358"/>
    </row>
    <row r="204" spans="1:5" s="245" customFormat="1" ht="15.6" x14ac:dyDescent="0.25">
      <c r="A204" s="335"/>
      <c r="C204" s="247"/>
      <c r="D204" s="358"/>
      <c r="E204" s="358"/>
    </row>
    <row r="205" spans="1:5" s="245" customFormat="1" ht="15.6" x14ac:dyDescent="0.25">
      <c r="A205" s="335"/>
      <c r="C205" s="247"/>
      <c r="D205" s="358"/>
      <c r="E205" s="358"/>
    </row>
    <row r="206" spans="1:5" s="245" customFormat="1" ht="15.6" x14ac:dyDescent="0.25">
      <c r="A206" s="335"/>
      <c r="C206" s="247"/>
      <c r="D206" s="358"/>
      <c r="E206" s="358"/>
    </row>
    <row r="207" spans="1:5" s="245" customFormat="1" ht="15.6" x14ac:dyDescent="0.25">
      <c r="A207" s="335"/>
      <c r="C207" s="247"/>
      <c r="D207" s="358"/>
      <c r="E207" s="358"/>
    </row>
    <row r="208" spans="1:5" s="245" customFormat="1" ht="15.6" x14ac:dyDescent="0.25">
      <c r="A208" s="335"/>
      <c r="C208" s="247"/>
      <c r="D208" s="358"/>
      <c r="E208" s="358"/>
    </row>
    <row r="209" spans="1:5" s="245" customFormat="1" ht="15.6" x14ac:dyDescent="0.25">
      <c r="A209" s="335"/>
      <c r="C209" s="247"/>
      <c r="D209" s="358"/>
      <c r="E209" s="358"/>
    </row>
    <row r="210" spans="1:5" s="245" customFormat="1" ht="15.6" x14ac:dyDescent="0.25">
      <c r="A210" s="335"/>
      <c r="C210" s="247"/>
      <c r="D210" s="358"/>
      <c r="E210" s="358"/>
    </row>
    <row r="211" spans="1:5" s="245" customFormat="1" ht="15.6" x14ac:dyDescent="0.25">
      <c r="A211" s="335"/>
      <c r="C211" s="247"/>
      <c r="D211" s="358"/>
      <c r="E211" s="358"/>
    </row>
    <row r="212" spans="1:5" s="245" customFormat="1" ht="15.6" x14ac:dyDescent="0.25">
      <c r="A212" s="335"/>
      <c r="C212" s="247"/>
      <c r="D212" s="358"/>
      <c r="E212" s="358"/>
    </row>
    <row r="213" spans="1:5" s="245" customFormat="1" ht="15.6" x14ac:dyDescent="0.25">
      <c r="A213" s="335"/>
      <c r="C213" s="247"/>
      <c r="D213" s="358"/>
      <c r="E213" s="358"/>
    </row>
    <row r="214" spans="1:5" s="245" customFormat="1" ht="15.6" x14ac:dyDescent="0.25">
      <c r="A214" s="335"/>
      <c r="C214" s="247"/>
      <c r="D214" s="358"/>
      <c r="E214" s="358"/>
    </row>
    <row r="215" spans="1:5" s="245" customFormat="1" ht="15.6" x14ac:dyDescent="0.25">
      <c r="A215" s="335"/>
      <c r="C215" s="247"/>
      <c r="D215" s="358"/>
      <c r="E215" s="358"/>
    </row>
    <row r="216" spans="1:5" s="245" customFormat="1" ht="15.6" x14ac:dyDescent="0.25">
      <c r="A216" s="335"/>
      <c r="C216" s="247"/>
      <c r="D216" s="358"/>
      <c r="E216" s="358"/>
    </row>
    <row r="217" spans="1:5" s="245" customFormat="1" ht="15.6" x14ac:dyDescent="0.25">
      <c r="A217" s="335"/>
      <c r="C217" s="247"/>
      <c r="D217" s="358"/>
      <c r="E217" s="358"/>
    </row>
    <row r="218" spans="1:5" s="245" customFormat="1" ht="15.6" x14ac:dyDescent="0.25">
      <c r="A218" s="335"/>
      <c r="C218" s="247"/>
      <c r="D218" s="358"/>
      <c r="E218" s="358"/>
    </row>
    <row r="219" spans="1:5" s="245" customFormat="1" ht="15.6" x14ac:dyDescent="0.25">
      <c r="A219" s="335"/>
      <c r="C219" s="247"/>
      <c r="D219" s="358"/>
      <c r="E219" s="358"/>
    </row>
    <row r="220" spans="1:5" s="245" customFormat="1" ht="15.6" x14ac:dyDescent="0.25">
      <c r="A220" s="335"/>
      <c r="C220" s="247"/>
      <c r="D220" s="358"/>
      <c r="E220" s="358"/>
    </row>
    <row r="221" spans="1:5" s="245" customFormat="1" ht="15.6" x14ac:dyDescent="0.25">
      <c r="A221" s="335"/>
      <c r="C221" s="247"/>
      <c r="D221" s="358"/>
      <c r="E221" s="358"/>
    </row>
    <row r="222" spans="1:5" s="245" customFormat="1" ht="15.6" x14ac:dyDescent="0.25">
      <c r="A222" s="335"/>
      <c r="C222" s="247"/>
      <c r="D222" s="358"/>
      <c r="E222" s="358"/>
    </row>
    <row r="223" spans="1:5" s="245" customFormat="1" ht="15.6" x14ac:dyDescent="0.25">
      <c r="A223" s="335"/>
      <c r="C223" s="247"/>
      <c r="D223" s="358"/>
      <c r="E223" s="358"/>
    </row>
    <row r="224" spans="1:5" s="245" customFormat="1" ht="15.6" x14ac:dyDescent="0.25">
      <c r="A224" s="335"/>
      <c r="C224" s="247"/>
      <c r="D224" s="358"/>
      <c r="E224" s="358"/>
    </row>
    <row r="225" spans="1:5" s="245" customFormat="1" ht="15.6" x14ac:dyDescent="0.25">
      <c r="A225" s="335"/>
      <c r="C225" s="247"/>
      <c r="D225" s="358"/>
      <c r="E225" s="358"/>
    </row>
    <row r="226" spans="1:5" s="245" customFormat="1" ht="15.6" x14ac:dyDescent="0.25">
      <c r="A226" s="335"/>
      <c r="C226" s="247"/>
      <c r="D226" s="358"/>
      <c r="E226" s="358"/>
    </row>
    <row r="227" spans="1:5" s="245" customFormat="1" ht="15.6" x14ac:dyDescent="0.25">
      <c r="A227" s="335"/>
      <c r="C227" s="247"/>
      <c r="D227" s="358"/>
      <c r="E227" s="358"/>
    </row>
    <row r="228" spans="1:5" s="245" customFormat="1" ht="15.6" x14ac:dyDescent="0.25">
      <c r="A228" s="335"/>
      <c r="C228" s="247"/>
      <c r="D228" s="358"/>
      <c r="E228" s="358"/>
    </row>
    <row r="229" spans="1:5" s="245" customFormat="1" ht="15.6" x14ac:dyDescent="0.25">
      <c r="A229" s="335"/>
      <c r="C229" s="247"/>
      <c r="D229" s="358"/>
      <c r="E229" s="358"/>
    </row>
    <row r="230" spans="1:5" s="245" customFormat="1" ht="15.6" x14ac:dyDescent="0.25">
      <c r="A230" s="335"/>
      <c r="C230" s="247"/>
      <c r="D230" s="358"/>
      <c r="E230" s="358"/>
    </row>
    <row r="231" spans="1:5" s="245" customFormat="1" ht="15.6" x14ac:dyDescent="0.25">
      <c r="A231" s="335"/>
      <c r="C231" s="247"/>
      <c r="D231" s="358"/>
      <c r="E231" s="358"/>
    </row>
    <row r="232" spans="1:5" s="245" customFormat="1" ht="15.6" x14ac:dyDescent="0.25">
      <c r="A232" s="335"/>
      <c r="C232" s="247"/>
      <c r="D232" s="358"/>
      <c r="E232" s="358"/>
    </row>
    <row r="233" spans="1:5" s="245" customFormat="1" ht="15.6" x14ac:dyDescent="0.25">
      <c r="A233" s="335"/>
      <c r="C233" s="247"/>
      <c r="D233" s="358"/>
      <c r="E233" s="358"/>
    </row>
    <row r="234" spans="1:5" s="245" customFormat="1" ht="15.6" x14ac:dyDescent="0.25">
      <c r="A234" s="335"/>
      <c r="C234" s="247"/>
      <c r="D234" s="358"/>
      <c r="E234" s="358"/>
    </row>
    <row r="235" spans="1:5" s="245" customFormat="1" ht="15.6" x14ac:dyDescent="0.25">
      <c r="A235" s="335"/>
      <c r="C235" s="247"/>
      <c r="D235" s="358"/>
      <c r="E235" s="358"/>
    </row>
    <row r="236" spans="1:5" s="245" customFormat="1" ht="15.6" x14ac:dyDescent="0.25">
      <c r="A236" s="335"/>
      <c r="C236" s="247"/>
      <c r="D236" s="358"/>
      <c r="E236" s="358"/>
    </row>
    <row r="237" spans="1:5" s="245" customFormat="1" ht="15.6" x14ac:dyDescent="0.25">
      <c r="A237" s="335"/>
      <c r="C237" s="247"/>
      <c r="D237" s="358"/>
      <c r="E237" s="358"/>
    </row>
    <row r="238" spans="1:5" s="245" customFormat="1" ht="15.6" x14ac:dyDescent="0.25">
      <c r="A238" s="335"/>
      <c r="C238" s="247"/>
      <c r="D238" s="358"/>
      <c r="E238" s="358"/>
    </row>
    <row r="239" spans="1:5" s="245" customFormat="1" ht="15.6" x14ac:dyDescent="0.25">
      <c r="A239" s="335"/>
      <c r="C239" s="247"/>
      <c r="D239" s="358"/>
      <c r="E239" s="358"/>
    </row>
    <row r="240" spans="1:5" s="245" customFormat="1" ht="15.6" x14ac:dyDescent="0.25">
      <c r="A240" s="335"/>
      <c r="C240" s="247"/>
      <c r="D240" s="358"/>
      <c r="E240" s="358"/>
    </row>
    <row r="241" spans="1:5" s="245" customFormat="1" ht="15.6" x14ac:dyDescent="0.25">
      <c r="A241" s="335"/>
      <c r="C241" s="247"/>
      <c r="D241" s="358"/>
      <c r="E241" s="358"/>
    </row>
    <row r="242" spans="1:5" s="245" customFormat="1" ht="15.6" x14ac:dyDescent="0.25">
      <c r="A242" s="335"/>
      <c r="C242" s="247"/>
      <c r="D242" s="358"/>
      <c r="E242" s="358"/>
    </row>
    <row r="243" spans="1:5" s="245" customFormat="1" ht="15.6" x14ac:dyDescent="0.25">
      <c r="A243" s="335"/>
      <c r="C243" s="247"/>
      <c r="D243" s="358"/>
      <c r="E243" s="358"/>
    </row>
    <row r="244" spans="1:5" s="245" customFormat="1" ht="15.6" x14ac:dyDescent="0.25">
      <c r="A244" s="335"/>
      <c r="C244" s="247"/>
      <c r="D244" s="358"/>
      <c r="E244" s="358"/>
    </row>
    <row r="245" spans="1:5" s="245" customFormat="1" ht="15.6" x14ac:dyDescent="0.25">
      <c r="A245" s="335"/>
      <c r="C245" s="247"/>
      <c r="D245" s="358"/>
      <c r="E245" s="358"/>
    </row>
    <row r="246" spans="1:5" s="245" customFormat="1" ht="15.6" x14ac:dyDescent="0.25">
      <c r="A246" s="335"/>
      <c r="C246" s="247"/>
      <c r="D246" s="358"/>
      <c r="E246" s="358"/>
    </row>
    <row r="247" spans="1:5" s="245" customFormat="1" ht="15.6" x14ac:dyDescent="0.25">
      <c r="A247" s="335"/>
      <c r="C247" s="247"/>
      <c r="D247" s="358"/>
      <c r="E247" s="358"/>
    </row>
    <row r="248" spans="1:5" s="245" customFormat="1" ht="15.6" x14ac:dyDescent="0.25">
      <c r="A248" s="335"/>
      <c r="C248" s="247"/>
      <c r="D248" s="358"/>
      <c r="E248" s="358"/>
    </row>
    <row r="249" spans="1:5" s="245" customFormat="1" ht="15.6" x14ac:dyDescent="0.25">
      <c r="A249" s="335"/>
      <c r="C249" s="247"/>
      <c r="D249" s="358"/>
      <c r="E249" s="358"/>
    </row>
    <row r="250" spans="1:5" s="245" customFormat="1" ht="15.6" x14ac:dyDescent="0.25">
      <c r="A250" s="335"/>
      <c r="C250" s="247"/>
      <c r="D250" s="358"/>
      <c r="E250" s="358"/>
    </row>
    <row r="251" spans="1:5" s="245" customFormat="1" ht="15.6" x14ac:dyDescent="0.25">
      <c r="A251" s="335"/>
      <c r="C251" s="247"/>
      <c r="D251" s="358"/>
      <c r="E251" s="358"/>
    </row>
    <row r="252" spans="1:5" s="245" customFormat="1" ht="15.6" x14ac:dyDescent="0.25">
      <c r="A252" s="335"/>
      <c r="C252" s="247"/>
      <c r="D252" s="358"/>
      <c r="E252" s="358"/>
    </row>
    <row r="253" spans="1:5" s="245" customFormat="1" ht="15.6" x14ac:dyDescent="0.25">
      <c r="A253" s="335"/>
      <c r="C253" s="247"/>
      <c r="D253" s="358"/>
      <c r="E253" s="358"/>
    </row>
    <row r="254" spans="1:5" s="245" customFormat="1" ht="15.6" x14ac:dyDescent="0.25">
      <c r="A254" s="335"/>
      <c r="C254" s="247"/>
      <c r="D254" s="358"/>
      <c r="E254" s="358"/>
    </row>
    <row r="255" spans="1:5" s="245" customFormat="1" ht="15.6" x14ac:dyDescent="0.25">
      <c r="A255" s="335"/>
      <c r="C255" s="247"/>
      <c r="D255" s="358"/>
      <c r="E255" s="358"/>
    </row>
    <row r="256" spans="1:5" s="245" customFormat="1" ht="15.6" x14ac:dyDescent="0.25">
      <c r="A256" s="335"/>
      <c r="C256" s="247"/>
      <c r="D256" s="358"/>
      <c r="E256" s="358"/>
    </row>
    <row r="257" spans="1:5" s="245" customFormat="1" ht="15.6" x14ac:dyDescent="0.25">
      <c r="A257" s="335"/>
      <c r="C257" s="247"/>
      <c r="D257" s="358"/>
      <c r="E257" s="358"/>
    </row>
    <row r="258" spans="1:5" s="245" customFormat="1" ht="15.6" x14ac:dyDescent="0.25">
      <c r="A258" s="335"/>
      <c r="C258" s="247"/>
      <c r="D258" s="358"/>
      <c r="E258" s="358"/>
    </row>
    <row r="259" spans="1:5" s="245" customFormat="1" ht="15.6" x14ac:dyDescent="0.25">
      <c r="A259" s="335"/>
      <c r="C259" s="247"/>
      <c r="D259" s="358"/>
      <c r="E259" s="358"/>
    </row>
    <row r="260" spans="1:5" s="245" customFormat="1" ht="15.6" x14ac:dyDescent="0.25">
      <c r="A260" s="335"/>
      <c r="C260" s="247"/>
      <c r="D260" s="358"/>
      <c r="E260" s="358"/>
    </row>
    <row r="261" spans="1:5" s="245" customFormat="1" ht="15.6" x14ac:dyDescent="0.25">
      <c r="A261" s="335"/>
      <c r="C261" s="247"/>
      <c r="D261" s="358"/>
      <c r="E261" s="358"/>
    </row>
    <row r="262" spans="1:5" s="245" customFormat="1" ht="15.6" x14ac:dyDescent="0.25">
      <c r="A262" s="335"/>
      <c r="C262" s="247"/>
      <c r="D262" s="358"/>
      <c r="E262" s="358"/>
    </row>
    <row r="263" spans="1:5" s="245" customFormat="1" ht="15.6" x14ac:dyDescent="0.25">
      <c r="A263" s="335"/>
      <c r="C263" s="247"/>
      <c r="D263" s="358"/>
      <c r="E263" s="358"/>
    </row>
    <row r="264" spans="1:5" s="245" customFormat="1" ht="15.6" x14ac:dyDescent="0.25">
      <c r="A264" s="335"/>
      <c r="C264" s="247"/>
      <c r="D264" s="358"/>
      <c r="E264" s="358"/>
    </row>
    <row r="265" spans="1:5" s="245" customFormat="1" ht="15.6" x14ac:dyDescent="0.25">
      <c r="A265" s="335"/>
      <c r="C265" s="247"/>
      <c r="D265" s="358"/>
      <c r="E265" s="358"/>
    </row>
    <row r="266" spans="1:5" s="245" customFormat="1" ht="15.6" x14ac:dyDescent="0.25">
      <c r="A266" s="335"/>
      <c r="C266" s="247"/>
      <c r="D266" s="358"/>
      <c r="E266" s="358"/>
    </row>
    <row r="267" spans="1:5" s="245" customFormat="1" ht="15.6" x14ac:dyDescent="0.25">
      <c r="A267" s="335"/>
      <c r="C267" s="247"/>
      <c r="D267" s="358"/>
      <c r="E267" s="358"/>
    </row>
    <row r="268" spans="1:5" s="245" customFormat="1" ht="15.6" x14ac:dyDescent="0.25">
      <c r="A268" s="335"/>
      <c r="C268" s="247"/>
      <c r="D268" s="358"/>
      <c r="E268" s="358"/>
    </row>
    <row r="269" spans="1:5" s="245" customFormat="1" ht="15.6" x14ac:dyDescent="0.25">
      <c r="A269" s="335"/>
      <c r="C269" s="247"/>
      <c r="D269" s="358"/>
      <c r="E269" s="358"/>
    </row>
    <row r="270" spans="1:5" s="245" customFormat="1" ht="15.6" x14ac:dyDescent="0.25">
      <c r="A270" s="335"/>
      <c r="C270" s="247"/>
      <c r="D270" s="358"/>
      <c r="E270" s="358"/>
    </row>
    <row r="271" spans="1:5" s="245" customFormat="1" ht="15.6" x14ac:dyDescent="0.25">
      <c r="A271" s="335"/>
      <c r="C271" s="247"/>
      <c r="D271" s="358"/>
      <c r="E271" s="358"/>
    </row>
    <row r="272" spans="1:5" s="245" customFormat="1" ht="15.6" x14ac:dyDescent="0.25">
      <c r="A272" s="335"/>
      <c r="C272" s="247"/>
      <c r="D272" s="358"/>
      <c r="E272" s="358"/>
    </row>
    <row r="273" spans="1:5" s="245" customFormat="1" ht="15.6" x14ac:dyDescent="0.25">
      <c r="A273" s="335"/>
      <c r="C273" s="247"/>
      <c r="D273" s="358"/>
      <c r="E273" s="358"/>
    </row>
    <row r="274" spans="1:5" s="245" customFormat="1" ht="15.6" x14ac:dyDescent="0.25">
      <c r="A274" s="335"/>
      <c r="C274" s="247"/>
      <c r="D274" s="358"/>
      <c r="E274" s="358"/>
    </row>
    <row r="275" spans="1:5" s="245" customFormat="1" ht="15.6" x14ac:dyDescent="0.25">
      <c r="A275" s="335"/>
      <c r="C275" s="247"/>
      <c r="D275" s="358"/>
      <c r="E275" s="358"/>
    </row>
    <row r="276" spans="1:5" s="245" customFormat="1" ht="15.6" x14ac:dyDescent="0.25">
      <c r="A276" s="335"/>
      <c r="C276" s="247"/>
      <c r="D276" s="358"/>
      <c r="E276" s="358"/>
    </row>
    <row r="277" spans="1:5" s="245" customFormat="1" ht="15.6" x14ac:dyDescent="0.25">
      <c r="A277" s="335"/>
      <c r="C277" s="247"/>
      <c r="D277" s="358"/>
      <c r="E277" s="358"/>
    </row>
    <row r="278" spans="1:5" s="245" customFormat="1" ht="15.6" x14ac:dyDescent="0.25">
      <c r="A278" s="335"/>
      <c r="C278" s="247"/>
      <c r="D278" s="358"/>
      <c r="E278" s="358"/>
    </row>
    <row r="279" spans="1:5" s="245" customFormat="1" ht="15.6" x14ac:dyDescent="0.25">
      <c r="A279" s="335"/>
      <c r="C279" s="247"/>
      <c r="D279" s="358"/>
      <c r="E279" s="358"/>
    </row>
    <row r="280" spans="1:5" s="245" customFormat="1" ht="15.6" x14ac:dyDescent="0.25">
      <c r="A280" s="335"/>
      <c r="C280" s="247"/>
      <c r="D280" s="358"/>
      <c r="E280" s="358"/>
    </row>
    <row r="281" spans="1:5" s="245" customFormat="1" ht="15.6" x14ac:dyDescent="0.25">
      <c r="A281" s="335"/>
      <c r="C281" s="247"/>
      <c r="D281" s="358"/>
      <c r="E281" s="358"/>
    </row>
    <row r="282" spans="1:5" s="245" customFormat="1" ht="15.6" x14ac:dyDescent="0.25">
      <c r="A282" s="335"/>
      <c r="C282" s="247"/>
      <c r="D282" s="358"/>
      <c r="E282" s="358"/>
    </row>
    <row r="283" spans="1:5" s="245" customFormat="1" ht="15.6" x14ac:dyDescent="0.25">
      <c r="A283" s="335"/>
      <c r="C283" s="247"/>
      <c r="D283" s="358"/>
      <c r="E283" s="358"/>
    </row>
    <row r="284" spans="1:5" s="245" customFormat="1" ht="15.6" x14ac:dyDescent="0.25">
      <c r="A284" s="335"/>
      <c r="C284" s="247"/>
      <c r="D284" s="358"/>
      <c r="E284" s="358"/>
    </row>
    <row r="285" spans="1:5" s="245" customFormat="1" ht="15.6" x14ac:dyDescent="0.25">
      <c r="A285" s="335"/>
      <c r="C285" s="247"/>
      <c r="D285" s="358"/>
      <c r="E285" s="358"/>
    </row>
    <row r="286" spans="1:5" s="245" customFormat="1" ht="15.6" x14ac:dyDescent="0.25">
      <c r="A286" s="335"/>
      <c r="C286" s="247"/>
      <c r="D286" s="358"/>
      <c r="E286" s="358"/>
    </row>
    <row r="287" spans="1:5" s="245" customFormat="1" ht="15.6" x14ac:dyDescent="0.25">
      <c r="A287" s="335"/>
      <c r="C287" s="247"/>
      <c r="D287" s="358"/>
      <c r="E287" s="358"/>
    </row>
    <row r="288" spans="1:5" s="245" customFormat="1" ht="15.6" x14ac:dyDescent="0.25">
      <c r="A288" s="335"/>
      <c r="C288" s="247"/>
      <c r="D288" s="358"/>
      <c r="E288" s="358"/>
    </row>
    <row r="289" spans="1:5" s="245" customFormat="1" ht="15.6" x14ac:dyDescent="0.25">
      <c r="A289" s="335"/>
      <c r="C289" s="247"/>
      <c r="D289" s="358"/>
      <c r="E289" s="358"/>
    </row>
    <row r="290" spans="1:5" s="245" customFormat="1" ht="15.6" x14ac:dyDescent="0.25">
      <c r="A290" s="335"/>
      <c r="C290" s="247"/>
      <c r="D290" s="358"/>
      <c r="E290" s="358"/>
    </row>
    <row r="291" spans="1:5" s="245" customFormat="1" ht="15.6" x14ac:dyDescent="0.25">
      <c r="A291" s="335"/>
      <c r="C291" s="247"/>
      <c r="D291" s="358"/>
      <c r="E291" s="358"/>
    </row>
    <row r="292" spans="1:5" s="245" customFormat="1" ht="15.6" x14ac:dyDescent="0.25">
      <c r="A292" s="335"/>
      <c r="C292" s="247"/>
      <c r="D292" s="358"/>
      <c r="E292" s="358"/>
    </row>
    <row r="293" spans="1:5" s="245" customFormat="1" ht="15.6" x14ac:dyDescent="0.25">
      <c r="A293" s="335"/>
      <c r="C293" s="247"/>
      <c r="D293" s="358"/>
      <c r="E293" s="358"/>
    </row>
    <row r="294" spans="1:5" s="245" customFormat="1" ht="15.6" x14ac:dyDescent="0.25">
      <c r="A294" s="335"/>
      <c r="C294" s="247"/>
      <c r="D294" s="358"/>
      <c r="E294" s="358"/>
    </row>
    <row r="295" spans="1:5" s="245" customFormat="1" ht="15.6" x14ac:dyDescent="0.25">
      <c r="A295" s="335"/>
      <c r="C295" s="247"/>
      <c r="D295" s="358"/>
      <c r="E295" s="358"/>
    </row>
    <row r="296" spans="1:5" s="245" customFormat="1" ht="15.6" x14ac:dyDescent="0.25">
      <c r="A296" s="335"/>
      <c r="C296" s="247"/>
      <c r="D296" s="358"/>
      <c r="E296" s="358"/>
    </row>
    <row r="297" spans="1:5" s="245" customFormat="1" ht="15.6" x14ac:dyDescent="0.25">
      <c r="A297" s="335"/>
      <c r="C297" s="247"/>
      <c r="D297" s="358"/>
      <c r="E297" s="358"/>
    </row>
    <row r="298" spans="1:5" s="245" customFormat="1" ht="15.6" x14ac:dyDescent="0.25">
      <c r="A298" s="335"/>
      <c r="C298" s="247"/>
      <c r="D298" s="358"/>
      <c r="E298" s="358"/>
    </row>
    <row r="299" spans="1:5" s="245" customFormat="1" ht="15.6" x14ac:dyDescent="0.25">
      <c r="A299" s="335"/>
      <c r="C299" s="247"/>
      <c r="D299" s="358"/>
      <c r="E299" s="358"/>
    </row>
    <row r="300" spans="1:5" s="245" customFormat="1" ht="15.6" x14ac:dyDescent="0.25">
      <c r="A300" s="335"/>
      <c r="C300" s="247"/>
      <c r="D300" s="358"/>
      <c r="E300" s="358"/>
    </row>
    <row r="301" spans="1:5" s="245" customFormat="1" ht="15.6" x14ac:dyDescent="0.25">
      <c r="A301" s="335"/>
      <c r="C301" s="247"/>
      <c r="D301" s="358"/>
      <c r="E301" s="358"/>
    </row>
    <row r="302" spans="1:5" s="245" customFormat="1" ht="15.6" x14ac:dyDescent="0.25">
      <c r="A302" s="335"/>
      <c r="C302" s="247"/>
      <c r="D302" s="358"/>
      <c r="E302" s="358"/>
    </row>
    <row r="303" spans="1:5" s="245" customFormat="1" ht="15.6" x14ac:dyDescent="0.25">
      <c r="A303" s="335"/>
      <c r="C303" s="247"/>
      <c r="D303" s="358"/>
      <c r="E303" s="358"/>
    </row>
    <row r="304" spans="1:5" s="245" customFormat="1" ht="15.6" x14ac:dyDescent="0.25">
      <c r="A304" s="335"/>
      <c r="C304" s="247"/>
      <c r="D304" s="358"/>
      <c r="E304" s="358"/>
    </row>
    <row r="305" spans="1:5" s="245" customFormat="1" ht="15.6" x14ac:dyDescent="0.25">
      <c r="A305" s="335"/>
      <c r="C305" s="247"/>
      <c r="D305" s="358"/>
      <c r="E305" s="358"/>
    </row>
    <row r="306" spans="1:5" s="245" customFormat="1" ht="15.6" x14ac:dyDescent="0.25">
      <c r="A306" s="335"/>
      <c r="C306" s="247"/>
      <c r="D306" s="358"/>
      <c r="E306" s="358"/>
    </row>
    <row r="307" spans="1:5" s="245" customFormat="1" ht="15.6" x14ac:dyDescent="0.25">
      <c r="A307" s="335"/>
      <c r="C307" s="247"/>
      <c r="D307" s="358"/>
      <c r="E307" s="358"/>
    </row>
    <row r="308" spans="1:5" s="245" customFormat="1" ht="15.6" x14ac:dyDescent="0.25">
      <c r="A308" s="335"/>
      <c r="C308" s="247"/>
      <c r="D308" s="358"/>
      <c r="E308" s="358"/>
    </row>
    <row r="309" spans="1:5" s="245" customFormat="1" ht="15.6" x14ac:dyDescent="0.25">
      <c r="A309" s="335"/>
      <c r="C309" s="247"/>
      <c r="D309" s="358"/>
      <c r="E309" s="358"/>
    </row>
    <row r="310" spans="1:5" s="245" customFormat="1" ht="15.6" x14ac:dyDescent="0.25">
      <c r="A310" s="335"/>
      <c r="C310" s="247"/>
      <c r="D310" s="358"/>
      <c r="E310" s="358"/>
    </row>
    <row r="311" spans="1:5" s="245" customFormat="1" ht="15.6" x14ac:dyDescent="0.25">
      <c r="A311" s="335"/>
      <c r="C311" s="247"/>
      <c r="D311" s="358"/>
      <c r="E311" s="358"/>
    </row>
    <row r="312" spans="1:5" s="245" customFormat="1" ht="15.6" x14ac:dyDescent="0.25">
      <c r="A312" s="335"/>
      <c r="C312" s="247"/>
      <c r="D312" s="358"/>
      <c r="E312" s="358"/>
    </row>
    <row r="313" spans="1:5" s="245" customFormat="1" ht="15.6" x14ac:dyDescent="0.25">
      <c r="A313" s="335"/>
      <c r="C313" s="247"/>
      <c r="D313" s="358"/>
      <c r="E313" s="358"/>
    </row>
    <row r="314" spans="1:5" s="245" customFormat="1" ht="15.6" x14ac:dyDescent="0.25">
      <c r="A314" s="335"/>
      <c r="C314" s="247"/>
      <c r="D314" s="358"/>
      <c r="E314" s="358"/>
    </row>
    <row r="315" spans="1:5" s="245" customFormat="1" ht="15.6" x14ac:dyDescent="0.25">
      <c r="A315" s="335"/>
      <c r="C315" s="247"/>
      <c r="D315" s="358"/>
      <c r="E315" s="358"/>
    </row>
    <row r="316" spans="1:5" s="245" customFormat="1" ht="15.6" x14ac:dyDescent="0.25">
      <c r="A316" s="335"/>
      <c r="C316" s="247"/>
      <c r="D316" s="358"/>
      <c r="E316" s="358"/>
    </row>
    <row r="317" spans="1:5" s="245" customFormat="1" ht="15.6" x14ac:dyDescent="0.25">
      <c r="A317" s="335"/>
      <c r="C317" s="247"/>
      <c r="D317" s="358"/>
      <c r="E317" s="358"/>
    </row>
    <row r="318" spans="1:5" s="245" customFormat="1" ht="15.6" x14ac:dyDescent="0.25">
      <c r="A318" s="335"/>
      <c r="C318" s="247"/>
      <c r="D318" s="358"/>
      <c r="E318" s="358"/>
    </row>
    <row r="319" spans="1:5" s="245" customFormat="1" ht="15.6" x14ac:dyDescent="0.25">
      <c r="A319" s="335"/>
      <c r="C319" s="247"/>
      <c r="D319" s="358"/>
      <c r="E319" s="358"/>
    </row>
    <row r="320" spans="1:5" s="245" customFormat="1" ht="15.6" x14ac:dyDescent="0.25">
      <c r="A320" s="335"/>
      <c r="C320" s="247"/>
      <c r="D320" s="358"/>
      <c r="E320" s="358"/>
    </row>
    <row r="321" spans="1:5" s="245" customFormat="1" ht="15.6" x14ac:dyDescent="0.25">
      <c r="A321" s="335"/>
      <c r="C321" s="247"/>
      <c r="D321" s="358"/>
      <c r="E321" s="358"/>
    </row>
    <row r="322" spans="1:5" s="245" customFormat="1" ht="15.6" x14ac:dyDescent="0.25">
      <c r="A322" s="335"/>
      <c r="C322" s="247"/>
      <c r="D322" s="358"/>
      <c r="E322" s="358"/>
    </row>
    <row r="323" spans="1:5" s="245" customFormat="1" ht="15.6" x14ac:dyDescent="0.25">
      <c r="A323" s="335"/>
      <c r="C323" s="247"/>
      <c r="D323" s="358"/>
      <c r="E323" s="358"/>
    </row>
    <row r="324" spans="1:5" s="245" customFormat="1" ht="15.6" x14ac:dyDescent="0.25">
      <c r="A324" s="335"/>
      <c r="C324" s="247"/>
      <c r="D324" s="358"/>
      <c r="E324" s="358"/>
    </row>
    <row r="325" spans="1:5" s="245" customFormat="1" ht="15.6" x14ac:dyDescent="0.25">
      <c r="A325" s="335"/>
      <c r="C325" s="247"/>
      <c r="D325" s="358"/>
      <c r="E325" s="358"/>
    </row>
    <row r="326" spans="1:5" s="245" customFormat="1" ht="15.6" x14ac:dyDescent="0.25">
      <c r="A326" s="335"/>
      <c r="C326" s="247"/>
      <c r="D326" s="358"/>
      <c r="E326" s="358"/>
    </row>
    <row r="327" spans="1:5" s="245" customFormat="1" ht="15.6" x14ac:dyDescent="0.25">
      <c r="A327" s="335"/>
      <c r="C327" s="247"/>
      <c r="D327" s="358"/>
      <c r="E327" s="358"/>
    </row>
    <row r="328" spans="1:5" s="245" customFormat="1" ht="15.6" x14ac:dyDescent="0.25">
      <c r="A328" s="335"/>
      <c r="C328" s="247"/>
      <c r="D328" s="358"/>
      <c r="E328" s="358"/>
    </row>
    <row r="329" spans="1:5" s="245" customFormat="1" ht="15.6" x14ac:dyDescent="0.25">
      <c r="A329" s="335"/>
      <c r="C329" s="247"/>
      <c r="D329" s="358"/>
      <c r="E329" s="358"/>
    </row>
    <row r="330" spans="1:5" s="245" customFormat="1" ht="15.6" x14ac:dyDescent="0.25">
      <c r="A330" s="335"/>
      <c r="C330" s="247"/>
      <c r="D330" s="358"/>
      <c r="E330" s="358"/>
    </row>
    <row r="331" spans="1:5" s="245" customFormat="1" ht="15.6" x14ac:dyDescent="0.25">
      <c r="A331" s="335"/>
      <c r="C331" s="247"/>
      <c r="D331" s="358"/>
      <c r="E331" s="358"/>
    </row>
    <row r="332" spans="1:5" s="245" customFormat="1" ht="15.6" x14ac:dyDescent="0.25">
      <c r="A332" s="335"/>
      <c r="C332" s="247"/>
      <c r="D332" s="358"/>
      <c r="E332" s="358"/>
    </row>
    <row r="333" spans="1:5" s="245" customFormat="1" ht="15.6" x14ac:dyDescent="0.25">
      <c r="A333" s="335"/>
      <c r="C333" s="247"/>
      <c r="D333" s="358"/>
      <c r="E333" s="358"/>
    </row>
    <row r="334" spans="1:5" s="245" customFormat="1" ht="15.6" x14ac:dyDescent="0.25">
      <c r="A334" s="335"/>
      <c r="C334" s="247"/>
      <c r="D334" s="358"/>
      <c r="E334" s="358"/>
    </row>
    <row r="335" spans="1:5" s="245" customFormat="1" ht="15.6" x14ac:dyDescent="0.25">
      <c r="A335" s="335"/>
      <c r="C335" s="247"/>
      <c r="D335" s="358"/>
      <c r="E335" s="358"/>
    </row>
    <row r="336" spans="1:5" s="245" customFormat="1" ht="15.6" x14ac:dyDescent="0.25">
      <c r="A336" s="335"/>
      <c r="C336" s="247"/>
      <c r="D336" s="358"/>
      <c r="E336" s="358"/>
    </row>
    <row r="337" spans="1:5" s="245" customFormat="1" ht="15.6" x14ac:dyDescent="0.25">
      <c r="A337" s="335"/>
      <c r="C337" s="247"/>
      <c r="D337" s="358"/>
      <c r="E337" s="358"/>
    </row>
    <row r="338" spans="1:5" s="245" customFormat="1" ht="15.6" x14ac:dyDescent="0.25">
      <c r="A338" s="335"/>
      <c r="C338" s="247"/>
      <c r="D338" s="358"/>
      <c r="E338" s="358"/>
    </row>
    <row r="339" spans="1:5" s="245" customFormat="1" ht="15.6" x14ac:dyDescent="0.25">
      <c r="A339" s="335"/>
      <c r="C339" s="247"/>
      <c r="D339" s="358"/>
      <c r="E339" s="358"/>
    </row>
    <row r="340" spans="1:5" s="245" customFormat="1" ht="15.6" x14ac:dyDescent="0.25">
      <c r="A340" s="335"/>
      <c r="C340" s="247"/>
      <c r="D340" s="358"/>
      <c r="E340" s="358"/>
    </row>
    <row r="341" spans="1:5" s="245" customFormat="1" ht="15.6" x14ac:dyDescent="0.25">
      <c r="A341" s="335"/>
      <c r="C341" s="247"/>
      <c r="D341" s="358"/>
      <c r="E341" s="358"/>
    </row>
    <row r="342" spans="1:5" s="245" customFormat="1" ht="15.6" x14ac:dyDescent="0.25">
      <c r="A342" s="335"/>
      <c r="C342" s="247"/>
      <c r="D342" s="358"/>
      <c r="E342" s="358"/>
    </row>
    <row r="343" spans="1:5" s="245" customFormat="1" ht="15.6" x14ac:dyDescent="0.25">
      <c r="A343" s="335"/>
      <c r="C343" s="247"/>
      <c r="D343" s="358"/>
      <c r="E343" s="358"/>
    </row>
    <row r="344" spans="1:5" s="245" customFormat="1" ht="15.6" x14ac:dyDescent="0.25">
      <c r="A344" s="335"/>
      <c r="C344" s="247"/>
      <c r="D344" s="358"/>
      <c r="E344" s="358"/>
    </row>
    <row r="345" spans="1:5" s="245" customFormat="1" ht="15.6" x14ac:dyDescent="0.25">
      <c r="A345" s="335"/>
      <c r="C345" s="247"/>
      <c r="D345" s="358"/>
      <c r="E345" s="358"/>
    </row>
    <row r="346" spans="1:5" s="245" customFormat="1" ht="15.6" x14ac:dyDescent="0.25">
      <c r="A346" s="335"/>
      <c r="C346" s="247"/>
      <c r="D346" s="358"/>
      <c r="E346" s="358"/>
    </row>
    <row r="347" spans="1:5" s="245" customFormat="1" ht="15.6" x14ac:dyDescent="0.25">
      <c r="A347" s="335"/>
      <c r="C347" s="247"/>
      <c r="D347" s="358"/>
      <c r="E347" s="358"/>
    </row>
    <row r="348" spans="1:5" s="245" customFormat="1" ht="15.6" x14ac:dyDescent="0.25">
      <c r="A348" s="335"/>
      <c r="C348" s="247"/>
      <c r="D348" s="358"/>
      <c r="E348" s="358"/>
    </row>
    <row r="349" spans="1:5" s="245" customFormat="1" ht="15.6" x14ac:dyDescent="0.25">
      <c r="A349" s="335"/>
      <c r="C349" s="247"/>
      <c r="D349" s="358"/>
      <c r="E349" s="358"/>
    </row>
    <row r="350" spans="1:5" s="245" customFormat="1" ht="15.6" x14ac:dyDescent="0.25">
      <c r="A350" s="335"/>
      <c r="C350" s="247"/>
      <c r="D350" s="358"/>
      <c r="E350" s="358"/>
    </row>
    <row r="351" spans="1:5" s="245" customFormat="1" ht="15.6" x14ac:dyDescent="0.25">
      <c r="A351" s="335"/>
      <c r="C351" s="247"/>
      <c r="D351" s="358"/>
      <c r="E351" s="358"/>
    </row>
    <row r="352" spans="1:5" s="245" customFormat="1" ht="15.6" x14ac:dyDescent="0.25">
      <c r="A352" s="335"/>
      <c r="C352" s="247"/>
      <c r="D352" s="358"/>
      <c r="E352" s="358"/>
    </row>
    <row r="353" spans="1:5" s="245" customFormat="1" ht="15.6" x14ac:dyDescent="0.25">
      <c r="A353" s="335"/>
      <c r="C353" s="247"/>
      <c r="D353" s="358"/>
      <c r="E353" s="358"/>
    </row>
    <row r="354" spans="1:5" s="245" customFormat="1" ht="15.6" x14ac:dyDescent="0.25">
      <c r="A354" s="335"/>
      <c r="C354" s="247"/>
      <c r="D354" s="358"/>
      <c r="E354" s="358"/>
    </row>
    <row r="355" spans="1:5" s="245" customFormat="1" ht="15.6" x14ac:dyDescent="0.25">
      <c r="A355" s="335"/>
      <c r="C355" s="247"/>
      <c r="D355" s="358"/>
      <c r="E355" s="358"/>
    </row>
    <row r="356" spans="1:5" s="245" customFormat="1" ht="15.6" x14ac:dyDescent="0.25">
      <c r="A356" s="335"/>
      <c r="C356" s="247"/>
      <c r="D356" s="358"/>
      <c r="E356" s="358"/>
    </row>
    <row r="357" spans="1:5" s="245" customFormat="1" ht="15.6" x14ac:dyDescent="0.25">
      <c r="A357" s="335"/>
      <c r="C357" s="247"/>
      <c r="D357" s="358"/>
      <c r="E357" s="358"/>
    </row>
    <row r="358" spans="1:5" s="245" customFormat="1" ht="15.6" x14ac:dyDescent="0.25">
      <c r="A358" s="335"/>
      <c r="C358" s="247"/>
      <c r="D358" s="358"/>
      <c r="E358" s="358"/>
    </row>
    <row r="359" spans="1:5" s="245" customFormat="1" ht="15.6" x14ac:dyDescent="0.25">
      <c r="A359" s="335"/>
      <c r="C359" s="247"/>
      <c r="D359" s="358"/>
      <c r="E359" s="358"/>
    </row>
    <row r="360" spans="1:5" s="245" customFormat="1" ht="15.6" x14ac:dyDescent="0.25">
      <c r="A360" s="335"/>
      <c r="C360" s="247"/>
      <c r="D360" s="358"/>
      <c r="E360" s="358"/>
    </row>
    <row r="361" spans="1:5" s="245" customFormat="1" ht="15.6" x14ac:dyDescent="0.25">
      <c r="A361" s="335"/>
      <c r="C361" s="247"/>
      <c r="D361" s="358"/>
      <c r="E361" s="358"/>
    </row>
    <row r="362" spans="1:5" s="245" customFormat="1" ht="15.6" x14ac:dyDescent="0.25">
      <c r="A362" s="335"/>
      <c r="C362" s="247"/>
      <c r="D362" s="358"/>
      <c r="E362" s="358"/>
    </row>
    <row r="363" spans="1:5" s="245" customFormat="1" ht="15.6" x14ac:dyDescent="0.25">
      <c r="A363" s="335"/>
      <c r="C363" s="247"/>
      <c r="D363" s="358"/>
      <c r="E363" s="358"/>
    </row>
    <row r="364" spans="1:5" s="245" customFormat="1" ht="15.6" x14ac:dyDescent="0.25">
      <c r="A364" s="335"/>
      <c r="C364" s="247"/>
      <c r="D364" s="358"/>
      <c r="E364" s="358"/>
    </row>
    <row r="365" spans="1:5" s="245" customFormat="1" ht="15.6" x14ac:dyDescent="0.25">
      <c r="A365" s="335"/>
      <c r="C365" s="247"/>
      <c r="D365" s="358"/>
      <c r="E365" s="358"/>
    </row>
    <row r="366" spans="1:5" s="245" customFormat="1" ht="15.6" x14ac:dyDescent="0.25">
      <c r="A366" s="335"/>
      <c r="C366" s="247"/>
      <c r="D366" s="358"/>
      <c r="E366" s="358"/>
    </row>
    <row r="367" spans="1:5" s="245" customFormat="1" ht="15.6" x14ac:dyDescent="0.25">
      <c r="A367" s="335"/>
      <c r="C367" s="247"/>
      <c r="D367" s="358"/>
      <c r="E367" s="358"/>
    </row>
    <row r="368" spans="1:5" s="245" customFormat="1" ht="15.6" x14ac:dyDescent="0.25">
      <c r="A368" s="335"/>
      <c r="C368" s="247"/>
      <c r="D368" s="358"/>
      <c r="E368" s="358"/>
    </row>
    <row r="369" spans="1:5" s="245" customFormat="1" ht="15.6" x14ac:dyDescent="0.25">
      <c r="A369" s="335"/>
      <c r="C369" s="247"/>
      <c r="D369" s="358"/>
      <c r="E369" s="358"/>
    </row>
    <row r="370" spans="1:5" s="245" customFormat="1" ht="15.6" x14ac:dyDescent="0.25">
      <c r="A370" s="335"/>
      <c r="C370" s="247"/>
      <c r="D370" s="358"/>
      <c r="E370" s="358"/>
    </row>
    <row r="371" spans="1:5" s="245" customFormat="1" ht="15.6" x14ac:dyDescent="0.25">
      <c r="A371" s="335"/>
      <c r="C371" s="247"/>
      <c r="D371" s="358"/>
      <c r="E371" s="358"/>
    </row>
    <row r="372" spans="1:5" s="245" customFormat="1" ht="15.6" x14ac:dyDescent="0.25">
      <c r="A372" s="335"/>
      <c r="C372" s="247"/>
      <c r="D372" s="358"/>
      <c r="E372" s="358"/>
    </row>
    <row r="373" spans="1:5" s="245" customFormat="1" ht="15.6" x14ac:dyDescent="0.25">
      <c r="A373" s="335"/>
      <c r="C373" s="247"/>
      <c r="D373" s="358"/>
      <c r="E373" s="358"/>
    </row>
    <row r="374" spans="1:5" s="245" customFormat="1" ht="15.6" x14ac:dyDescent="0.25">
      <c r="A374" s="335"/>
      <c r="C374" s="247"/>
      <c r="D374" s="358"/>
      <c r="E374" s="358"/>
    </row>
    <row r="375" spans="1:5" s="245" customFormat="1" ht="15.6" x14ac:dyDescent="0.25">
      <c r="A375" s="335"/>
      <c r="C375" s="247"/>
      <c r="D375" s="358"/>
      <c r="E375" s="358"/>
    </row>
    <row r="376" spans="1:5" s="245" customFormat="1" ht="15.6" x14ac:dyDescent="0.25">
      <c r="A376" s="335"/>
      <c r="C376" s="247"/>
      <c r="D376" s="358"/>
      <c r="E376" s="358"/>
    </row>
    <row r="377" spans="1:5" s="245" customFormat="1" ht="15.6" x14ac:dyDescent="0.25">
      <c r="A377" s="335"/>
      <c r="C377" s="247"/>
      <c r="D377" s="358"/>
      <c r="E377" s="358"/>
    </row>
    <row r="378" spans="1:5" s="245" customFormat="1" ht="15.6" x14ac:dyDescent="0.25">
      <c r="A378" s="335"/>
      <c r="C378" s="247"/>
      <c r="D378" s="358"/>
      <c r="E378" s="358"/>
    </row>
    <row r="379" spans="1:5" s="245" customFormat="1" ht="15.6" x14ac:dyDescent="0.25">
      <c r="A379" s="335"/>
      <c r="C379" s="247"/>
      <c r="D379" s="358"/>
      <c r="E379" s="358"/>
    </row>
    <row r="380" spans="1:5" s="245" customFormat="1" ht="15.6" x14ac:dyDescent="0.25">
      <c r="A380" s="335"/>
      <c r="C380" s="247"/>
      <c r="D380" s="358"/>
      <c r="E380" s="358"/>
    </row>
    <row r="381" spans="1:5" s="245" customFormat="1" ht="15.6" x14ac:dyDescent="0.25">
      <c r="A381" s="335"/>
      <c r="C381" s="247"/>
      <c r="D381" s="358"/>
      <c r="E381" s="358"/>
    </row>
    <row r="382" spans="1:5" s="245" customFormat="1" ht="15.6" x14ac:dyDescent="0.25">
      <c r="A382" s="335"/>
      <c r="C382" s="247"/>
      <c r="D382" s="358"/>
      <c r="E382" s="358"/>
    </row>
    <row r="383" spans="1:5" s="245" customFormat="1" ht="15.6" x14ac:dyDescent="0.25">
      <c r="A383" s="335"/>
      <c r="C383" s="247"/>
      <c r="D383" s="358"/>
      <c r="E383" s="358"/>
    </row>
    <row r="384" spans="1:5" s="245" customFormat="1" ht="15.6" x14ac:dyDescent="0.25">
      <c r="A384" s="335"/>
      <c r="C384" s="247"/>
      <c r="D384" s="358"/>
      <c r="E384" s="358"/>
    </row>
    <row r="385" spans="1:5" s="245" customFormat="1" ht="15.6" x14ac:dyDescent="0.25">
      <c r="A385" s="335"/>
      <c r="C385" s="247"/>
      <c r="D385" s="358"/>
      <c r="E385" s="358"/>
    </row>
    <row r="386" spans="1:5" s="245" customFormat="1" ht="15.6" x14ac:dyDescent="0.25">
      <c r="A386" s="335"/>
      <c r="C386" s="247"/>
      <c r="D386" s="358"/>
      <c r="E386" s="358"/>
    </row>
    <row r="387" spans="1:5" s="245" customFormat="1" ht="15.6" x14ac:dyDescent="0.25">
      <c r="A387" s="335"/>
      <c r="C387" s="247"/>
      <c r="D387" s="358"/>
      <c r="E387" s="358"/>
    </row>
    <row r="388" spans="1:5" s="245" customFormat="1" ht="15.6" x14ac:dyDescent="0.25">
      <c r="A388" s="335"/>
      <c r="C388" s="247"/>
      <c r="D388" s="358"/>
      <c r="E388" s="358"/>
    </row>
    <row r="389" spans="1:5" s="245" customFormat="1" ht="15.6" x14ac:dyDescent="0.25">
      <c r="A389" s="335"/>
      <c r="C389" s="247"/>
      <c r="D389" s="358"/>
      <c r="E389" s="358"/>
    </row>
    <row r="390" spans="1:5" s="245" customFormat="1" ht="15.6" x14ac:dyDescent="0.25">
      <c r="A390" s="335"/>
      <c r="C390" s="247"/>
      <c r="D390" s="358"/>
      <c r="E390" s="358"/>
    </row>
    <row r="391" spans="1:5" s="245" customFormat="1" ht="15.6" x14ac:dyDescent="0.25">
      <c r="A391" s="335"/>
      <c r="C391" s="247"/>
      <c r="D391" s="358"/>
      <c r="E391" s="358"/>
    </row>
    <row r="392" spans="1:5" s="245" customFormat="1" ht="15.6" x14ac:dyDescent="0.25">
      <c r="A392" s="335"/>
      <c r="C392" s="247"/>
      <c r="D392" s="358"/>
      <c r="E392" s="358"/>
    </row>
    <row r="393" spans="1:5" s="245" customFormat="1" ht="15.6" x14ac:dyDescent="0.25">
      <c r="A393" s="335"/>
      <c r="C393" s="247"/>
      <c r="D393" s="358"/>
      <c r="E393" s="358"/>
    </row>
    <row r="394" spans="1:5" s="245" customFormat="1" ht="15.6" x14ac:dyDescent="0.25">
      <c r="A394" s="335"/>
      <c r="C394" s="247"/>
      <c r="D394" s="358"/>
      <c r="E394" s="358"/>
    </row>
    <row r="395" spans="1:5" s="245" customFormat="1" ht="15.6" x14ac:dyDescent="0.25">
      <c r="A395" s="335"/>
      <c r="C395" s="247"/>
      <c r="D395" s="358"/>
      <c r="E395" s="358"/>
    </row>
    <row r="396" spans="1:5" s="245" customFormat="1" ht="15.6" x14ac:dyDescent="0.25">
      <c r="A396" s="335"/>
      <c r="C396" s="247"/>
      <c r="D396" s="358"/>
      <c r="E396" s="358"/>
    </row>
    <row r="397" spans="1:5" s="245" customFormat="1" ht="15.6" x14ac:dyDescent="0.25">
      <c r="A397" s="335"/>
      <c r="C397" s="247"/>
      <c r="D397" s="358"/>
      <c r="E397" s="358"/>
    </row>
    <row r="398" spans="1:5" s="245" customFormat="1" ht="15.6" x14ac:dyDescent="0.25">
      <c r="A398" s="335"/>
      <c r="C398" s="247"/>
      <c r="D398" s="358"/>
      <c r="E398" s="358"/>
    </row>
    <row r="399" spans="1:5" s="245" customFormat="1" ht="15.6" x14ac:dyDescent="0.25">
      <c r="A399" s="335"/>
      <c r="C399" s="247"/>
      <c r="D399" s="358"/>
      <c r="E399" s="358"/>
    </row>
    <row r="400" spans="1:5" s="245" customFormat="1" ht="15.6" x14ac:dyDescent="0.25">
      <c r="A400" s="335"/>
      <c r="C400" s="247"/>
      <c r="D400" s="358"/>
      <c r="E400" s="358"/>
    </row>
    <row r="401" spans="1:5" s="245" customFormat="1" ht="15.6" x14ac:dyDescent="0.25">
      <c r="A401" s="335"/>
      <c r="C401" s="247"/>
      <c r="D401" s="358"/>
      <c r="E401" s="358"/>
    </row>
    <row r="402" spans="1:5" s="245" customFormat="1" ht="15.6" x14ac:dyDescent="0.25">
      <c r="A402" s="335"/>
      <c r="C402" s="247"/>
      <c r="D402" s="358"/>
      <c r="E402" s="358"/>
    </row>
    <row r="403" spans="1:5" s="245" customFormat="1" ht="15.6" x14ac:dyDescent="0.25">
      <c r="A403" s="335"/>
      <c r="C403" s="247"/>
      <c r="D403" s="358"/>
      <c r="E403" s="358"/>
    </row>
    <row r="404" spans="1:5" s="245" customFormat="1" ht="15.6" x14ac:dyDescent="0.25">
      <c r="A404" s="335"/>
      <c r="C404" s="247"/>
      <c r="D404" s="358"/>
      <c r="E404" s="358"/>
    </row>
    <row r="405" spans="1:5" s="245" customFormat="1" ht="15.6" x14ac:dyDescent="0.25">
      <c r="A405" s="335"/>
      <c r="C405" s="247"/>
      <c r="D405" s="358"/>
      <c r="E405" s="358"/>
    </row>
    <row r="406" spans="1:5" s="245" customFormat="1" ht="15.6" x14ac:dyDescent="0.25">
      <c r="A406" s="335"/>
      <c r="C406" s="247"/>
      <c r="D406" s="358"/>
      <c r="E406" s="358"/>
    </row>
    <row r="407" spans="1:5" s="245" customFormat="1" ht="15.6" x14ac:dyDescent="0.25">
      <c r="A407" s="335"/>
      <c r="C407" s="247"/>
      <c r="D407" s="358"/>
      <c r="E407" s="358"/>
    </row>
    <row r="408" spans="1:5" s="245" customFormat="1" ht="15.6" x14ac:dyDescent="0.25">
      <c r="A408" s="335"/>
      <c r="C408" s="247"/>
      <c r="D408" s="358"/>
      <c r="E408" s="358"/>
    </row>
    <row r="409" spans="1:5" s="245" customFormat="1" ht="15.6" x14ac:dyDescent="0.25">
      <c r="A409" s="335"/>
      <c r="C409" s="247"/>
      <c r="D409" s="358"/>
      <c r="E409" s="358"/>
    </row>
    <row r="410" spans="1:5" s="245" customFormat="1" ht="15.6" x14ac:dyDescent="0.25">
      <c r="A410" s="335"/>
      <c r="C410" s="247"/>
      <c r="D410" s="358"/>
      <c r="E410" s="358"/>
    </row>
    <row r="411" spans="1:5" s="245" customFormat="1" ht="15.6" x14ac:dyDescent="0.25">
      <c r="A411" s="335"/>
      <c r="C411" s="247"/>
      <c r="D411" s="358"/>
      <c r="E411" s="358"/>
    </row>
    <row r="412" spans="1:5" s="245" customFormat="1" ht="15.6" x14ac:dyDescent="0.25">
      <c r="A412" s="335"/>
      <c r="C412" s="247"/>
      <c r="D412" s="358"/>
      <c r="E412" s="358"/>
    </row>
    <row r="413" spans="1:5" s="245" customFormat="1" ht="15.6" x14ac:dyDescent="0.25">
      <c r="A413" s="335"/>
      <c r="C413" s="247"/>
      <c r="D413" s="358"/>
      <c r="E413" s="358"/>
    </row>
    <row r="414" spans="1:5" s="245" customFormat="1" ht="15.6" x14ac:dyDescent="0.25">
      <c r="A414" s="335"/>
      <c r="C414" s="247"/>
      <c r="D414" s="358"/>
      <c r="E414" s="358"/>
    </row>
    <row r="415" spans="1:5" s="245" customFormat="1" ht="15.6" x14ac:dyDescent="0.25">
      <c r="A415" s="335"/>
      <c r="C415" s="247"/>
      <c r="D415" s="358"/>
      <c r="E415" s="358"/>
    </row>
    <row r="416" spans="1:5" s="245" customFormat="1" ht="15.6" x14ac:dyDescent="0.25">
      <c r="A416" s="335"/>
      <c r="C416" s="247"/>
      <c r="D416" s="358"/>
      <c r="E416" s="358"/>
    </row>
    <row r="417" spans="1:5" s="245" customFormat="1" ht="15.6" x14ac:dyDescent="0.25">
      <c r="A417" s="335"/>
      <c r="C417" s="247"/>
      <c r="D417" s="358"/>
      <c r="E417" s="358"/>
    </row>
    <row r="418" spans="1:5" s="245" customFormat="1" ht="15.6" x14ac:dyDescent="0.25">
      <c r="A418" s="335"/>
      <c r="C418" s="247"/>
      <c r="D418" s="358"/>
      <c r="E418" s="358"/>
    </row>
    <row r="419" spans="1:5" s="245" customFormat="1" ht="15.6" x14ac:dyDescent="0.25">
      <c r="A419" s="335"/>
      <c r="C419" s="247"/>
      <c r="D419" s="358"/>
      <c r="E419" s="358"/>
    </row>
    <row r="420" spans="1:5" s="245" customFormat="1" ht="15.6" x14ac:dyDescent="0.25">
      <c r="A420" s="335"/>
      <c r="C420" s="247"/>
      <c r="D420" s="358"/>
      <c r="E420" s="358"/>
    </row>
    <row r="421" spans="1:5" s="245" customFormat="1" ht="15.6" x14ac:dyDescent="0.25">
      <c r="A421" s="335"/>
      <c r="C421" s="247"/>
      <c r="D421" s="358"/>
      <c r="E421" s="358"/>
    </row>
    <row r="422" spans="1:5" s="245" customFormat="1" ht="15.6" x14ac:dyDescent="0.25">
      <c r="A422" s="335"/>
      <c r="C422" s="247"/>
      <c r="D422" s="358"/>
      <c r="E422" s="358"/>
    </row>
    <row r="423" spans="1:5" s="245" customFormat="1" ht="15.6" x14ac:dyDescent="0.25">
      <c r="A423" s="335"/>
      <c r="C423" s="247"/>
      <c r="D423" s="358"/>
      <c r="E423" s="358"/>
    </row>
    <row r="424" spans="1:5" s="245" customFormat="1" ht="15.6" x14ac:dyDescent="0.25">
      <c r="A424" s="335"/>
      <c r="C424" s="247"/>
      <c r="D424" s="358"/>
      <c r="E424" s="358"/>
    </row>
    <row r="425" spans="1:5" s="245" customFormat="1" ht="15.6" x14ac:dyDescent="0.25">
      <c r="A425" s="335"/>
      <c r="C425" s="247"/>
      <c r="D425" s="358"/>
      <c r="E425" s="358"/>
    </row>
    <row r="426" spans="1:5" s="245" customFormat="1" ht="15.6" x14ac:dyDescent="0.25">
      <c r="A426" s="335"/>
      <c r="C426" s="247"/>
      <c r="D426" s="358"/>
      <c r="E426" s="358"/>
    </row>
    <row r="427" spans="1:5" s="245" customFormat="1" ht="15.6" x14ac:dyDescent="0.25">
      <c r="A427" s="335"/>
      <c r="C427" s="247"/>
      <c r="D427" s="358"/>
      <c r="E427" s="358"/>
    </row>
    <row r="428" spans="1:5" s="245" customFormat="1" ht="15.6" x14ac:dyDescent="0.25">
      <c r="A428" s="335"/>
      <c r="C428" s="247"/>
      <c r="D428" s="358"/>
      <c r="E428" s="358"/>
    </row>
    <row r="429" spans="1:5" s="245" customFormat="1" ht="15.6" x14ac:dyDescent="0.25">
      <c r="A429" s="335"/>
      <c r="C429" s="247"/>
      <c r="D429" s="358"/>
      <c r="E429" s="358"/>
    </row>
    <row r="430" spans="1:5" s="245" customFormat="1" ht="15.6" x14ac:dyDescent="0.25">
      <c r="A430" s="335"/>
      <c r="C430" s="247"/>
      <c r="D430" s="358"/>
      <c r="E430" s="358"/>
    </row>
    <row r="431" spans="1:5" s="245" customFormat="1" ht="15.6" x14ac:dyDescent="0.25">
      <c r="A431" s="335"/>
      <c r="C431" s="247"/>
      <c r="D431" s="358"/>
      <c r="E431" s="358"/>
    </row>
    <row r="432" spans="1:5" s="245" customFormat="1" ht="15.6" x14ac:dyDescent="0.25">
      <c r="A432" s="335"/>
      <c r="C432" s="247"/>
      <c r="D432" s="358"/>
      <c r="E432" s="358"/>
    </row>
    <row r="433" spans="1:5" s="245" customFormat="1" ht="15.6" x14ac:dyDescent="0.25">
      <c r="A433" s="335"/>
      <c r="C433" s="247"/>
      <c r="D433" s="358"/>
      <c r="E433" s="358"/>
    </row>
    <row r="434" spans="1:5" s="245" customFormat="1" ht="15.6" x14ac:dyDescent="0.25">
      <c r="A434" s="335"/>
      <c r="C434" s="247"/>
      <c r="D434" s="358"/>
      <c r="E434" s="358"/>
    </row>
    <row r="435" spans="1:5" s="245" customFormat="1" ht="15.6" x14ac:dyDescent="0.25">
      <c r="A435" s="335"/>
      <c r="C435" s="247"/>
      <c r="D435" s="358"/>
      <c r="E435" s="358"/>
    </row>
    <row r="436" spans="1:5" s="245" customFormat="1" ht="15.6" x14ac:dyDescent="0.25">
      <c r="A436" s="335"/>
      <c r="C436" s="247"/>
      <c r="D436" s="358"/>
      <c r="E436" s="358"/>
    </row>
    <row r="437" spans="1:5" s="245" customFormat="1" ht="15.6" x14ac:dyDescent="0.25">
      <c r="A437" s="335"/>
      <c r="C437" s="247"/>
      <c r="D437" s="358"/>
      <c r="E437" s="358"/>
    </row>
    <row r="438" spans="1:5" s="245" customFormat="1" ht="15.6" x14ac:dyDescent="0.25">
      <c r="A438" s="335"/>
      <c r="C438" s="247"/>
      <c r="D438" s="358"/>
      <c r="E438" s="358"/>
    </row>
    <row r="439" spans="1:5" s="245" customFormat="1" ht="15.6" x14ac:dyDescent="0.25">
      <c r="A439" s="335"/>
      <c r="C439" s="247"/>
      <c r="D439" s="358"/>
      <c r="E439" s="358"/>
    </row>
    <row r="440" spans="1:5" s="245" customFormat="1" ht="15.6" x14ac:dyDescent="0.25">
      <c r="A440" s="335"/>
      <c r="C440" s="247"/>
      <c r="D440" s="358"/>
      <c r="E440" s="358"/>
    </row>
    <row r="441" spans="1:5" s="245" customFormat="1" ht="15.6" x14ac:dyDescent="0.25">
      <c r="A441" s="335"/>
      <c r="C441" s="247"/>
      <c r="D441" s="358"/>
      <c r="E441" s="358"/>
    </row>
    <row r="442" spans="1:5" s="245" customFormat="1" ht="15.6" x14ac:dyDescent="0.25">
      <c r="A442" s="335"/>
      <c r="C442" s="247"/>
      <c r="D442" s="358"/>
      <c r="E442" s="358"/>
    </row>
    <row r="443" spans="1:5" s="245" customFormat="1" ht="15.6" x14ac:dyDescent="0.25">
      <c r="A443" s="335"/>
      <c r="C443" s="247"/>
      <c r="D443" s="358"/>
      <c r="E443" s="358"/>
    </row>
    <row r="444" spans="1:5" s="245" customFormat="1" ht="15.6" x14ac:dyDescent="0.25">
      <c r="A444" s="335"/>
      <c r="C444" s="247"/>
      <c r="D444" s="358"/>
      <c r="E444" s="358"/>
    </row>
    <row r="445" spans="1:5" s="245" customFormat="1" ht="15.6" x14ac:dyDescent="0.25">
      <c r="A445" s="335"/>
      <c r="C445" s="247"/>
      <c r="D445" s="358"/>
      <c r="E445" s="358"/>
    </row>
    <row r="446" spans="1:5" s="245" customFormat="1" ht="15.6" x14ac:dyDescent="0.25">
      <c r="A446" s="335"/>
      <c r="C446" s="247"/>
      <c r="D446" s="358"/>
      <c r="E446" s="358"/>
    </row>
    <row r="447" spans="1:5" s="245" customFormat="1" ht="15.6" x14ac:dyDescent="0.25">
      <c r="A447" s="335"/>
      <c r="C447" s="247"/>
      <c r="D447" s="358"/>
      <c r="E447" s="358"/>
    </row>
    <row r="448" spans="1:5" s="245" customFormat="1" ht="15.6" x14ac:dyDescent="0.25">
      <c r="A448" s="335"/>
      <c r="C448" s="247"/>
      <c r="D448" s="358"/>
      <c r="E448" s="358"/>
    </row>
    <row r="449" spans="1:5" s="245" customFormat="1" ht="15.6" x14ac:dyDescent="0.25">
      <c r="A449" s="335"/>
      <c r="C449" s="247"/>
      <c r="D449" s="358"/>
      <c r="E449" s="358"/>
    </row>
    <row r="450" spans="1:5" s="245" customFormat="1" ht="15.6" x14ac:dyDescent="0.25">
      <c r="A450" s="335"/>
      <c r="C450" s="247"/>
      <c r="D450" s="358"/>
      <c r="E450" s="358"/>
    </row>
    <row r="451" spans="1:5" s="245" customFormat="1" ht="15.6" x14ac:dyDescent="0.25">
      <c r="A451" s="335"/>
      <c r="C451" s="247"/>
      <c r="D451" s="358"/>
      <c r="E451" s="358"/>
    </row>
    <row r="452" spans="1:5" s="245" customFormat="1" ht="15.6" x14ac:dyDescent="0.25">
      <c r="A452" s="335"/>
      <c r="C452" s="247"/>
      <c r="D452" s="358"/>
      <c r="E452" s="358"/>
    </row>
    <row r="453" spans="1:5" s="245" customFormat="1" ht="15.6" x14ac:dyDescent="0.25">
      <c r="A453" s="335"/>
      <c r="C453" s="247"/>
      <c r="D453" s="358"/>
      <c r="E453" s="358"/>
    </row>
    <row r="454" spans="1:5" s="245" customFormat="1" ht="15.6" x14ac:dyDescent="0.25">
      <c r="A454" s="335"/>
      <c r="C454" s="247"/>
      <c r="D454" s="358"/>
      <c r="E454" s="358"/>
    </row>
    <row r="455" spans="1:5" s="245" customFormat="1" ht="15.6" x14ac:dyDescent="0.25">
      <c r="A455" s="335"/>
      <c r="C455" s="247"/>
      <c r="D455" s="358"/>
      <c r="E455" s="358"/>
    </row>
    <row r="456" spans="1:5" s="245" customFormat="1" ht="15.6" x14ac:dyDescent="0.25">
      <c r="A456" s="335"/>
      <c r="C456" s="247"/>
      <c r="D456" s="358"/>
      <c r="E456" s="358"/>
    </row>
    <row r="457" spans="1:5" s="245" customFormat="1" ht="15.6" x14ac:dyDescent="0.25">
      <c r="A457" s="335"/>
      <c r="C457" s="247"/>
      <c r="D457" s="358"/>
      <c r="E457" s="358"/>
    </row>
    <row r="458" spans="1:5" s="245" customFormat="1" ht="15.6" x14ac:dyDescent="0.25">
      <c r="A458" s="335"/>
      <c r="C458" s="247"/>
      <c r="D458" s="358"/>
      <c r="E458" s="358"/>
    </row>
    <row r="459" spans="1:5" s="245" customFormat="1" ht="15.6" x14ac:dyDescent="0.25">
      <c r="A459" s="335"/>
      <c r="C459" s="247"/>
      <c r="D459" s="358"/>
      <c r="E459" s="358"/>
    </row>
    <row r="460" spans="1:5" s="245" customFormat="1" ht="15.6" x14ac:dyDescent="0.25">
      <c r="A460" s="335"/>
      <c r="C460" s="247"/>
      <c r="D460" s="358"/>
      <c r="E460" s="358"/>
    </row>
    <row r="461" spans="1:5" s="245" customFormat="1" ht="15.6" x14ac:dyDescent="0.25">
      <c r="A461" s="335"/>
      <c r="C461" s="247"/>
      <c r="D461" s="358"/>
      <c r="E461" s="358"/>
    </row>
    <row r="462" spans="1:5" s="245" customFormat="1" ht="15.6" x14ac:dyDescent="0.25">
      <c r="A462" s="335"/>
      <c r="C462" s="247"/>
      <c r="D462" s="358"/>
      <c r="E462" s="358"/>
    </row>
    <row r="463" spans="1:5" s="245" customFormat="1" ht="15.6" x14ac:dyDescent="0.25">
      <c r="A463" s="335"/>
      <c r="C463" s="247"/>
      <c r="D463" s="358"/>
      <c r="E463" s="358"/>
    </row>
    <row r="464" spans="1:5" s="245" customFormat="1" ht="15.6" x14ac:dyDescent="0.25">
      <c r="A464" s="335"/>
      <c r="C464" s="247"/>
      <c r="D464" s="358"/>
      <c r="E464" s="358"/>
    </row>
    <row r="465" spans="1:5" s="245" customFormat="1" ht="15.6" x14ac:dyDescent="0.25">
      <c r="A465" s="335"/>
      <c r="C465" s="247"/>
      <c r="D465" s="358"/>
      <c r="E465" s="358"/>
    </row>
    <row r="466" spans="1:5" s="245" customFormat="1" ht="15.6" x14ac:dyDescent="0.25">
      <c r="A466" s="335"/>
      <c r="C466" s="247"/>
      <c r="D466" s="358"/>
      <c r="E466" s="358"/>
    </row>
    <row r="467" spans="1:5" s="245" customFormat="1" ht="15.6" x14ac:dyDescent="0.25">
      <c r="A467" s="335"/>
      <c r="C467" s="247"/>
      <c r="D467" s="358"/>
      <c r="E467" s="358"/>
    </row>
    <row r="468" spans="1:5" s="245" customFormat="1" ht="15.6" x14ac:dyDescent="0.25">
      <c r="A468" s="335"/>
      <c r="C468" s="247"/>
      <c r="D468" s="358"/>
      <c r="E468" s="358"/>
    </row>
    <row r="469" spans="1:5" s="245" customFormat="1" ht="15.6" x14ac:dyDescent="0.25">
      <c r="A469" s="335"/>
      <c r="C469" s="247"/>
      <c r="D469" s="358"/>
      <c r="E469" s="358"/>
    </row>
    <row r="470" spans="1:5" s="245" customFormat="1" ht="15.6" x14ac:dyDescent="0.25">
      <c r="A470" s="335"/>
      <c r="C470" s="247"/>
      <c r="D470" s="358"/>
      <c r="E470" s="358"/>
    </row>
    <row r="471" spans="1:5" s="245" customFormat="1" ht="15.6" x14ac:dyDescent="0.25">
      <c r="A471" s="335"/>
      <c r="C471" s="247"/>
      <c r="D471" s="358"/>
      <c r="E471" s="35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2023-06-28T13:10:15Z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2023-02-23T09:42:30Z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20643fac-94b1-4179-a111-b226cc6b6501</vt:lpwstr>
  </property>
  <property fmtid="{D5CDD505-2E9C-101B-9397-08002B2CF9AE}" pid="8" name="MSIP_Label_c69d85d5-6d9e-4305-a294-1f636ec0f2d6_ContentBits">
    <vt:lpwstr>0</vt:lpwstr>
  </property>
</Properties>
</file>