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24226"/>
  <xr:revisionPtr revIDLastSave="0" documentId="13_ncr:1_{6D5D5128-A91C-4A5C-AC0F-5D74A950C163}" xr6:coauthVersionLast="47" xr6:coauthVersionMax="47" xr10:uidLastSave="{00000000-0000-0000-0000-000000000000}"/>
  <bookViews>
    <workbookView xWindow="-120" yWindow="-120" windowWidth="29040" windowHeight="15840" tabRatio="944" xr2:uid="{00000000-000D-0000-FFFF-FFFF00000000}"/>
  </bookViews>
  <sheets>
    <sheet name="Cover" sheetId="38" r:id="rId1"/>
    <sheet name="Contents" sheetId="54" r:id="rId2"/>
    <sheet name="Population selection" sheetId="32" state="hidden" r:id="rId3"/>
    <sheet name="Inputs and eligible population" sheetId="50" r:id="rId4"/>
    <sheet name="Unit costs" sheetId="21" r:id="rId5"/>
    <sheet name="Summary" sheetId="47"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5">'[1]Population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selection'!$B$549:$B$564</definedName>
    <definedName name="_xlnm.Print_Area" localSheetId="7">'Capacity (local prices)'!$B$1:$S$177</definedName>
    <definedName name="_xlnm.Print_Area" localSheetId="8">'Capacity (national prices)'!$B$1:$S$179</definedName>
    <definedName name="_xlnm.Print_Area" localSheetId="1">Contents!$A$1:$P$29</definedName>
    <definedName name="_xlnm.Print_Area" localSheetId="0">Cover!$A$1:$P$44</definedName>
    <definedName name="_xlnm.Print_Area" localSheetId="6">'Financial impact (cash)'!$B$1:$J$26</definedName>
    <definedName name="_xlnm.Print_Area" localSheetId="3">'Inputs and eligible population'!$A$2:$S$118</definedName>
    <definedName name="_xlnm.Print_Area" localSheetId="2">'Population selection'!$B$11:$J$17</definedName>
    <definedName name="_xlnm.Print_Area" localSheetId="5">Summary!$B$1:$K$72</definedName>
    <definedName name="_xlnm.Print_Area" localSheetId="4">'Unit costs'!$B$1:$R$56</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50" l="1"/>
  <c r="F29" i="50"/>
  <c r="K176" i="56"/>
  <c r="K175" i="56"/>
  <c r="C174" i="56"/>
  <c r="B176" i="56"/>
  <c r="B175" i="56"/>
  <c r="K174" i="46"/>
  <c r="K173" i="46"/>
  <c r="D40" i="21"/>
  <c r="F40" i="21" s="1"/>
  <c r="D39" i="21"/>
  <c r="F39" i="21" s="1"/>
  <c r="C40" i="21"/>
  <c r="C39" i="21"/>
  <c r="K41" i="56"/>
  <c r="K40" i="56"/>
  <c r="K34" i="56"/>
  <c r="K33" i="56"/>
  <c r="C174" i="46" l="1"/>
  <c r="C176" i="56" s="1"/>
  <c r="C173" i="46"/>
  <c r="C175" i="56" s="1"/>
  <c r="B12" i="56"/>
  <c r="B12" i="46"/>
  <c r="E62" i="50"/>
  <c r="F19" i="21"/>
  <c r="F21" i="21" s="1"/>
  <c r="H9" i="21"/>
  <c r="G13" i="50" l="1"/>
  <c r="G38" i="50"/>
  <c r="F19" i="50" l="1"/>
  <c r="G35" i="50"/>
  <c r="L44"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K92" i="50"/>
  <c r="K165" i="46" s="1"/>
  <c r="K90" i="50"/>
  <c r="K150" i="46" s="1"/>
  <c r="K88" i="50"/>
  <c r="K142" i="46" s="1"/>
  <c r="K86" i="50"/>
  <c r="K133" i="46" s="1"/>
  <c r="K84" i="50"/>
  <c r="K123" i="46" s="1"/>
  <c r="K83" i="50"/>
  <c r="K116" i="46" s="1"/>
  <c r="K82" i="50"/>
  <c r="K108" i="46" s="1"/>
  <c r="K79" i="50"/>
  <c r="K82" i="46" s="1"/>
  <c r="K78" i="50"/>
  <c r="K76" i="46" s="1"/>
  <c r="K77" i="50"/>
  <c r="K74" i="50"/>
  <c r="K76" i="50"/>
  <c r="K41" i="46" s="1"/>
  <c r="K54" i="56"/>
  <c r="D5" i="57"/>
  <c r="D6" i="57"/>
  <c r="D7" i="57"/>
  <c r="D8" i="57"/>
  <c r="D9" i="57"/>
  <c r="D10" i="57"/>
  <c r="D11" i="57"/>
  <c r="D12" i="57"/>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B1" i="56"/>
  <c r="B1" i="46"/>
  <c r="B1" i="42"/>
  <c r="B1" i="47"/>
  <c r="B1" i="21"/>
  <c r="K40" i="46" l="1"/>
  <c r="K83" i="46"/>
  <c r="K141" i="46"/>
  <c r="K131" i="46"/>
  <c r="K166" i="46"/>
  <c r="K124" i="46"/>
  <c r="K68" i="46"/>
  <c r="K132" i="46"/>
  <c r="K106" i="46"/>
  <c r="K69" i="46"/>
  <c r="K148" i="46"/>
  <c r="K107" i="46"/>
  <c r="K33" i="46"/>
  <c r="K149" i="46"/>
  <c r="K114" i="46"/>
  <c r="K34" i="46"/>
  <c r="K75" i="46"/>
  <c r="K115" i="46"/>
  <c r="K164" i="46"/>
  <c r="K140" i="46"/>
  <c r="K122" i="46"/>
  <c r="U70" i="57"/>
  <c r="U62" i="57"/>
  <c r="U53" i="57"/>
  <c r="C44" i="50"/>
  <c r="C6" i="47" l="1"/>
  <c r="F16" i="50"/>
  <c r="F18" i="50"/>
  <c r="C34" i="56"/>
  <c r="C33" i="56"/>
  <c r="C34" i="46"/>
  <c r="C33" i="46"/>
  <c r="C41" i="46"/>
  <c r="C40" i="56"/>
  <c r="B11" i="56"/>
  <c r="B11" i="46"/>
  <c r="B10" i="46"/>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41" i="56" l="1"/>
  <c r="C40" i="46"/>
  <c r="C168" i="56" l="1"/>
  <c r="K168" i="56" s="1"/>
  <c r="C167" i="56"/>
  <c r="K167" i="56" s="1"/>
  <c r="C166" i="56"/>
  <c r="K166" i="56" s="1"/>
  <c r="C152" i="56"/>
  <c r="C151" i="56"/>
  <c r="C150" i="56"/>
  <c r="C135" i="56"/>
  <c r="K135" i="56" s="1"/>
  <c r="C134" i="56"/>
  <c r="K134" i="56" s="1"/>
  <c r="C133" i="56"/>
  <c r="K133" i="56" s="1"/>
  <c r="C126" i="56"/>
  <c r="C125" i="56"/>
  <c r="C124" i="56"/>
  <c r="C85" i="56"/>
  <c r="C77" i="56"/>
  <c r="C76" i="56"/>
  <c r="C75" i="56"/>
  <c r="C69" i="56"/>
  <c r="C68" i="56"/>
  <c r="C67" i="56"/>
  <c r="C166" i="46"/>
  <c r="C165" i="46"/>
  <c r="C164" i="46"/>
  <c r="C158" i="46"/>
  <c r="C157" i="46"/>
  <c r="C156" i="46"/>
  <c r="C150" i="46"/>
  <c r="C149" i="46"/>
  <c r="C148" i="46"/>
  <c r="C142" i="46"/>
  <c r="C141" i="46"/>
  <c r="C140" i="46"/>
  <c r="C133" i="46"/>
  <c r="C132" i="46"/>
  <c r="C131" i="46"/>
  <c r="C124" i="46"/>
  <c r="C123" i="46"/>
  <c r="C122" i="46"/>
  <c r="C116" i="46"/>
  <c r="C115" i="46"/>
  <c r="C114" i="46"/>
  <c r="C108" i="46"/>
  <c r="C107" i="46"/>
  <c r="C106" i="46"/>
  <c r="C92" i="46"/>
  <c r="C91" i="46"/>
  <c r="C90" i="46"/>
  <c r="C83" i="46"/>
  <c r="C82" i="46"/>
  <c r="C76" i="46"/>
  <c r="C75" i="46"/>
  <c r="C69" i="46"/>
  <c r="C68" i="46"/>
  <c r="K169" i="56" l="1"/>
  <c r="K136" i="56"/>
  <c r="D105" i="57"/>
  <c r="C105" i="57"/>
  <c r="B105" i="57"/>
  <c r="F100" i="57"/>
  <c r="E100" i="57"/>
  <c r="F99" i="57"/>
  <c r="E99" i="57"/>
  <c r="F98" i="57"/>
  <c r="E98" i="57"/>
  <c r="F97" i="57"/>
  <c r="E97" i="57"/>
  <c r="F96" i="57"/>
  <c r="E96" i="57"/>
  <c r="F95" i="57"/>
  <c r="E95" i="57"/>
  <c r="F94" i="57"/>
  <c r="E94" i="57"/>
  <c r="F93" i="57"/>
  <c r="E93" i="57"/>
  <c r="F92" i="57"/>
  <c r="E92" i="57"/>
  <c r="F91" i="57"/>
  <c r="E91" i="57"/>
  <c r="F90" i="57"/>
  <c r="E90" i="57"/>
  <c r="F89" i="57"/>
  <c r="E89" i="57"/>
  <c r="F88" i="57"/>
  <c r="E88" i="57"/>
  <c r="F87" i="57"/>
  <c r="E87" i="57"/>
  <c r="F86" i="57"/>
  <c r="E86" i="57"/>
  <c r="F85" i="57"/>
  <c r="E85" i="57"/>
  <c r="F84" i="57"/>
  <c r="E84" i="57"/>
  <c r="F83" i="57"/>
  <c r="E83" i="57"/>
  <c r="F82" i="57"/>
  <c r="E82" i="57"/>
  <c r="J81" i="57"/>
  <c r="H81" i="57"/>
  <c r="F81" i="57"/>
  <c r="E81" i="57"/>
  <c r="J80" i="57"/>
  <c r="H80" i="57"/>
  <c r="F80" i="57"/>
  <c r="E80" i="57"/>
  <c r="J79" i="57"/>
  <c r="H79" i="57"/>
  <c r="F79" i="57"/>
  <c r="E79" i="57"/>
  <c r="J78" i="57"/>
  <c r="H78" i="57"/>
  <c r="F78" i="57"/>
  <c r="E78" i="57"/>
  <c r="J77" i="57"/>
  <c r="H77" i="57"/>
  <c r="F77" i="57"/>
  <c r="E77" i="57"/>
  <c r="J76" i="57"/>
  <c r="H76" i="57"/>
  <c r="F76" i="57"/>
  <c r="E76" i="57"/>
  <c r="J75" i="57"/>
  <c r="H75" i="57"/>
  <c r="F75" i="57"/>
  <c r="E75" i="57"/>
  <c r="J74" i="57"/>
  <c r="H74" i="57"/>
  <c r="F74" i="57"/>
  <c r="E74" i="57"/>
  <c r="J73" i="57"/>
  <c r="H73" i="57"/>
  <c r="F73" i="57"/>
  <c r="E73" i="57"/>
  <c r="J72" i="57"/>
  <c r="H72" i="57"/>
  <c r="F72" i="57"/>
  <c r="E72" i="57"/>
  <c r="J71" i="57"/>
  <c r="H71" i="57"/>
  <c r="F71" i="57"/>
  <c r="E71" i="57"/>
  <c r="J70" i="57"/>
  <c r="H70" i="57"/>
  <c r="F70" i="57"/>
  <c r="E70" i="57"/>
  <c r="J69" i="57"/>
  <c r="H69" i="57"/>
  <c r="F69" i="57"/>
  <c r="E69" i="57"/>
  <c r="J68" i="57"/>
  <c r="H68" i="57"/>
  <c r="F68" i="57"/>
  <c r="E68" i="57"/>
  <c r="J67" i="57"/>
  <c r="H67" i="57"/>
  <c r="F67" i="57"/>
  <c r="E67" i="57"/>
  <c r="J66" i="57"/>
  <c r="H66" i="57"/>
  <c r="F66" i="57"/>
  <c r="E66" i="57"/>
  <c r="J65" i="57"/>
  <c r="H65" i="57"/>
  <c r="F65" i="57"/>
  <c r="E65" i="57"/>
  <c r="J64" i="57"/>
  <c r="H64" i="57"/>
  <c r="F64" i="57"/>
  <c r="E64" i="57"/>
  <c r="J63" i="57"/>
  <c r="H63" i="57"/>
  <c r="F63" i="57"/>
  <c r="E63" i="57"/>
  <c r="J62" i="57"/>
  <c r="H62" i="57"/>
  <c r="F62" i="57"/>
  <c r="E62" i="57"/>
  <c r="J61" i="57"/>
  <c r="H61" i="57"/>
  <c r="F61" i="57"/>
  <c r="E61" i="57"/>
  <c r="J60" i="57"/>
  <c r="H60" i="57"/>
  <c r="F60" i="57"/>
  <c r="E60" i="57"/>
  <c r="J59" i="57"/>
  <c r="H59" i="57"/>
  <c r="F59" i="57"/>
  <c r="E59" i="57"/>
  <c r="J58" i="57"/>
  <c r="H58" i="57"/>
  <c r="F58" i="57"/>
  <c r="E58" i="57"/>
  <c r="J57" i="57"/>
  <c r="H57" i="57"/>
  <c r="F57" i="57"/>
  <c r="E57" i="57"/>
  <c r="J56" i="57"/>
  <c r="H56" i="57"/>
  <c r="F56" i="57"/>
  <c r="E56" i="57"/>
  <c r="J55" i="57"/>
  <c r="H55" i="57"/>
  <c r="F55" i="57"/>
  <c r="E55" i="57"/>
  <c r="J54" i="57"/>
  <c r="H54" i="57"/>
  <c r="F54" i="57"/>
  <c r="E54" i="57"/>
  <c r="J53" i="57"/>
  <c r="H53" i="57"/>
  <c r="F53" i="57"/>
  <c r="E53" i="57"/>
  <c r="J52" i="57"/>
  <c r="H52" i="57"/>
  <c r="F52" i="57"/>
  <c r="E52" i="57"/>
  <c r="J51" i="57"/>
  <c r="H51" i="57"/>
  <c r="F51" i="57"/>
  <c r="E51" i="57"/>
  <c r="J50" i="57"/>
  <c r="H50" i="57"/>
  <c r="F50" i="57"/>
  <c r="E50" i="57"/>
  <c r="J49" i="57"/>
  <c r="H49" i="57"/>
  <c r="F49" i="57"/>
  <c r="E49" i="57"/>
  <c r="J48" i="57"/>
  <c r="H48" i="57"/>
  <c r="F48" i="57"/>
  <c r="E48" i="57"/>
  <c r="J47" i="57"/>
  <c r="H47" i="57"/>
  <c r="F47" i="57"/>
  <c r="E47" i="57"/>
  <c r="J46" i="57"/>
  <c r="H46" i="57"/>
  <c r="F46" i="57"/>
  <c r="E46" i="57"/>
  <c r="J45" i="57"/>
  <c r="H45" i="57"/>
  <c r="F45" i="57"/>
  <c r="E45" i="57"/>
  <c r="J44" i="57"/>
  <c r="H44" i="57"/>
  <c r="F44" i="57"/>
  <c r="E44" i="57"/>
  <c r="J43" i="57"/>
  <c r="H43" i="57"/>
  <c r="F43" i="57"/>
  <c r="E43" i="57"/>
  <c r="J42" i="57"/>
  <c r="K42" i="57" s="1"/>
  <c r="H42" i="57"/>
  <c r="F42" i="57"/>
  <c r="E42" i="57"/>
  <c r="J41" i="57"/>
  <c r="K41" i="57" s="1"/>
  <c r="H41" i="57"/>
  <c r="F41" i="57"/>
  <c r="E41" i="57"/>
  <c r="J40" i="57"/>
  <c r="H40" i="57"/>
  <c r="F40" i="57"/>
  <c r="E40" i="57"/>
  <c r="J39" i="57"/>
  <c r="K39" i="57" s="1"/>
  <c r="H39" i="57"/>
  <c r="F39" i="57"/>
  <c r="E39" i="57"/>
  <c r="J38" i="57"/>
  <c r="H38" i="57"/>
  <c r="F38" i="57"/>
  <c r="E38" i="57"/>
  <c r="J37" i="57"/>
  <c r="H37" i="57"/>
  <c r="F37" i="57"/>
  <c r="E37" i="57"/>
  <c r="J36" i="57"/>
  <c r="H36" i="57"/>
  <c r="F36" i="57"/>
  <c r="E36" i="57"/>
  <c r="J35" i="57"/>
  <c r="H35" i="57"/>
  <c r="F35" i="57"/>
  <c r="E35" i="57"/>
  <c r="J34" i="57"/>
  <c r="H34" i="57"/>
  <c r="F34" i="57"/>
  <c r="E34" i="57"/>
  <c r="J33" i="57"/>
  <c r="H33" i="57"/>
  <c r="F33" i="57"/>
  <c r="E33" i="57"/>
  <c r="J32" i="57"/>
  <c r="H32" i="57"/>
  <c r="F32" i="57"/>
  <c r="E32" i="57"/>
  <c r="J31" i="57"/>
  <c r="H31" i="57"/>
  <c r="F31" i="57"/>
  <c r="E31" i="57"/>
  <c r="J30" i="57"/>
  <c r="H30" i="57"/>
  <c r="F30" i="57"/>
  <c r="E30" i="57"/>
  <c r="J29" i="57"/>
  <c r="H29" i="57"/>
  <c r="F29" i="57"/>
  <c r="E29" i="57"/>
  <c r="J28" i="57"/>
  <c r="H28" i="57"/>
  <c r="F28" i="57"/>
  <c r="E28" i="57"/>
  <c r="J27" i="57"/>
  <c r="H27" i="57"/>
  <c r="F27" i="57"/>
  <c r="E27" i="57"/>
  <c r="J26" i="57"/>
  <c r="H26" i="57"/>
  <c r="F26" i="57"/>
  <c r="E26" i="57"/>
  <c r="J25" i="57"/>
  <c r="H25" i="57"/>
  <c r="F25" i="57"/>
  <c r="E25" i="57"/>
  <c r="J24" i="57"/>
  <c r="H24" i="57"/>
  <c r="F24" i="57"/>
  <c r="E24" i="57"/>
  <c r="J23" i="57"/>
  <c r="H23" i="57"/>
  <c r="F23" i="57"/>
  <c r="E23" i="57"/>
  <c r="J22" i="57"/>
  <c r="H22" i="57"/>
  <c r="F22" i="57"/>
  <c r="E22" i="57"/>
  <c r="J21" i="57"/>
  <c r="H21" i="57"/>
  <c r="F21" i="57"/>
  <c r="E21" i="57"/>
  <c r="J20" i="57"/>
  <c r="H20" i="57"/>
  <c r="F20" i="57"/>
  <c r="E20" i="57"/>
  <c r="J19" i="57"/>
  <c r="H19" i="57"/>
  <c r="F19" i="57"/>
  <c r="E19" i="57"/>
  <c r="J18" i="57"/>
  <c r="H18" i="57"/>
  <c r="F18" i="57"/>
  <c r="E18" i="57"/>
  <c r="J17" i="57"/>
  <c r="H17" i="57"/>
  <c r="F17" i="57"/>
  <c r="E17" i="57"/>
  <c r="J16" i="57"/>
  <c r="H16" i="57"/>
  <c r="F16" i="57"/>
  <c r="E16" i="57"/>
  <c r="J15" i="57"/>
  <c r="H15" i="57"/>
  <c r="F15" i="57"/>
  <c r="E15" i="57"/>
  <c r="J14" i="57"/>
  <c r="H14" i="57"/>
  <c r="F14" i="57"/>
  <c r="E14" i="57"/>
  <c r="J13" i="57"/>
  <c r="H13" i="57"/>
  <c r="F13" i="57"/>
  <c r="E13" i="57"/>
  <c r="J12" i="57"/>
  <c r="H12" i="57"/>
  <c r="F12" i="57"/>
  <c r="E12" i="57"/>
  <c r="J11" i="57"/>
  <c r="H11" i="57"/>
  <c r="F11" i="57"/>
  <c r="E11" i="57"/>
  <c r="J10" i="57"/>
  <c r="H10" i="57"/>
  <c r="F10" i="57"/>
  <c r="E10" i="57"/>
  <c r="J9" i="57"/>
  <c r="H9" i="57"/>
  <c r="F9" i="57"/>
  <c r="E9" i="57"/>
  <c r="J8" i="57"/>
  <c r="H8" i="57"/>
  <c r="F8" i="57"/>
  <c r="E8" i="57"/>
  <c r="J7" i="57"/>
  <c r="K7" i="57" s="1"/>
  <c r="H7" i="57"/>
  <c r="F7" i="57"/>
  <c r="E7" i="57"/>
  <c r="J6" i="57"/>
  <c r="H6" i="57"/>
  <c r="F6" i="57"/>
  <c r="E6" i="57"/>
  <c r="J5" i="57"/>
  <c r="H5" i="57"/>
  <c r="F5" i="57"/>
  <c r="E5" i="57"/>
  <c r="M10" i="57" l="1"/>
  <c r="K10" i="57"/>
  <c r="L9" i="57"/>
  <c r="K9" i="57"/>
  <c r="L13" i="57"/>
  <c r="K13" i="57"/>
  <c r="L8" i="57"/>
  <c r="K8" i="57"/>
  <c r="M14" i="57"/>
  <c r="K14" i="57"/>
  <c r="L20" i="57"/>
  <c r="K20" i="57"/>
  <c r="L24" i="57"/>
  <c r="K24" i="57"/>
  <c r="M30" i="57"/>
  <c r="K30" i="57"/>
  <c r="L32" i="57"/>
  <c r="K32" i="57"/>
  <c r="L36" i="57"/>
  <c r="K36" i="57"/>
  <c r="L40" i="57"/>
  <c r="K40" i="57"/>
  <c r="N40" i="57" s="1"/>
  <c r="K44" i="57"/>
  <c r="M52" i="57"/>
  <c r="K52" i="57"/>
  <c r="M64" i="57"/>
  <c r="K64" i="57"/>
  <c r="M15" i="57"/>
  <c r="K15" i="57"/>
  <c r="L6" i="57"/>
  <c r="K6" i="57"/>
  <c r="L16" i="57"/>
  <c r="K16" i="57"/>
  <c r="M22" i="57"/>
  <c r="K22" i="57"/>
  <c r="L28" i="57"/>
  <c r="K28" i="57"/>
  <c r="M34" i="57"/>
  <c r="K34" i="57"/>
  <c r="N34" i="57" s="1"/>
  <c r="M38" i="57"/>
  <c r="K38" i="57"/>
  <c r="L46" i="57"/>
  <c r="K46" i="57"/>
  <c r="L54" i="57"/>
  <c r="K54" i="57"/>
  <c r="M56" i="57"/>
  <c r="K56" i="57"/>
  <c r="L58" i="57"/>
  <c r="K58" i="57"/>
  <c r="L66" i="57"/>
  <c r="K66" i="57"/>
  <c r="L68" i="57"/>
  <c r="K68" i="57"/>
  <c r="L70" i="57"/>
  <c r="K70" i="57"/>
  <c r="M72" i="57"/>
  <c r="K72" i="57"/>
  <c r="L74" i="57"/>
  <c r="K74" i="57"/>
  <c r="M76" i="57"/>
  <c r="K76" i="57"/>
  <c r="L78" i="57"/>
  <c r="K78" i="57"/>
  <c r="L80" i="57"/>
  <c r="K80" i="57"/>
  <c r="G5" i="57"/>
  <c r="M48" i="57"/>
  <c r="K48" i="57"/>
  <c r="L62" i="57"/>
  <c r="K62" i="57"/>
  <c r="L5" i="57"/>
  <c r="K5" i="57"/>
  <c r="M11" i="57"/>
  <c r="K11" i="57"/>
  <c r="M19" i="57"/>
  <c r="K19" i="57"/>
  <c r="L21" i="57"/>
  <c r="K21" i="57"/>
  <c r="M23" i="57"/>
  <c r="K23" i="57"/>
  <c r="L25" i="57"/>
  <c r="K25" i="57"/>
  <c r="M27" i="57"/>
  <c r="K27" i="57"/>
  <c r="L29" i="57"/>
  <c r="K29" i="57"/>
  <c r="M31" i="57"/>
  <c r="K31" i="57"/>
  <c r="L33" i="57"/>
  <c r="K33" i="57"/>
  <c r="M35" i="57"/>
  <c r="K35" i="57"/>
  <c r="L37" i="57"/>
  <c r="K37" i="57"/>
  <c r="M43" i="57"/>
  <c r="K43" i="57"/>
  <c r="M45" i="57"/>
  <c r="K45" i="57"/>
  <c r="L47" i="57"/>
  <c r="K47" i="57"/>
  <c r="M49" i="57"/>
  <c r="K49" i="57"/>
  <c r="L51" i="57"/>
  <c r="N51" i="57" s="1"/>
  <c r="K51" i="57"/>
  <c r="M53" i="57"/>
  <c r="K53" i="57"/>
  <c r="L55" i="57"/>
  <c r="K55" i="57"/>
  <c r="M57" i="57"/>
  <c r="K57" i="57"/>
  <c r="L59" i="57"/>
  <c r="K59" i="57"/>
  <c r="M61" i="57"/>
  <c r="K61" i="57"/>
  <c r="L63" i="57"/>
  <c r="K63" i="57"/>
  <c r="M65" i="57"/>
  <c r="K65" i="57"/>
  <c r="L67" i="57"/>
  <c r="K67" i="57"/>
  <c r="M69" i="57"/>
  <c r="K69" i="57"/>
  <c r="L71" i="57"/>
  <c r="K71" i="57"/>
  <c r="M73" i="57"/>
  <c r="K73" i="57"/>
  <c r="L75" i="57"/>
  <c r="K75" i="57"/>
  <c r="M77" i="57"/>
  <c r="K77" i="57"/>
  <c r="L79" i="57"/>
  <c r="K79" i="57"/>
  <c r="M81" i="57"/>
  <c r="K81" i="57"/>
  <c r="N81" i="57" s="1"/>
  <c r="L12" i="57"/>
  <c r="K12" i="57"/>
  <c r="M18" i="57"/>
  <c r="K18" i="57"/>
  <c r="M26" i="57"/>
  <c r="K26" i="57"/>
  <c r="L50" i="57"/>
  <c r="K50" i="57"/>
  <c r="M60" i="57"/>
  <c r="K60" i="57"/>
  <c r="L17" i="57"/>
  <c r="K17" i="57"/>
  <c r="L34" i="57"/>
  <c r="L22" i="57"/>
  <c r="L81" i="57"/>
  <c r="M51" i="57"/>
  <c r="M42" i="57"/>
  <c r="L45" i="57"/>
  <c r="G43" i="57"/>
  <c r="R20" i="57" s="1"/>
  <c r="T20" i="57" s="1"/>
  <c r="G60" i="57"/>
  <c r="R27" i="57" s="1"/>
  <c r="T27" i="57" s="1"/>
  <c r="L26" i="57"/>
  <c r="G24" i="57"/>
  <c r="G14" i="57"/>
  <c r="L18" i="57"/>
  <c r="N18" i="57" s="1"/>
  <c r="G22" i="57"/>
  <c r="R12" i="57" s="1"/>
  <c r="T12" i="57" s="1"/>
  <c r="N38" i="57"/>
  <c r="L77" i="57"/>
  <c r="G39" i="57"/>
  <c r="G46" i="57"/>
  <c r="G57" i="57"/>
  <c r="R25" i="57" s="1"/>
  <c r="T25" i="57" s="1"/>
  <c r="L64" i="57"/>
  <c r="N64" i="57" s="1"/>
  <c r="G66" i="57"/>
  <c r="R30" i="57" s="1"/>
  <c r="T30" i="57" s="1"/>
  <c r="G68" i="57"/>
  <c r="L30" i="57"/>
  <c r="G18" i="57"/>
  <c r="R10" i="57" s="1"/>
  <c r="T10" i="57" s="1"/>
  <c r="M55" i="57"/>
  <c r="L69" i="57"/>
  <c r="G98" i="57"/>
  <c r="G15" i="57"/>
  <c r="R9" i="57" s="1"/>
  <c r="T9" i="57" s="1"/>
  <c r="N22" i="57"/>
  <c r="M39" i="57"/>
  <c r="E105" i="57"/>
  <c r="R41" i="57" s="1"/>
  <c r="T41" i="57" s="1"/>
  <c r="G72" i="57"/>
  <c r="R33" i="57" s="1"/>
  <c r="T33" i="57" s="1"/>
  <c r="L38" i="57"/>
  <c r="G52" i="57"/>
  <c r="R23" i="57" s="1"/>
  <c r="T23" i="57" s="1"/>
  <c r="G63" i="57"/>
  <c r="R28" i="57" s="1"/>
  <c r="T28" i="57" s="1"/>
  <c r="G77" i="57"/>
  <c r="G78" i="57"/>
  <c r="R36" i="57" s="1"/>
  <c r="T36" i="57" s="1"/>
  <c r="G99" i="57"/>
  <c r="L48" i="57"/>
  <c r="N48" i="57" s="1"/>
  <c r="G50" i="57"/>
  <c r="L52" i="57"/>
  <c r="M68" i="57"/>
  <c r="L11" i="57"/>
  <c r="G19" i="57"/>
  <c r="R11" i="57" s="1"/>
  <c r="T11" i="57" s="1"/>
  <c r="G30" i="57"/>
  <c r="G34" i="57"/>
  <c r="R17" i="57" s="1"/>
  <c r="T17" i="57" s="1"/>
  <c r="G38" i="57"/>
  <c r="R18" i="57" s="1"/>
  <c r="T18" i="57" s="1"/>
  <c r="G42" i="57"/>
  <c r="R19" i="57" s="1"/>
  <c r="T19" i="57" s="1"/>
  <c r="G56" i="57"/>
  <c r="G75" i="57"/>
  <c r="R34" i="57" s="1"/>
  <c r="T34" i="57" s="1"/>
  <c r="G26" i="57"/>
  <c r="R14" i="57" s="1"/>
  <c r="T14" i="57" s="1"/>
  <c r="G29" i="57"/>
  <c r="R15" i="57" s="1"/>
  <c r="T15" i="57" s="1"/>
  <c r="G41" i="57"/>
  <c r="G48" i="57"/>
  <c r="L57" i="57"/>
  <c r="M63" i="57"/>
  <c r="N63" i="57" s="1"/>
  <c r="M80" i="57"/>
  <c r="N80" i="57" s="1"/>
  <c r="G11" i="57"/>
  <c r="R7" i="57" s="1"/>
  <c r="T7" i="57" s="1"/>
  <c r="L35" i="57"/>
  <c r="G51" i="57"/>
  <c r="R22" i="57" s="1"/>
  <c r="T22" i="57" s="1"/>
  <c r="G64" i="57"/>
  <c r="R29" i="57" s="1"/>
  <c r="T29" i="57" s="1"/>
  <c r="L76" i="57"/>
  <c r="N76" i="57" s="1"/>
  <c r="G80" i="57"/>
  <c r="L19" i="57"/>
  <c r="N19" i="57" s="1"/>
  <c r="G32" i="57"/>
  <c r="M75" i="57"/>
  <c r="G10" i="57"/>
  <c r="L15" i="57"/>
  <c r="N15" i="57" s="1"/>
  <c r="G20" i="57"/>
  <c r="L23" i="57"/>
  <c r="M33" i="57"/>
  <c r="N33" i="57" s="1"/>
  <c r="G35" i="57"/>
  <c r="N52" i="57"/>
  <c r="L65" i="57"/>
  <c r="G76" i="57"/>
  <c r="R35" i="57" s="1"/>
  <c r="T35" i="57" s="1"/>
  <c r="G84" i="57"/>
  <c r="G100" i="57"/>
  <c r="R40" i="57" s="1"/>
  <c r="T40" i="57" s="1"/>
  <c r="G7" i="57"/>
  <c r="G25" i="57"/>
  <c r="R13" i="57" s="1"/>
  <c r="T13" i="57" s="1"/>
  <c r="M40" i="57"/>
  <c r="G47" i="57"/>
  <c r="R21" i="57" s="1"/>
  <c r="T21" i="57" s="1"/>
  <c r="G53" i="57"/>
  <c r="G54" i="57"/>
  <c r="R24" i="57" s="1"/>
  <c r="T24" i="57" s="1"/>
  <c r="G65" i="57"/>
  <c r="M67" i="57"/>
  <c r="M79" i="57"/>
  <c r="N79" i="57" s="1"/>
  <c r="G87" i="57"/>
  <c r="G92" i="57"/>
  <c r="G95" i="57"/>
  <c r="L56" i="57"/>
  <c r="M21" i="57"/>
  <c r="L27" i="57"/>
  <c r="N27" i="57" s="1"/>
  <c r="G33" i="57"/>
  <c r="R16" i="57" s="1"/>
  <c r="T16" i="57" s="1"/>
  <c r="M37" i="57"/>
  <c r="L44" i="57"/>
  <c r="G58" i="57"/>
  <c r="R26" i="57" s="1"/>
  <c r="T26" i="57" s="1"/>
  <c r="L61" i="57"/>
  <c r="G69" i="57"/>
  <c r="R31" i="57" s="1"/>
  <c r="T31" i="57" s="1"/>
  <c r="G70" i="57"/>
  <c r="R32" i="57" s="1"/>
  <c r="T32" i="57" s="1"/>
  <c r="N72" i="57"/>
  <c r="L73" i="57"/>
  <c r="N73" i="57" s="1"/>
  <c r="G81" i="57"/>
  <c r="R37" i="57" s="1"/>
  <c r="T37" i="57" s="1"/>
  <c r="G82" i="57"/>
  <c r="R38" i="57" s="1"/>
  <c r="T38" i="57" s="1"/>
  <c r="G85" i="57"/>
  <c r="G90" i="57"/>
  <c r="G93" i="57"/>
  <c r="G6" i="57"/>
  <c r="G9" i="57"/>
  <c r="G13" i="57"/>
  <c r="G17" i="57"/>
  <c r="N26" i="57"/>
  <c r="L31" i="57"/>
  <c r="G40" i="57"/>
  <c r="M44" i="57"/>
  <c r="L49" i="57"/>
  <c r="M59" i="57"/>
  <c r="L60" i="57"/>
  <c r="G67" i="57"/>
  <c r="M71" i="57"/>
  <c r="N71" i="57" s="1"/>
  <c r="L72" i="57"/>
  <c r="G79" i="57"/>
  <c r="G88" i="57"/>
  <c r="G96" i="57"/>
  <c r="G36" i="57"/>
  <c r="G45" i="57"/>
  <c r="G55" i="57"/>
  <c r="G83" i="57"/>
  <c r="G91" i="57"/>
  <c r="R39" i="57" s="1"/>
  <c r="T39" i="57" s="1"/>
  <c r="R5" i="57"/>
  <c r="T5" i="57" s="1"/>
  <c r="G8" i="57"/>
  <c r="R6" i="57" s="1"/>
  <c r="T6" i="57" s="1"/>
  <c r="G12" i="57"/>
  <c r="R8" i="57" s="1"/>
  <c r="T8" i="57" s="1"/>
  <c r="G16" i="57"/>
  <c r="G21" i="57"/>
  <c r="G23" i="57"/>
  <c r="G27" i="57"/>
  <c r="G28" i="57"/>
  <c r="G37" i="57"/>
  <c r="G44" i="57"/>
  <c r="M47" i="57"/>
  <c r="L53" i="57"/>
  <c r="N53" i="57" s="1"/>
  <c r="G61" i="57"/>
  <c r="G62" i="57"/>
  <c r="G73" i="57"/>
  <c r="G74" i="57"/>
  <c r="G86" i="57"/>
  <c r="G31" i="57"/>
  <c r="G49" i="57"/>
  <c r="G59" i="57"/>
  <c r="G71" i="57"/>
  <c r="G89" i="57"/>
  <c r="G94" i="57"/>
  <c r="G97" i="57"/>
  <c r="M17" i="57"/>
  <c r="L10" i="57"/>
  <c r="N10" i="57" s="1"/>
  <c r="L14" i="57"/>
  <c r="N14" i="57" s="1"/>
  <c r="M13" i="57"/>
  <c r="L7" i="57"/>
  <c r="N11" i="57"/>
  <c r="N35" i="57"/>
  <c r="L41" i="57"/>
  <c r="N45" i="57"/>
  <c r="N61" i="57"/>
  <c r="N69" i="57"/>
  <c r="N77" i="57"/>
  <c r="M6" i="57"/>
  <c r="M9" i="57"/>
  <c r="N9" i="57" s="1"/>
  <c r="M25" i="57"/>
  <c r="M29" i="57"/>
  <c r="M7" i="57"/>
  <c r="M41" i="57"/>
  <c r="N32" i="57"/>
  <c r="N36" i="57"/>
  <c r="L39" i="57"/>
  <c r="N39" i="57" s="1"/>
  <c r="L42" i="57"/>
  <c r="M5" i="57"/>
  <c r="M8" i="57"/>
  <c r="M12" i="57"/>
  <c r="M16" i="57"/>
  <c r="N16" i="57" s="1"/>
  <c r="N17" i="57"/>
  <c r="M20" i="57"/>
  <c r="N20" i="57" s="1"/>
  <c r="M24" i="57"/>
  <c r="N24" i="57" s="1"/>
  <c r="N25" i="57"/>
  <c r="M28" i="57"/>
  <c r="N28" i="57" s="1"/>
  <c r="M32" i="57"/>
  <c r="M36" i="57"/>
  <c r="L43" i="57"/>
  <c r="M46" i="57"/>
  <c r="N46" i="57" s="1"/>
  <c r="N47" i="57"/>
  <c r="M50" i="57"/>
  <c r="M54" i="57"/>
  <c r="N54" i="57" s="1"/>
  <c r="N55" i="57"/>
  <c r="M58" i="57"/>
  <c r="N58" i="57" s="1"/>
  <c r="M62" i="57"/>
  <c r="M66" i="57"/>
  <c r="N66" i="57" s="1"/>
  <c r="M70" i="57"/>
  <c r="M74" i="57"/>
  <c r="N74" i="57" s="1"/>
  <c r="M78" i="57"/>
  <c r="N13" i="57" l="1"/>
  <c r="N75" i="57"/>
  <c r="N68" i="57"/>
  <c r="N62" i="57"/>
  <c r="N43" i="57"/>
  <c r="N59" i="57"/>
  <c r="N5" i="57"/>
  <c r="N41" i="57"/>
  <c r="N31" i="57"/>
  <c r="N12" i="57"/>
  <c r="N30" i="57"/>
  <c r="N8" i="57"/>
  <c r="N42" i="57"/>
  <c r="N60" i="57"/>
  <c r="N67" i="57"/>
  <c r="N23" i="57"/>
  <c r="N78" i="57"/>
  <c r="N70" i="57"/>
  <c r="N56" i="57"/>
  <c r="N6" i="57"/>
  <c r="N44" i="57"/>
  <c r="N50" i="57"/>
  <c r="N65" i="57"/>
  <c r="N57" i="57"/>
  <c r="N49" i="57"/>
  <c r="N37" i="57"/>
  <c r="N29" i="57"/>
  <c r="N21" i="57"/>
  <c r="N7" i="57"/>
  <c r="C160" i="56"/>
  <c r="C159" i="56"/>
  <c r="C158" i="56"/>
  <c r="C144" i="56"/>
  <c r="K144" i="56" s="1"/>
  <c r="C143" i="56"/>
  <c r="K143" i="56" s="1"/>
  <c r="C142" i="56"/>
  <c r="K142" i="56" s="1"/>
  <c r="C118" i="56"/>
  <c r="C117" i="56"/>
  <c r="C116" i="56"/>
  <c r="C110" i="56"/>
  <c r="C109" i="56"/>
  <c r="C108" i="56"/>
  <c r="C102" i="56"/>
  <c r="C101" i="56"/>
  <c r="C100" i="56"/>
  <c r="C94" i="56"/>
  <c r="C93" i="56"/>
  <c r="C92" i="56"/>
  <c r="C84" i="56"/>
  <c r="C83" i="56"/>
  <c r="C60" i="56"/>
  <c r="B26" i="56"/>
  <c r="B25" i="56"/>
  <c r="B24" i="56"/>
  <c r="B23" i="56"/>
  <c r="B22" i="56"/>
  <c r="B21" i="56"/>
  <c r="B20" i="56"/>
  <c r="B19" i="56"/>
  <c r="B18" i="56"/>
  <c r="B17" i="56"/>
  <c r="B16" i="56"/>
  <c r="B15" i="56"/>
  <c r="B14" i="56"/>
  <c r="B13" i="56"/>
  <c r="B10" i="56"/>
  <c r="B26" i="46"/>
  <c r="B25" i="46"/>
  <c r="B24" i="46"/>
  <c r="B23" i="46"/>
  <c r="B22" i="46"/>
  <c r="B21" i="46"/>
  <c r="B20" i="46"/>
  <c r="B19" i="46"/>
  <c r="B18" i="46"/>
  <c r="B17" i="46"/>
  <c r="B16" i="46"/>
  <c r="B15" i="46"/>
  <c r="B14" i="46"/>
  <c r="B13" i="46"/>
  <c r="K145" i="56" l="1"/>
  <c r="C61" i="46"/>
  <c r="P11" i="21"/>
  <c r="C40" i="50"/>
  <c r="G36" i="50"/>
  <c r="C98" i="46" l="1"/>
  <c r="C99" i="46"/>
  <c r="C100" i="46"/>
  <c r="C35" i="50" l="1"/>
  <c r="F17" i="50"/>
  <c r="C17" i="50"/>
  <c r="F15" i="50"/>
  <c r="E6" i="47"/>
  <c r="F6" i="47"/>
  <c r="G6" i="47"/>
  <c r="H6" i="47"/>
  <c r="D6" i="47"/>
  <c r="N11" i="21"/>
  <c r="O11" i="21"/>
  <c r="M11" i="21"/>
  <c r="J11" i="21"/>
  <c r="L11" i="21" s="1"/>
  <c r="F20" i="50" l="1"/>
  <c r="H38" i="50" l="1"/>
  <c r="I38" i="50" s="1"/>
  <c r="J38" i="50" s="1"/>
  <c r="K38" i="50" s="1"/>
  <c r="G39" i="50" l="1"/>
  <c r="H39" i="50" l="1"/>
  <c r="I39" i="50" s="1"/>
  <c r="J39" i="50" s="1"/>
  <c r="K39" i="50" s="1"/>
  <c r="J9" i="21" l="1"/>
  <c r="B14" i="32"/>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K9" i="21"/>
  <c r="J63" i="50"/>
  <c r="I63" i="50"/>
  <c r="H63" i="50"/>
  <c r="G63" i="50"/>
  <c r="F63" i="50"/>
  <c r="E63"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96" i="32"/>
  <c r="F105" i="32"/>
  <c r="F128"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M9" i="21"/>
  <c r="C19" i="42" s="1"/>
  <c r="C20" i="42" s="1"/>
  <c r="Q11" i="21"/>
  <c r="Q13" i="21" s="1"/>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F532" i="32" l="1"/>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E16" i="32" l="1"/>
  <c r="D16" i="32"/>
  <c r="F14" i="32" l="1"/>
  <c r="G12" i="50" s="1"/>
  <c r="G14" i="50" s="1"/>
  <c r="F15" i="32" l="1"/>
  <c r="F16" i="32" s="1"/>
  <c r="F25" i="50" l="1"/>
  <c r="F30" i="50" s="1"/>
  <c r="F40" i="50"/>
  <c r="G40" i="50" s="1"/>
  <c r="F27" i="50" l="1"/>
  <c r="F42" i="50"/>
  <c r="H42" i="50" s="1"/>
  <c r="K40" i="50"/>
  <c r="G26" i="50" s="1"/>
  <c r="G27" i="50" s="1"/>
  <c r="J40" i="50"/>
  <c r="I40" i="50"/>
  <c r="H40" i="50"/>
  <c r="G28" i="50" l="1"/>
  <c r="F28" i="50"/>
  <c r="I42" i="50"/>
  <c r="J42" i="50"/>
  <c r="K42" i="50"/>
  <c r="G42" i="50"/>
  <c r="G30" i="50"/>
  <c r="G31" i="50" l="1"/>
  <c r="F31" i="50"/>
  <c r="F44" i="50" s="1"/>
  <c r="L61" i="50" s="1"/>
  <c r="D55" i="46"/>
  <c r="D68" i="56"/>
  <c r="F41" i="50" l="1"/>
  <c r="F43" i="50" s="1"/>
  <c r="D14" i="42" s="1"/>
  <c r="D20" i="42" s="1"/>
  <c r="D8" i="42"/>
  <c r="D7" i="46"/>
  <c r="C5" i="47"/>
  <c r="L62" i="50"/>
  <c r="L60" i="50"/>
  <c r="D7" i="56"/>
  <c r="D69" i="56"/>
  <c r="H85" i="56"/>
  <c r="I85" i="56"/>
  <c r="H68" i="56"/>
  <c r="I68" i="56"/>
  <c r="G68" i="56"/>
  <c r="D77" i="56"/>
  <c r="D168" i="56"/>
  <c r="L168" i="56" s="1"/>
  <c r="D126" i="56"/>
  <c r="D160" i="56"/>
  <c r="D135" i="56"/>
  <c r="L135" i="56" s="1"/>
  <c r="D85" i="56"/>
  <c r="D124" i="46"/>
  <c r="L124" i="46" s="1"/>
  <c r="D166" i="46"/>
  <c r="L166" i="46" s="1"/>
  <c r="E55" i="46"/>
  <c r="G55" i="46"/>
  <c r="D133" i="46"/>
  <c r="L133" i="46" s="1"/>
  <c r="D158" i="46"/>
  <c r="I41" i="50" l="1"/>
  <c r="I43" i="50" s="1"/>
  <c r="G14" i="42" s="1"/>
  <c r="G20" i="42" s="1"/>
  <c r="H41" i="50"/>
  <c r="H43" i="50" s="1"/>
  <c r="J41" i="50"/>
  <c r="J43" i="50" s="1"/>
  <c r="H14" i="42" s="1"/>
  <c r="H20" i="42" s="1"/>
  <c r="G41" i="50"/>
  <c r="G43" i="50" s="1"/>
  <c r="K41" i="50"/>
  <c r="K43" i="50" s="1"/>
  <c r="I14" i="42" s="1"/>
  <c r="I20" i="42" s="1"/>
  <c r="D11" i="47"/>
  <c r="C10" i="47"/>
  <c r="D142" i="56"/>
  <c r="D152" i="56"/>
  <c r="D100" i="56"/>
  <c r="D108" i="56"/>
  <c r="D118" i="56"/>
  <c r="D101" i="56"/>
  <c r="D93" i="56"/>
  <c r="D151" i="56"/>
  <c r="D116" i="56"/>
  <c r="D150" i="56"/>
  <c r="D144" i="56"/>
  <c r="L144" i="56" s="1"/>
  <c r="D109" i="56"/>
  <c r="D94" i="56"/>
  <c r="D102" i="56"/>
  <c r="D110" i="56"/>
  <c r="D117" i="56"/>
  <c r="D143" i="56"/>
  <c r="L143" i="56" s="1"/>
  <c r="D92" i="56"/>
  <c r="D13" i="42"/>
  <c r="D173" i="46" s="1"/>
  <c r="D175" i="56" s="1"/>
  <c r="L175" i="56" s="1"/>
  <c r="D61" i="46"/>
  <c r="L63" i="50"/>
  <c r="D60" i="56"/>
  <c r="D69" i="46"/>
  <c r="L69" i="46" s="1"/>
  <c r="D15" i="42"/>
  <c r="D174" i="46" s="1"/>
  <c r="D176" i="56" s="1"/>
  <c r="L176" i="56" s="1"/>
  <c r="C11" i="47"/>
  <c r="D141" i="46"/>
  <c r="L141" i="46" s="1"/>
  <c r="D107" i="46"/>
  <c r="L107" i="46" s="1"/>
  <c r="D91" i="46"/>
  <c r="D108" i="46"/>
  <c r="L108" i="46" s="1"/>
  <c r="D114" i="46"/>
  <c r="D98" i="46"/>
  <c r="D92" i="46"/>
  <c r="D150" i="46"/>
  <c r="L150" i="46" s="1"/>
  <c r="D106" i="46"/>
  <c r="D116" i="46"/>
  <c r="L116" i="46" s="1"/>
  <c r="D140" i="46"/>
  <c r="D90" i="46"/>
  <c r="D115" i="46"/>
  <c r="L115" i="46" s="1"/>
  <c r="D149" i="46"/>
  <c r="L149" i="46" s="1"/>
  <c r="D148" i="46"/>
  <c r="D100" i="46"/>
  <c r="D99" i="46"/>
  <c r="D142" i="46"/>
  <c r="L142" i="46" s="1"/>
  <c r="H135" i="56"/>
  <c r="P135" i="56" s="1"/>
  <c r="H166" i="46"/>
  <c r="H160" i="56"/>
  <c r="H168" i="56"/>
  <c r="H124" i="46"/>
  <c r="P124" i="46" s="1"/>
  <c r="H77" i="56"/>
  <c r="H133" i="46"/>
  <c r="P133" i="46" s="1"/>
  <c r="H126" i="56"/>
  <c r="H158" i="46"/>
  <c r="I126" i="56"/>
  <c r="I135" i="56"/>
  <c r="Q135" i="56" s="1"/>
  <c r="I158" i="46"/>
  <c r="I133" i="46"/>
  <c r="Q133" i="46" s="1"/>
  <c r="I166" i="46"/>
  <c r="I160" i="56"/>
  <c r="I124" i="46"/>
  <c r="Q124" i="46" s="1"/>
  <c r="I77" i="56"/>
  <c r="I168" i="56"/>
  <c r="E69" i="56"/>
  <c r="E68" i="56"/>
  <c r="H69" i="56"/>
  <c r="I69" i="56"/>
  <c r="F68" i="56"/>
  <c r="F69" i="56"/>
  <c r="G69" i="56"/>
  <c r="H55" i="46"/>
  <c r="F55" i="46"/>
  <c r="I55" i="46"/>
  <c r="F160" i="56"/>
  <c r="F77" i="56"/>
  <c r="F135" i="56"/>
  <c r="N135" i="56" s="1"/>
  <c r="F168" i="56"/>
  <c r="F85" i="56"/>
  <c r="F126" i="56"/>
  <c r="E135" i="56"/>
  <c r="M135" i="56" s="1"/>
  <c r="E77" i="56"/>
  <c r="E126" i="56"/>
  <c r="E85" i="56"/>
  <c r="E168" i="56"/>
  <c r="M168" i="56" s="1"/>
  <c r="E160" i="56"/>
  <c r="G160" i="56"/>
  <c r="G135" i="56"/>
  <c r="O135" i="56" s="1"/>
  <c r="G85" i="56"/>
  <c r="G168" i="56"/>
  <c r="G126" i="56"/>
  <c r="G77" i="56"/>
  <c r="E124" i="46"/>
  <c r="M124" i="46" s="1"/>
  <c r="E166" i="46"/>
  <c r="M166" i="46" s="1"/>
  <c r="G124" i="46"/>
  <c r="O124" i="46" s="1"/>
  <c r="G166" i="46"/>
  <c r="F124" i="46"/>
  <c r="N124" i="46" s="1"/>
  <c r="F166" i="46"/>
  <c r="F133" i="46"/>
  <c r="N133" i="46" s="1"/>
  <c r="F158" i="46"/>
  <c r="G158" i="46"/>
  <c r="E158" i="46"/>
  <c r="E133" i="46"/>
  <c r="M133" i="46" s="1"/>
  <c r="G133" i="46"/>
  <c r="O133" i="46" s="1"/>
  <c r="K44" i="50" l="1"/>
  <c r="I44" i="50"/>
  <c r="O61" i="50" s="1"/>
  <c r="J44" i="50"/>
  <c r="P61" i="50" s="1"/>
  <c r="G44" i="50"/>
  <c r="M61" i="50" s="1"/>
  <c r="E14" i="42"/>
  <c r="E20" i="42" s="1"/>
  <c r="H44" i="50"/>
  <c r="F14" i="42"/>
  <c r="F20" i="42" s="1"/>
  <c r="D12" i="56"/>
  <c r="D48" i="56"/>
  <c r="D48" i="46"/>
  <c r="D12" i="46"/>
  <c r="G69" i="46"/>
  <c r="O69" i="46" s="1"/>
  <c r="L106" i="46"/>
  <c r="L109" i="46" s="1"/>
  <c r="L18" i="46" s="1"/>
  <c r="D109" i="46"/>
  <c r="D18" i="46" s="1"/>
  <c r="H69" i="46"/>
  <c r="P69" i="46" s="1"/>
  <c r="L140" i="46"/>
  <c r="L143" i="46" s="1"/>
  <c r="L22" i="46" s="1"/>
  <c r="D143" i="46"/>
  <c r="D22" i="46" s="1"/>
  <c r="D33" i="46"/>
  <c r="D40" i="46"/>
  <c r="C7" i="47"/>
  <c r="D75" i="46"/>
  <c r="D122" i="46"/>
  <c r="D40" i="56"/>
  <c r="D33" i="56"/>
  <c r="D166" i="56"/>
  <c r="D124" i="56"/>
  <c r="D164" i="46"/>
  <c r="D158" i="56"/>
  <c r="D133" i="56"/>
  <c r="D82" i="46"/>
  <c r="D19" i="42"/>
  <c r="D83" i="56"/>
  <c r="D131" i="46"/>
  <c r="D156" i="46"/>
  <c r="L174" i="46"/>
  <c r="D16" i="42"/>
  <c r="D75" i="56"/>
  <c r="L148" i="46"/>
  <c r="L151" i="46" s="1"/>
  <c r="L23" i="46" s="1"/>
  <c r="D151" i="46"/>
  <c r="D23" i="46" s="1"/>
  <c r="I69" i="46"/>
  <c r="Q69" i="46" s="1"/>
  <c r="F69" i="46"/>
  <c r="N69" i="46" s="1"/>
  <c r="D111" i="56"/>
  <c r="D18" i="56" s="1"/>
  <c r="D101" i="46"/>
  <c r="D17" i="46" s="1"/>
  <c r="C12" i="47"/>
  <c r="D67" i="56"/>
  <c r="D70" i="56" s="1"/>
  <c r="D13" i="56" s="1"/>
  <c r="D54" i="56"/>
  <c r="D61" i="56"/>
  <c r="D103" i="56"/>
  <c r="D17" i="56" s="1"/>
  <c r="L114" i="46"/>
  <c r="L117" i="46" s="1"/>
  <c r="L19" i="46" s="1"/>
  <c r="D117" i="46"/>
  <c r="D19" i="46" s="1"/>
  <c r="D95" i="56"/>
  <c r="D16" i="56" s="1"/>
  <c r="D153" i="56"/>
  <c r="D23" i="56" s="1"/>
  <c r="D93" i="46"/>
  <c r="D16" i="46" s="1"/>
  <c r="D41" i="46"/>
  <c r="L41" i="46" s="1"/>
  <c r="D34" i="56"/>
  <c r="L34" i="56" s="1"/>
  <c r="L11" i="56" s="1"/>
  <c r="D167" i="56"/>
  <c r="L167" i="56" s="1"/>
  <c r="D157" i="46"/>
  <c r="D76" i="46"/>
  <c r="L76" i="46" s="1"/>
  <c r="D132" i="46"/>
  <c r="L132" i="46" s="1"/>
  <c r="D83" i="46"/>
  <c r="L83" i="46" s="1"/>
  <c r="D84" i="56"/>
  <c r="D76" i="56"/>
  <c r="D134" i="56"/>
  <c r="L134" i="56" s="1"/>
  <c r="D21" i="42"/>
  <c r="D123" i="46"/>
  <c r="L123" i="46" s="1"/>
  <c r="D165" i="46"/>
  <c r="L165" i="46" s="1"/>
  <c r="D34" i="46"/>
  <c r="L34" i="46" s="1"/>
  <c r="L11" i="46" s="1"/>
  <c r="D125" i="56"/>
  <c r="D41" i="56"/>
  <c r="L41" i="56" s="1"/>
  <c r="D159" i="56"/>
  <c r="D68" i="46"/>
  <c r="D62" i="46"/>
  <c r="D54" i="46"/>
  <c r="D56" i="46" s="1"/>
  <c r="D119" i="56"/>
  <c r="D19" i="56" s="1"/>
  <c r="L142" i="56"/>
  <c r="L145" i="56" s="1"/>
  <c r="L22" i="56" s="1"/>
  <c r="D145" i="56"/>
  <c r="D22" i="56" s="1"/>
  <c r="Q168" i="56"/>
  <c r="Q166" i="46"/>
  <c r="P166" i="46"/>
  <c r="N166" i="46"/>
  <c r="O166" i="46"/>
  <c r="N168" i="56"/>
  <c r="O168" i="56"/>
  <c r="P168" i="56"/>
  <c r="F8" i="42" l="1"/>
  <c r="N61" i="50"/>
  <c r="I7" i="46"/>
  <c r="I98" i="46" s="1"/>
  <c r="Q61" i="50"/>
  <c r="Q62" i="50"/>
  <c r="I15" i="42" s="1"/>
  <c r="I134" i="56" s="1"/>
  <c r="Q134" i="56" s="1"/>
  <c r="Q60" i="50"/>
  <c r="I61" i="46" s="1"/>
  <c r="I48" i="46" s="1"/>
  <c r="M62" i="50"/>
  <c r="E69" i="46" s="1"/>
  <c r="M69" i="46" s="1"/>
  <c r="M60" i="50"/>
  <c r="E61" i="46" s="1"/>
  <c r="E12" i="46" s="1"/>
  <c r="H5" i="47"/>
  <c r="H10" i="47" s="1"/>
  <c r="I7" i="56"/>
  <c r="I117" i="56" s="1"/>
  <c r="I116" i="46"/>
  <c r="Q116" i="46" s="1"/>
  <c r="I99" i="46"/>
  <c r="I142" i="46"/>
  <c r="I150" i="46"/>
  <c r="I90" i="46"/>
  <c r="I92" i="46"/>
  <c r="I114" i="46"/>
  <c r="Q114" i="46" s="1"/>
  <c r="I141" i="46"/>
  <c r="I108" i="46"/>
  <c r="Q108" i="46" s="1"/>
  <c r="I8" i="42"/>
  <c r="F7" i="46"/>
  <c r="F107" i="46" s="1"/>
  <c r="N107" i="46" s="1"/>
  <c r="N62" i="50"/>
  <c r="F7" i="56"/>
  <c r="F101" i="56" s="1"/>
  <c r="E7" i="46"/>
  <c r="E90" i="46" s="1"/>
  <c r="D5" i="47"/>
  <c r="D10" i="47" s="1"/>
  <c r="D12" i="47" s="1"/>
  <c r="N60" i="50"/>
  <c r="E8" i="42"/>
  <c r="E5" i="47"/>
  <c r="E10" i="47" s="1"/>
  <c r="E7" i="56"/>
  <c r="F15" i="42"/>
  <c r="F41" i="56" s="1"/>
  <c r="N41" i="56" s="1"/>
  <c r="G5" i="47"/>
  <c r="G10" i="47" s="1"/>
  <c r="P62" i="50"/>
  <c r="H15" i="42" s="1"/>
  <c r="H76" i="46" s="1"/>
  <c r="P76" i="46" s="1"/>
  <c r="H7" i="56"/>
  <c r="P60" i="50"/>
  <c r="H8" i="42"/>
  <c r="H7" i="46"/>
  <c r="G7" i="46"/>
  <c r="O60" i="50"/>
  <c r="F5" i="47"/>
  <c r="F10" i="47" s="1"/>
  <c r="O62" i="50"/>
  <c r="G15" i="42" s="1"/>
  <c r="G34" i="56" s="1"/>
  <c r="O34" i="56" s="1"/>
  <c r="O11" i="56" s="1"/>
  <c r="G7" i="56"/>
  <c r="G8" i="42"/>
  <c r="D22" i="42"/>
  <c r="C17" i="47" s="1"/>
  <c r="D78" i="56"/>
  <c r="D14" i="56" s="1"/>
  <c r="L33" i="46"/>
  <c r="D35" i="46"/>
  <c r="D49" i="46"/>
  <c r="D127" i="56"/>
  <c r="D20" i="56" s="1"/>
  <c r="L33" i="56"/>
  <c r="D35" i="56"/>
  <c r="D10" i="56" s="1"/>
  <c r="L177" i="56"/>
  <c r="L26" i="56" s="1"/>
  <c r="D177" i="56"/>
  <c r="D26" i="56" s="1"/>
  <c r="L68" i="46"/>
  <c r="L70" i="46" s="1"/>
  <c r="L13" i="46" s="1"/>
  <c r="D70" i="46"/>
  <c r="D13" i="46" s="1"/>
  <c r="L40" i="56"/>
  <c r="L42" i="56" s="1"/>
  <c r="D42" i="56"/>
  <c r="D11" i="56" s="1"/>
  <c r="D159" i="46"/>
  <c r="D24" i="46" s="1"/>
  <c r="L82" i="46"/>
  <c r="L84" i="46" s="1"/>
  <c r="L15" i="46" s="1"/>
  <c r="D84" i="46"/>
  <c r="D15" i="46" s="1"/>
  <c r="L122" i="46"/>
  <c r="L125" i="46" s="1"/>
  <c r="L20" i="46" s="1"/>
  <c r="D125" i="46"/>
  <c r="D20" i="46" s="1"/>
  <c r="L131" i="46"/>
  <c r="L134" i="46" s="1"/>
  <c r="L21" i="46" s="1"/>
  <c r="D134" i="46"/>
  <c r="D21" i="46" s="1"/>
  <c r="L133" i="56"/>
  <c r="L136" i="56" s="1"/>
  <c r="L21" i="56" s="1"/>
  <c r="D136" i="56"/>
  <c r="D21" i="56" s="1"/>
  <c r="L173" i="46"/>
  <c r="L175" i="46" s="1"/>
  <c r="L26" i="46" s="1"/>
  <c r="D175" i="46"/>
  <c r="D26" i="46" s="1"/>
  <c r="L75" i="46"/>
  <c r="L77" i="46" s="1"/>
  <c r="L14" i="46" s="1"/>
  <c r="D77" i="46"/>
  <c r="D14" i="46" s="1"/>
  <c r="D55" i="56"/>
  <c r="L54" i="56"/>
  <c r="L55" i="56" s="1"/>
  <c r="D161" i="56"/>
  <c r="D24" i="56" s="1"/>
  <c r="D86" i="56"/>
  <c r="D15" i="56" s="1"/>
  <c r="L164" i="46"/>
  <c r="L167" i="46" s="1"/>
  <c r="L25" i="46" s="1"/>
  <c r="D167" i="46"/>
  <c r="D25" i="46" s="1"/>
  <c r="L166" i="56"/>
  <c r="L169" i="56" s="1"/>
  <c r="D169" i="56"/>
  <c r="D25" i="56" s="1"/>
  <c r="L40" i="46"/>
  <c r="L42" i="46" s="1"/>
  <c r="D42" i="46"/>
  <c r="D11" i="46" s="1"/>
  <c r="D59" i="47"/>
  <c r="E59" i="47"/>
  <c r="F59" i="47"/>
  <c r="H59" i="47"/>
  <c r="F148" i="46" l="1"/>
  <c r="I115" i="46"/>
  <c r="Q115" i="46" s="1"/>
  <c r="F84" i="56"/>
  <c r="F76" i="56"/>
  <c r="I148" i="46"/>
  <c r="I100" i="46"/>
  <c r="I106" i="46"/>
  <c r="Q106" i="46" s="1"/>
  <c r="I101" i="46"/>
  <c r="I17" i="46" s="1"/>
  <c r="F106" i="46"/>
  <c r="N106" i="46" s="1"/>
  <c r="N109" i="46" s="1"/>
  <c r="N110" i="46" s="1"/>
  <c r="E54" i="46"/>
  <c r="E56" i="46" s="1"/>
  <c r="E57" i="46" s="1"/>
  <c r="D43" i="47" s="1"/>
  <c r="E62" i="46"/>
  <c r="E63" i="46" s="1"/>
  <c r="D44" i="47" s="1"/>
  <c r="F115" i="46"/>
  <c r="N115" i="46" s="1"/>
  <c r="E68" i="46"/>
  <c r="M68" i="46" s="1"/>
  <c r="M70" i="46" s="1"/>
  <c r="F167" i="56"/>
  <c r="E13" i="42"/>
  <c r="E83" i="56" s="1"/>
  <c r="I140" i="46"/>
  <c r="I143" i="46" s="1"/>
  <c r="I91" i="46"/>
  <c r="I93" i="46" s="1"/>
  <c r="I107" i="46"/>
  <c r="Q107" i="46" s="1"/>
  <c r="F150" i="46"/>
  <c r="I149" i="46"/>
  <c r="F116" i="46"/>
  <c r="N116" i="46" s="1"/>
  <c r="F123" i="46"/>
  <c r="N123" i="46" s="1"/>
  <c r="F159" i="56"/>
  <c r="F90" i="46"/>
  <c r="F165" i="46"/>
  <c r="F76" i="46"/>
  <c r="N76" i="46" s="1"/>
  <c r="F34" i="56"/>
  <c r="N34" i="56" s="1"/>
  <c r="N11" i="56" s="1"/>
  <c r="E15" i="42"/>
  <c r="E174" i="46" s="1"/>
  <c r="E176" i="56" s="1"/>
  <c r="M176" i="56" s="1"/>
  <c r="M63" i="50"/>
  <c r="F134" i="56"/>
  <c r="N134" i="56" s="1"/>
  <c r="F117" i="56"/>
  <c r="F125" i="56"/>
  <c r="Q117" i="46"/>
  <c r="Q19" i="46" s="1"/>
  <c r="F34" i="46"/>
  <c r="N34" i="46" s="1"/>
  <c r="N11" i="46" s="1"/>
  <c r="H11" i="47"/>
  <c r="H12" i="47" s="1"/>
  <c r="E109" i="56"/>
  <c r="E60" i="56"/>
  <c r="E48" i="56" s="1"/>
  <c r="E91" i="46"/>
  <c r="E93" i="46" s="1"/>
  <c r="E94" i="46" s="1"/>
  <c r="D52" i="47" s="1"/>
  <c r="I143" i="56"/>
  <c r="Q143" i="56" s="1"/>
  <c r="I101" i="56"/>
  <c r="I34" i="56"/>
  <c r="Q34" i="56" s="1"/>
  <c r="Q11" i="56" s="1"/>
  <c r="I109" i="56"/>
  <c r="I62" i="46"/>
  <c r="I63" i="46" s="1"/>
  <c r="H44" i="47" s="1"/>
  <c r="I150" i="56"/>
  <c r="I157" i="46"/>
  <c r="I83" i="46"/>
  <c r="Q83" i="46" s="1"/>
  <c r="I60" i="56"/>
  <c r="I48" i="56" s="1"/>
  <c r="I132" i="46"/>
  <c r="Q132" i="46" s="1"/>
  <c r="I151" i="56"/>
  <c r="I94" i="56"/>
  <c r="I159" i="56"/>
  <c r="I118" i="56"/>
  <c r="I100" i="56"/>
  <c r="I12" i="46"/>
  <c r="I41" i="56"/>
  <c r="Q41" i="56" s="1"/>
  <c r="I41" i="46"/>
  <c r="Q41" i="46" s="1"/>
  <c r="F149" i="46"/>
  <c r="F100" i="46"/>
  <c r="F99" i="46"/>
  <c r="I93" i="56"/>
  <c r="I92" i="56"/>
  <c r="I152" i="56"/>
  <c r="I110" i="56"/>
  <c r="I108" i="56"/>
  <c r="I116" i="56"/>
  <c r="I119" i="56" s="1"/>
  <c r="I102" i="56"/>
  <c r="I142" i="56"/>
  <c r="Q142" i="56" s="1"/>
  <c r="I144" i="56"/>
  <c r="Q144" i="56" s="1"/>
  <c r="I125" i="56"/>
  <c r="I54" i="46"/>
  <c r="I56" i="46" s="1"/>
  <c r="I57" i="46" s="1"/>
  <c r="H43" i="47" s="1"/>
  <c r="F92" i="46"/>
  <c r="I21" i="42"/>
  <c r="I165" i="46"/>
  <c r="I84" i="56"/>
  <c r="I68" i="46"/>
  <c r="I70" i="46" s="1"/>
  <c r="F108" i="46"/>
  <c r="N108" i="46" s="1"/>
  <c r="E94" i="56"/>
  <c r="I167" i="56"/>
  <c r="I34" i="46"/>
  <c r="Q34" i="46" s="1"/>
  <c r="Q11" i="46" s="1"/>
  <c r="I117" i="46"/>
  <c r="I19" i="46" s="1"/>
  <c r="F114" i="46"/>
  <c r="N114" i="46" s="1"/>
  <c r="N117" i="46" s="1"/>
  <c r="N19" i="46" s="1"/>
  <c r="I76" i="46"/>
  <c r="Q76" i="46" s="1"/>
  <c r="F142" i="46"/>
  <c r="Q63" i="50"/>
  <c r="I123" i="46"/>
  <c r="Q123" i="46" s="1"/>
  <c r="I76" i="56"/>
  <c r="F141" i="46"/>
  <c r="F140" i="46"/>
  <c r="E48" i="46"/>
  <c r="E49" i="46" s="1"/>
  <c r="E50" i="46" s="1"/>
  <c r="D42" i="47" s="1"/>
  <c r="I13" i="42"/>
  <c r="E100" i="46"/>
  <c r="E106" i="46"/>
  <c r="M106" i="46" s="1"/>
  <c r="F91" i="46"/>
  <c r="F98" i="46"/>
  <c r="E108" i="46"/>
  <c r="M108" i="46" s="1"/>
  <c r="F109" i="56"/>
  <c r="E107" i="46"/>
  <c r="M107" i="46" s="1"/>
  <c r="F151" i="56"/>
  <c r="E115" i="46"/>
  <c r="M115" i="46" s="1"/>
  <c r="E92" i="46"/>
  <c r="F144" i="56"/>
  <c r="N144" i="56" s="1"/>
  <c r="E148" i="46"/>
  <c r="M148" i="46" s="1"/>
  <c r="G167" i="56"/>
  <c r="G83" i="46"/>
  <c r="O83" i="46" s="1"/>
  <c r="F92" i="56"/>
  <c r="E141" i="46"/>
  <c r="M141" i="46" s="1"/>
  <c r="E99" i="46"/>
  <c r="H21" i="42"/>
  <c r="E116" i="46"/>
  <c r="M116" i="46" s="1"/>
  <c r="E142" i="46"/>
  <c r="M142" i="46" s="1"/>
  <c r="H159" i="56"/>
  <c r="F142" i="56"/>
  <c r="N142" i="56" s="1"/>
  <c r="E98" i="46"/>
  <c r="F83" i="46"/>
  <c r="N83" i="46" s="1"/>
  <c r="F21" i="42"/>
  <c r="F150" i="56"/>
  <c r="F118" i="56"/>
  <c r="F143" i="56"/>
  <c r="N143" i="56" s="1"/>
  <c r="F152" i="56"/>
  <c r="F116" i="56"/>
  <c r="N63" i="50"/>
  <c r="F157" i="46"/>
  <c r="F132" i="46"/>
  <c r="N132" i="46" s="1"/>
  <c r="F94" i="56"/>
  <c r="F102" i="56"/>
  <c r="F110" i="56"/>
  <c r="F108" i="56"/>
  <c r="F41" i="46"/>
  <c r="N41" i="46" s="1"/>
  <c r="F93" i="56"/>
  <c r="E11" i="47"/>
  <c r="E12" i="47" s="1"/>
  <c r="E92" i="56"/>
  <c r="E152" i="56"/>
  <c r="E110" i="56"/>
  <c r="E101" i="56"/>
  <c r="E149" i="46"/>
  <c r="E150" i="46"/>
  <c r="E140" i="46"/>
  <c r="M140" i="46" s="1"/>
  <c r="E114" i="46"/>
  <c r="M114" i="46" s="1"/>
  <c r="F60" i="56"/>
  <c r="F100" i="56"/>
  <c r="F103" i="56" s="1"/>
  <c r="E108" i="56"/>
  <c r="E116" i="56"/>
  <c r="E118" i="56"/>
  <c r="E117" i="56"/>
  <c r="G134" i="56"/>
  <c r="O134" i="56" s="1"/>
  <c r="H167" i="56"/>
  <c r="H165" i="46"/>
  <c r="G34" i="46"/>
  <c r="O34" i="46" s="1"/>
  <c r="O11" i="46" s="1"/>
  <c r="G159" i="56"/>
  <c r="G41" i="56"/>
  <c r="O41" i="56" s="1"/>
  <c r="G41" i="46"/>
  <c r="O41" i="46" s="1"/>
  <c r="H84" i="56"/>
  <c r="H83" i="46"/>
  <c r="P83" i="46" s="1"/>
  <c r="G84" i="56"/>
  <c r="H132" i="46"/>
  <c r="P132" i="46" s="1"/>
  <c r="H41" i="56"/>
  <c r="P41" i="56" s="1"/>
  <c r="G76" i="56"/>
  <c r="H123" i="46"/>
  <c r="P123" i="46" s="1"/>
  <c r="G165" i="46"/>
  <c r="E93" i="56"/>
  <c r="G21" i="42"/>
  <c r="G123" i="46"/>
  <c r="O123" i="46" s="1"/>
  <c r="G132" i="46"/>
  <c r="O132" i="46" s="1"/>
  <c r="G125" i="56"/>
  <c r="H134" i="56"/>
  <c r="P134" i="56" s="1"/>
  <c r="H76" i="56"/>
  <c r="H41" i="46"/>
  <c r="P41" i="46" s="1"/>
  <c r="E100" i="56"/>
  <c r="E151" i="56"/>
  <c r="E142" i="56"/>
  <c r="M142" i="56" s="1"/>
  <c r="H34" i="46"/>
  <c r="P34" i="46" s="1"/>
  <c r="P11" i="46" s="1"/>
  <c r="G76" i="46"/>
  <c r="O76" i="46" s="1"/>
  <c r="H157" i="46"/>
  <c r="H125" i="56"/>
  <c r="G157" i="46"/>
  <c r="H34" i="56"/>
  <c r="P34" i="56" s="1"/>
  <c r="P11" i="56" s="1"/>
  <c r="E143" i="56"/>
  <c r="M143" i="56" s="1"/>
  <c r="E144" i="56"/>
  <c r="M144" i="56" s="1"/>
  <c r="E102" i="56"/>
  <c r="E150" i="56"/>
  <c r="F61" i="46"/>
  <c r="F13" i="42"/>
  <c r="H90" i="46"/>
  <c r="H148" i="46"/>
  <c r="H150" i="46"/>
  <c r="H141" i="46"/>
  <c r="H99" i="46"/>
  <c r="H115" i="46"/>
  <c r="P115" i="46" s="1"/>
  <c r="H140" i="46"/>
  <c r="H142" i="46"/>
  <c r="H100" i="46"/>
  <c r="H92" i="46"/>
  <c r="H149" i="46"/>
  <c r="H114" i="46"/>
  <c r="H98" i="46"/>
  <c r="H108" i="46"/>
  <c r="P108" i="46" s="1"/>
  <c r="H116" i="46"/>
  <c r="P116" i="46" s="1"/>
  <c r="H107" i="46"/>
  <c r="P107" i="46" s="1"/>
  <c r="H91" i="46"/>
  <c r="H106" i="46"/>
  <c r="P63" i="50"/>
  <c r="H13" i="42"/>
  <c r="H61" i="46"/>
  <c r="G151" i="56"/>
  <c r="G117" i="56"/>
  <c r="G142" i="56"/>
  <c r="G109" i="56"/>
  <c r="G100" i="56"/>
  <c r="G143" i="56"/>
  <c r="O143" i="56" s="1"/>
  <c r="G152" i="56"/>
  <c r="G108" i="56"/>
  <c r="G110" i="56"/>
  <c r="G93" i="56"/>
  <c r="G94" i="56"/>
  <c r="G116" i="56"/>
  <c r="G102" i="56"/>
  <c r="G150" i="56"/>
  <c r="G118" i="56"/>
  <c r="G92" i="56"/>
  <c r="G144" i="56"/>
  <c r="O144" i="56" s="1"/>
  <c r="G60" i="56"/>
  <c r="G101" i="56"/>
  <c r="H92" i="56"/>
  <c r="H109" i="56"/>
  <c r="H100" i="56"/>
  <c r="H118" i="56"/>
  <c r="H151" i="56"/>
  <c r="H60" i="56"/>
  <c r="H142" i="56"/>
  <c r="H101" i="56"/>
  <c r="H117" i="56"/>
  <c r="H116" i="56"/>
  <c r="H110" i="56"/>
  <c r="H102" i="56"/>
  <c r="H94" i="56"/>
  <c r="H143" i="56"/>
  <c r="P143" i="56" s="1"/>
  <c r="H108" i="56"/>
  <c r="H144" i="56"/>
  <c r="P144" i="56" s="1"/>
  <c r="H150" i="56"/>
  <c r="H152" i="56"/>
  <c r="H93" i="56"/>
  <c r="G114" i="46"/>
  <c r="G115" i="46"/>
  <c r="O115" i="46" s="1"/>
  <c r="G100" i="46"/>
  <c r="G148" i="46"/>
  <c r="G141" i="46"/>
  <c r="G107" i="46"/>
  <c r="O107" i="46" s="1"/>
  <c r="G90" i="46"/>
  <c r="G106" i="46"/>
  <c r="G150" i="46"/>
  <c r="G92" i="46"/>
  <c r="G140" i="46"/>
  <c r="G142" i="46"/>
  <c r="G116" i="46"/>
  <c r="O116" i="46" s="1"/>
  <c r="G149" i="46"/>
  <c r="G99" i="46"/>
  <c r="G91" i="46"/>
  <c r="G98" i="46"/>
  <c r="G108" i="46"/>
  <c r="O108" i="46" s="1"/>
  <c r="F11" i="47"/>
  <c r="G11" i="47"/>
  <c r="G13" i="42"/>
  <c r="G61" i="46"/>
  <c r="O63" i="50"/>
  <c r="L35" i="46"/>
  <c r="L10" i="46"/>
  <c r="L27" i="46" s="1"/>
  <c r="L35" i="56"/>
  <c r="L10" i="56"/>
  <c r="L27" i="56" s="1"/>
  <c r="C26" i="47" s="1"/>
  <c r="C32" i="47" s="1"/>
  <c r="D49" i="56"/>
  <c r="I49" i="46"/>
  <c r="I50" i="46" s="1"/>
  <c r="H42" i="47" s="1"/>
  <c r="G59" i="47"/>
  <c r="I151" i="46" l="1"/>
  <c r="I23" i="46" s="1"/>
  <c r="I102" i="46"/>
  <c r="H53" i="47" s="1"/>
  <c r="E67" i="56"/>
  <c r="E70" i="56" s="1"/>
  <c r="E13" i="56" s="1"/>
  <c r="O167" i="56"/>
  <c r="D7" i="47"/>
  <c r="E173" i="46"/>
  <c r="E175" i="46" s="1"/>
  <c r="E26" i="46" s="1"/>
  <c r="E33" i="56"/>
  <c r="E40" i="46"/>
  <c r="M40" i="46" s="1"/>
  <c r="M42" i="46" s="1"/>
  <c r="M43" i="46" s="1"/>
  <c r="F174" i="46"/>
  <c r="N174" i="46" s="1"/>
  <c r="Q109" i="46"/>
  <c r="Q110" i="46" s="1"/>
  <c r="O150" i="46"/>
  <c r="I94" i="46"/>
  <c r="H52" i="47" s="1"/>
  <c r="I16" i="46"/>
  <c r="I144" i="46"/>
  <c r="H65" i="47" s="1"/>
  <c r="I22" i="46"/>
  <c r="N18" i="46"/>
  <c r="O142" i="46"/>
  <c r="F119" i="56"/>
  <c r="F120" i="56" s="1"/>
  <c r="F151" i="46"/>
  <c r="F23" i="46" s="1"/>
  <c r="Q68" i="46"/>
  <c r="Q70" i="46" s="1"/>
  <c r="Q13" i="46" s="1"/>
  <c r="F109" i="46"/>
  <c r="F110" i="46" s="1"/>
  <c r="E54" i="47" s="1"/>
  <c r="E75" i="46"/>
  <c r="M75" i="46" s="1"/>
  <c r="M174" i="46"/>
  <c r="E164" i="46"/>
  <c r="M164" i="46" s="1"/>
  <c r="E166" i="56"/>
  <c r="M166" i="56" s="1"/>
  <c r="E75" i="56"/>
  <c r="E70" i="46"/>
  <c r="E13" i="46" s="1"/>
  <c r="E33" i="46"/>
  <c r="M33" i="46" s="1"/>
  <c r="F95" i="56"/>
  <c r="F96" i="56" s="1"/>
  <c r="E82" i="46"/>
  <c r="M82" i="46" s="1"/>
  <c r="O165" i="46"/>
  <c r="E40" i="56"/>
  <c r="M40" i="56" s="1"/>
  <c r="I109" i="46"/>
  <c r="E131" i="46"/>
  <c r="M131" i="46" s="1"/>
  <c r="E122" i="46"/>
  <c r="M122" i="46" s="1"/>
  <c r="E133" i="56"/>
  <c r="M133" i="56" s="1"/>
  <c r="E124" i="56"/>
  <c r="E156" i="46"/>
  <c r="E158" i="56"/>
  <c r="E19" i="42"/>
  <c r="F117" i="46"/>
  <c r="F19" i="46" s="1"/>
  <c r="O149" i="46"/>
  <c r="E16" i="46"/>
  <c r="I12" i="56"/>
  <c r="O140" i="46"/>
  <c r="E84" i="56"/>
  <c r="E86" i="56" s="1"/>
  <c r="E87" i="56" s="1"/>
  <c r="E34" i="46"/>
  <c r="M34" i="46" s="1"/>
  <c r="M11" i="46" s="1"/>
  <c r="F93" i="46"/>
  <c r="F16" i="46" s="1"/>
  <c r="Q118" i="46"/>
  <c r="I103" i="56"/>
  <c r="I17" i="56" s="1"/>
  <c r="M109" i="46"/>
  <c r="M18" i="46" s="1"/>
  <c r="E119" i="56"/>
  <c r="E19" i="56" s="1"/>
  <c r="I111" i="56"/>
  <c r="I18" i="56" s="1"/>
  <c r="E159" i="56"/>
  <c r="E83" i="46"/>
  <c r="M83" i="46" s="1"/>
  <c r="E125" i="56"/>
  <c r="E41" i="46"/>
  <c r="M41" i="46" s="1"/>
  <c r="E16" i="42"/>
  <c r="E34" i="56"/>
  <c r="M34" i="56" s="1"/>
  <c r="M11" i="56" s="1"/>
  <c r="E109" i="46"/>
  <c r="E18" i="46" s="1"/>
  <c r="F101" i="46"/>
  <c r="F17" i="46" s="1"/>
  <c r="E123" i="46"/>
  <c r="M123" i="46" s="1"/>
  <c r="E76" i="56"/>
  <c r="E167" i="56"/>
  <c r="M167" i="56" s="1"/>
  <c r="E41" i="56"/>
  <c r="M41" i="56" s="1"/>
  <c r="Q145" i="56"/>
  <c r="Q146" i="56" s="1"/>
  <c r="E165" i="46"/>
  <c r="M165" i="46" s="1"/>
  <c r="E157" i="46"/>
  <c r="E134" i="56"/>
  <c r="M134" i="56" s="1"/>
  <c r="Q167" i="56"/>
  <c r="E111" i="56"/>
  <c r="E112" i="56" s="1"/>
  <c r="E21" i="42"/>
  <c r="N148" i="46"/>
  <c r="I145" i="56"/>
  <c r="I146" i="56" s="1"/>
  <c r="F143" i="46"/>
  <c r="F144" i="46" s="1"/>
  <c r="E65" i="47" s="1"/>
  <c r="N118" i="46"/>
  <c r="E132" i="46"/>
  <c r="M132" i="46" s="1"/>
  <c r="E76" i="46"/>
  <c r="M76" i="46" s="1"/>
  <c r="I95" i="56"/>
  <c r="I153" i="56"/>
  <c r="I23" i="56" s="1"/>
  <c r="I120" i="56"/>
  <c r="I19" i="56"/>
  <c r="H101" i="46"/>
  <c r="H17" i="46" s="1"/>
  <c r="O141" i="46"/>
  <c r="Q165" i="46"/>
  <c r="I118" i="46"/>
  <c r="H55" i="47" s="1"/>
  <c r="E101" i="46"/>
  <c r="E102" i="46" s="1"/>
  <c r="D53" i="47" s="1"/>
  <c r="F145" i="56"/>
  <c r="F146" i="56" s="1"/>
  <c r="I54" i="56"/>
  <c r="I67" i="56"/>
  <c r="I70" i="56" s="1"/>
  <c r="I61" i="56"/>
  <c r="I62" i="56" s="1"/>
  <c r="F111" i="56"/>
  <c r="F18" i="56" s="1"/>
  <c r="I164" i="46"/>
  <c r="I167" i="46" s="1"/>
  <c r="I25" i="46" s="1"/>
  <c r="I40" i="46"/>
  <c r="I131" i="46"/>
  <c r="I124" i="56"/>
  <c r="I127" i="56" s="1"/>
  <c r="I20" i="56" s="1"/>
  <c r="I83" i="56"/>
  <c r="I86" i="56" s="1"/>
  <c r="I87" i="56" s="1"/>
  <c r="I19" i="42"/>
  <c r="I22" i="42" s="1"/>
  <c r="I24" i="42" s="1"/>
  <c r="I166" i="56"/>
  <c r="I169" i="56" s="1"/>
  <c r="I25" i="56" s="1"/>
  <c r="I33" i="56"/>
  <c r="I122" i="46"/>
  <c r="I75" i="46"/>
  <c r="I133" i="56"/>
  <c r="I82" i="46"/>
  <c r="I33" i="46"/>
  <c r="I40" i="56"/>
  <c r="I16" i="42"/>
  <c r="I75" i="56"/>
  <c r="I78" i="56" s="1"/>
  <c r="I79" i="56" s="1"/>
  <c r="I156" i="46"/>
  <c r="I159" i="46" s="1"/>
  <c r="I24" i="46" s="1"/>
  <c r="I158" i="56"/>
  <c r="I161" i="56" s="1"/>
  <c r="I24" i="56" s="1"/>
  <c r="H7" i="47"/>
  <c r="M117" i="46"/>
  <c r="M19" i="46" s="1"/>
  <c r="E103" i="56"/>
  <c r="E104" i="56" s="1"/>
  <c r="N145" i="56"/>
  <c r="N146" i="56" s="1"/>
  <c r="M143" i="46"/>
  <c r="M144" i="46" s="1"/>
  <c r="G101" i="46"/>
  <c r="G102" i="46" s="1"/>
  <c r="F53" i="47" s="1"/>
  <c r="N141" i="46"/>
  <c r="N142" i="46"/>
  <c r="E143" i="46"/>
  <c r="F19" i="56"/>
  <c r="M145" i="56"/>
  <c r="M146" i="56" s="1"/>
  <c r="N140" i="46"/>
  <c r="E95" i="56"/>
  <c r="F153" i="56"/>
  <c r="F154" i="56" s="1"/>
  <c r="P167" i="56"/>
  <c r="E61" i="56"/>
  <c r="E62" i="56" s="1"/>
  <c r="E54" i="56"/>
  <c r="E12" i="56"/>
  <c r="E145" i="56"/>
  <c r="E146" i="56" s="1"/>
  <c r="E153" i="56"/>
  <c r="E151" i="46"/>
  <c r="E23" i="46" s="1"/>
  <c r="E117" i="46"/>
  <c r="H95" i="56"/>
  <c r="F104" i="56"/>
  <c r="F17" i="56"/>
  <c r="H153" i="56"/>
  <c r="H23" i="56" s="1"/>
  <c r="F12" i="56"/>
  <c r="F48" i="56"/>
  <c r="F49" i="56" s="1"/>
  <c r="F50" i="56" s="1"/>
  <c r="F67" i="56"/>
  <c r="F70" i="56" s="1"/>
  <c r="F61" i="56"/>
  <c r="F62" i="56" s="1"/>
  <c r="F54" i="56"/>
  <c r="G151" i="46"/>
  <c r="G23" i="46" s="1"/>
  <c r="G12" i="47"/>
  <c r="H111" i="56"/>
  <c r="H18" i="56" s="1"/>
  <c r="M150" i="46"/>
  <c r="N150" i="46"/>
  <c r="M149" i="46"/>
  <c r="N149" i="46"/>
  <c r="F12" i="47"/>
  <c r="F12" i="46"/>
  <c r="F48" i="46"/>
  <c r="F49" i="46" s="1"/>
  <c r="F50" i="46" s="1"/>
  <c r="E42" i="47" s="1"/>
  <c r="F68" i="46"/>
  <c r="F54" i="46"/>
  <c r="F56" i="46" s="1"/>
  <c r="F57" i="46" s="1"/>
  <c r="E43" i="47" s="1"/>
  <c r="F62" i="46"/>
  <c r="F63" i="46" s="1"/>
  <c r="E44" i="47" s="1"/>
  <c r="P165" i="46"/>
  <c r="N165" i="46"/>
  <c r="F75" i="56"/>
  <c r="F78" i="56" s="1"/>
  <c r="F79" i="56" s="1"/>
  <c r="F164" i="46"/>
  <c r="F131" i="46"/>
  <c r="F156" i="46"/>
  <c r="F159" i="46" s="1"/>
  <c r="F160" i="46" s="1"/>
  <c r="E67" i="47" s="1"/>
  <c r="F83" i="56"/>
  <c r="F86" i="56" s="1"/>
  <c r="F15" i="56" s="1"/>
  <c r="F82" i="46"/>
  <c r="F33" i="56"/>
  <c r="F19" i="42"/>
  <c r="F22" i="42" s="1"/>
  <c r="F24" i="42" s="1"/>
  <c r="F133" i="56"/>
  <c r="F166" i="56"/>
  <c r="F40" i="46"/>
  <c r="F122" i="46"/>
  <c r="F158" i="56"/>
  <c r="F161" i="56" s="1"/>
  <c r="F162" i="56" s="1"/>
  <c r="F33" i="46"/>
  <c r="F40" i="56"/>
  <c r="F75" i="46"/>
  <c r="F16" i="42"/>
  <c r="E7" i="47"/>
  <c r="F124" i="56"/>
  <c r="F127" i="56" s="1"/>
  <c r="F20" i="56" s="1"/>
  <c r="G143" i="46"/>
  <c r="P142" i="56"/>
  <c r="P145" i="56" s="1"/>
  <c r="H145" i="56"/>
  <c r="G61" i="56"/>
  <c r="G62" i="56" s="1"/>
  <c r="G12" i="56"/>
  <c r="G48" i="56"/>
  <c r="G49" i="56" s="1"/>
  <c r="G50" i="56" s="1"/>
  <c r="G67" i="56"/>
  <c r="G70" i="56" s="1"/>
  <c r="G54" i="56"/>
  <c r="G62" i="46"/>
  <c r="G63" i="46" s="1"/>
  <c r="F44" i="47" s="1"/>
  <c r="G54" i="46"/>
  <c r="G56" i="46" s="1"/>
  <c r="G57" i="46" s="1"/>
  <c r="F43" i="47" s="1"/>
  <c r="G48" i="46"/>
  <c r="G49" i="46" s="1"/>
  <c r="G50" i="46" s="1"/>
  <c r="F42" i="47" s="1"/>
  <c r="G12" i="46"/>
  <c r="G68" i="46"/>
  <c r="H12" i="56"/>
  <c r="H48" i="56"/>
  <c r="H49" i="56" s="1"/>
  <c r="H50" i="56" s="1"/>
  <c r="H67" i="56"/>
  <c r="H70" i="56" s="1"/>
  <c r="H61" i="56"/>
  <c r="H62" i="56" s="1"/>
  <c r="H54" i="56"/>
  <c r="G33" i="56"/>
  <c r="G131" i="46"/>
  <c r="G40" i="46"/>
  <c r="G124" i="56"/>
  <c r="G127" i="56" s="1"/>
  <c r="G20" i="56" s="1"/>
  <c r="G164" i="46"/>
  <c r="G75" i="56"/>
  <c r="G78" i="56" s="1"/>
  <c r="G79" i="56" s="1"/>
  <c r="G156" i="46"/>
  <c r="G159" i="46" s="1"/>
  <c r="G24" i="46" s="1"/>
  <c r="G19" i="42"/>
  <c r="G22" i="42" s="1"/>
  <c r="G24" i="42" s="1"/>
  <c r="G75" i="46"/>
  <c r="G82" i="46"/>
  <c r="G16" i="42"/>
  <c r="G158" i="56"/>
  <c r="G161" i="56" s="1"/>
  <c r="G24" i="56" s="1"/>
  <c r="G40" i="56"/>
  <c r="G33" i="46"/>
  <c r="G83" i="56"/>
  <c r="G86" i="56" s="1"/>
  <c r="G15" i="56" s="1"/>
  <c r="G133" i="56"/>
  <c r="G166" i="56"/>
  <c r="G122" i="46"/>
  <c r="F7" i="47"/>
  <c r="O114" i="46"/>
  <c r="O117" i="46" s="1"/>
  <c r="G117" i="46"/>
  <c r="G95" i="56"/>
  <c r="G111" i="56"/>
  <c r="H117" i="46"/>
  <c r="P114" i="46"/>
  <c r="P117" i="46" s="1"/>
  <c r="Q141" i="46"/>
  <c r="P141" i="46"/>
  <c r="O106" i="46"/>
  <c r="O109" i="46" s="1"/>
  <c r="G109" i="46"/>
  <c r="P149" i="46"/>
  <c r="Q149" i="46"/>
  <c r="P150" i="46"/>
  <c r="Q150" i="46"/>
  <c r="G93" i="46"/>
  <c r="H103" i="56"/>
  <c r="G153" i="56"/>
  <c r="H12" i="46"/>
  <c r="H68" i="46"/>
  <c r="H54" i="46"/>
  <c r="H56" i="46" s="1"/>
  <c r="H62" i="46"/>
  <c r="H63" i="46" s="1"/>
  <c r="G44" i="47" s="1"/>
  <c r="H48" i="46"/>
  <c r="P106" i="46"/>
  <c r="P109" i="46" s="1"/>
  <c r="H109" i="46"/>
  <c r="P148" i="46"/>
  <c r="H151" i="46"/>
  <c r="Q148" i="46"/>
  <c r="Q140" i="46"/>
  <c r="H143" i="46"/>
  <c r="P140" i="46"/>
  <c r="O148" i="46"/>
  <c r="O151" i="46" s="1"/>
  <c r="O152" i="46" s="1"/>
  <c r="H119" i="56"/>
  <c r="G103" i="56"/>
  <c r="H164" i="46"/>
  <c r="H124" i="56"/>
  <c r="H127" i="56" s="1"/>
  <c r="H128" i="56" s="1"/>
  <c r="H40" i="46"/>
  <c r="H75" i="56"/>
  <c r="H78" i="56" s="1"/>
  <c r="H79" i="56" s="1"/>
  <c r="H122" i="46"/>
  <c r="H158" i="56"/>
  <c r="H161" i="56" s="1"/>
  <c r="H162" i="56" s="1"/>
  <c r="H156" i="46"/>
  <c r="H159" i="46" s="1"/>
  <c r="H24" i="46" s="1"/>
  <c r="H19" i="42"/>
  <c r="H22" i="42" s="1"/>
  <c r="G17" i="47" s="1"/>
  <c r="G18" i="47" s="1"/>
  <c r="H16" i="42"/>
  <c r="H131" i="46"/>
  <c r="H166" i="56"/>
  <c r="G7" i="47"/>
  <c r="H33" i="56"/>
  <c r="H33" i="46"/>
  <c r="H83" i="56"/>
  <c r="H86" i="56" s="1"/>
  <c r="H87" i="56" s="1"/>
  <c r="H40" i="56"/>
  <c r="H133" i="56"/>
  <c r="H75" i="46"/>
  <c r="H82" i="46"/>
  <c r="H93" i="46"/>
  <c r="O142" i="56"/>
  <c r="O145" i="56" s="1"/>
  <c r="G145" i="56"/>
  <c r="G119" i="56"/>
  <c r="Q142" i="46"/>
  <c r="P142" i="46"/>
  <c r="F102" i="46"/>
  <c r="E53" i="47" s="1"/>
  <c r="I49" i="56"/>
  <c r="I50" i="56" s="1"/>
  <c r="I13" i="46"/>
  <c r="I71" i="46"/>
  <c r="H47" i="47" s="1"/>
  <c r="E71" i="46"/>
  <c r="D47" i="47" s="1"/>
  <c r="E49" i="56"/>
  <c r="E50" i="56" s="1"/>
  <c r="M13" i="46"/>
  <c r="M71" i="46"/>
  <c r="E35" i="56" l="1"/>
  <c r="E36" i="56" s="1"/>
  <c r="I152" i="46"/>
  <c r="H66" i="47" s="1"/>
  <c r="F18" i="46"/>
  <c r="E120" i="56"/>
  <c r="E71" i="56"/>
  <c r="Q18" i="46"/>
  <c r="E161" i="56"/>
  <c r="E162" i="56" s="1"/>
  <c r="E167" i="46"/>
  <c r="E25" i="46" s="1"/>
  <c r="E159" i="46"/>
  <c r="E160" i="46" s="1"/>
  <c r="D67" i="47" s="1"/>
  <c r="M167" i="46"/>
  <c r="M168" i="46" s="1"/>
  <c r="G174" i="46"/>
  <c r="F176" i="56"/>
  <c r="N176" i="56" s="1"/>
  <c r="M33" i="56"/>
  <c r="M10" i="56" s="1"/>
  <c r="M27" i="56" s="1"/>
  <c r="D26" i="47" s="1"/>
  <c r="F173" i="46"/>
  <c r="N173" i="46" s="1"/>
  <c r="N175" i="46" s="1"/>
  <c r="E175" i="56"/>
  <c r="M175" i="56" s="1"/>
  <c r="M177" i="56" s="1"/>
  <c r="M178" i="56" s="1"/>
  <c r="M173" i="46"/>
  <c r="M175" i="46" s="1"/>
  <c r="M176" i="46" s="1"/>
  <c r="E22" i="42"/>
  <c r="E24" i="42" s="1"/>
  <c r="E25" i="42" s="1"/>
  <c r="E78" i="56"/>
  <c r="M169" i="56"/>
  <c r="M170" i="56" s="1"/>
  <c r="I112" i="56"/>
  <c r="M35" i="46"/>
  <c r="M36" i="46" s="1"/>
  <c r="E42" i="46"/>
  <c r="E43" i="46" s="1"/>
  <c r="D41" i="47" s="1"/>
  <c r="O143" i="46"/>
  <c r="O22" i="46" s="1"/>
  <c r="M84" i="46"/>
  <c r="M15" i="46" s="1"/>
  <c r="F152" i="46"/>
  <c r="E66" i="47" s="1"/>
  <c r="M134" i="46"/>
  <c r="M135" i="46" s="1"/>
  <c r="E127" i="56"/>
  <c r="E20" i="56" s="1"/>
  <c r="Q71" i="46"/>
  <c r="M110" i="46"/>
  <c r="M77" i="46"/>
  <c r="M78" i="46" s="1"/>
  <c r="F16" i="56"/>
  <c r="M136" i="56"/>
  <c r="M21" i="56" s="1"/>
  <c r="I18" i="46"/>
  <c r="I110" i="46"/>
  <c r="H54" i="47" s="1"/>
  <c r="M125" i="46"/>
  <c r="M20" i="46" s="1"/>
  <c r="M10" i="46"/>
  <c r="M27" i="46" s="1"/>
  <c r="F118" i="46"/>
  <c r="E55" i="47" s="1"/>
  <c r="E35" i="46"/>
  <c r="M42" i="56"/>
  <c r="M43" i="56" s="1"/>
  <c r="M26" i="56"/>
  <c r="E125" i="46"/>
  <c r="E126" i="46" s="1"/>
  <c r="D56" i="47" s="1"/>
  <c r="I154" i="56"/>
  <c r="H154" i="56"/>
  <c r="E15" i="56"/>
  <c r="E84" i="46"/>
  <c r="N167" i="56"/>
  <c r="F94" i="46"/>
  <c r="E52" i="47" s="1"/>
  <c r="F87" i="56"/>
  <c r="I22" i="56"/>
  <c r="I104" i="56"/>
  <c r="F128" i="56"/>
  <c r="G87" i="56"/>
  <c r="E18" i="56"/>
  <c r="I170" i="56"/>
  <c r="E169" i="56"/>
  <c r="E25" i="56" s="1"/>
  <c r="F22" i="56"/>
  <c r="E136" i="56"/>
  <c r="E110" i="46"/>
  <c r="D54" i="47" s="1"/>
  <c r="E42" i="56"/>
  <c r="E134" i="46"/>
  <c r="H17" i="47"/>
  <c r="H18" i="47" s="1"/>
  <c r="H102" i="46"/>
  <c r="G53" i="47" s="1"/>
  <c r="M25" i="46"/>
  <c r="I162" i="56"/>
  <c r="I14" i="56"/>
  <c r="I15" i="56"/>
  <c r="E17" i="46"/>
  <c r="M22" i="46"/>
  <c r="Q22" i="56"/>
  <c r="F112" i="56"/>
  <c r="F22" i="46"/>
  <c r="H24" i="42"/>
  <c r="H25" i="42" s="1"/>
  <c r="I168" i="46"/>
  <c r="H68" i="47" s="1"/>
  <c r="E77" i="46"/>
  <c r="E14" i="46" s="1"/>
  <c r="M118" i="46"/>
  <c r="I16" i="56"/>
  <c r="I96" i="56"/>
  <c r="E24" i="56"/>
  <c r="F17" i="47"/>
  <c r="F18" i="47" s="1"/>
  <c r="E17" i="56"/>
  <c r="N143" i="46"/>
  <c r="N22" i="46" s="1"/>
  <c r="G152" i="46"/>
  <c r="F66" i="47" s="1"/>
  <c r="I71" i="56"/>
  <c r="I13" i="56"/>
  <c r="I55" i="56"/>
  <c r="I56" i="56" s="1"/>
  <c r="Q54" i="56"/>
  <c r="Q55" i="56" s="1"/>
  <c r="Q56" i="56" s="1"/>
  <c r="I128" i="56"/>
  <c r="I160" i="46"/>
  <c r="H67" i="47" s="1"/>
  <c r="N22" i="56"/>
  <c r="G17" i="46"/>
  <c r="E17" i="47"/>
  <c r="E18" i="47" s="1"/>
  <c r="I136" i="56"/>
  <c r="Q133" i="56"/>
  <c r="Q136" i="56" s="1"/>
  <c r="I77" i="46"/>
  <c r="Q75" i="46"/>
  <c r="Q77" i="46" s="1"/>
  <c r="Q122" i="46"/>
  <c r="Q125" i="46" s="1"/>
  <c r="I125" i="46"/>
  <c r="Q40" i="56"/>
  <c r="Q42" i="56" s="1"/>
  <c r="Q43" i="56" s="1"/>
  <c r="I42" i="56"/>
  <c r="Q131" i="46"/>
  <c r="Q134" i="46" s="1"/>
  <c r="I134" i="46"/>
  <c r="I35" i="46"/>
  <c r="Q33" i="46"/>
  <c r="Q33" i="56"/>
  <c r="I35" i="56"/>
  <c r="Q40" i="46"/>
  <c r="Q42" i="46" s="1"/>
  <c r="Q43" i="46" s="1"/>
  <c r="I42" i="46"/>
  <c r="F23" i="56"/>
  <c r="I84" i="46"/>
  <c r="Q82" i="46"/>
  <c r="Q84" i="46" s="1"/>
  <c r="N151" i="46"/>
  <c r="N152" i="46" s="1"/>
  <c r="H112" i="56"/>
  <c r="G128" i="56"/>
  <c r="G162" i="56"/>
  <c r="E22" i="46"/>
  <c r="E144" i="46"/>
  <c r="D65" i="47" s="1"/>
  <c r="M22" i="56"/>
  <c r="E96" i="56"/>
  <c r="E16" i="56"/>
  <c r="E22" i="56"/>
  <c r="E152" i="46"/>
  <c r="D66" i="47" s="1"/>
  <c r="F24" i="56"/>
  <c r="E176" i="46"/>
  <c r="D71" i="47" s="1"/>
  <c r="M54" i="56"/>
  <c r="M55" i="56" s="1"/>
  <c r="M56" i="56" s="1"/>
  <c r="E55" i="56"/>
  <c r="E56" i="56" s="1"/>
  <c r="M151" i="46"/>
  <c r="M152" i="46" s="1"/>
  <c r="E10" i="56"/>
  <c r="E19" i="46"/>
  <c r="E118" i="46"/>
  <c r="D55" i="47" s="1"/>
  <c r="F14" i="56"/>
  <c r="E154" i="56"/>
  <c r="E23" i="56"/>
  <c r="H16" i="56"/>
  <c r="H96" i="56"/>
  <c r="Q143" i="46"/>
  <c r="Q144" i="46" s="1"/>
  <c r="N54" i="56"/>
  <c r="N55" i="56" s="1"/>
  <c r="N56" i="56" s="1"/>
  <c r="F55" i="56"/>
  <c r="F56" i="56" s="1"/>
  <c r="F71" i="56"/>
  <c r="F13" i="56"/>
  <c r="F136" i="56"/>
  <c r="N133" i="56"/>
  <c r="N136" i="56" s="1"/>
  <c r="F70" i="46"/>
  <c r="N68" i="46"/>
  <c r="N70" i="46" s="1"/>
  <c r="G160" i="46"/>
  <c r="F67" i="47" s="1"/>
  <c r="F24" i="46"/>
  <c r="N33" i="46"/>
  <c r="F35" i="46"/>
  <c r="G25" i="42"/>
  <c r="F134" i="46"/>
  <c r="N131" i="46"/>
  <c r="N134" i="46" s="1"/>
  <c r="N164" i="46"/>
  <c r="N167" i="46" s="1"/>
  <c r="N168" i="46" s="1"/>
  <c r="F167" i="46"/>
  <c r="H24" i="56"/>
  <c r="N122" i="46"/>
  <c r="N125" i="46" s="1"/>
  <c r="F125" i="46"/>
  <c r="F35" i="56"/>
  <c r="N33" i="56"/>
  <c r="H160" i="46"/>
  <c r="G67" i="47" s="1"/>
  <c r="O23" i="46"/>
  <c r="H15" i="56"/>
  <c r="H14" i="56"/>
  <c r="P143" i="46"/>
  <c r="P144" i="46" s="1"/>
  <c r="N75" i="46"/>
  <c r="N77" i="46" s="1"/>
  <c r="F77" i="46"/>
  <c r="N40" i="46"/>
  <c r="N42" i="46" s="1"/>
  <c r="N43" i="46" s="1"/>
  <c r="F42" i="46"/>
  <c r="F84" i="46"/>
  <c r="N82" i="46"/>
  <c r="N84" i="46" s="1"/>
  <c r="N40" i="56"/>
  <c r="N42" i="56" s="1"/>
  <c r="N43" i="56" s="1"/>
  <c r="F42" i="56"/>
  <c r="N166" i="56"/>
  <c r="F169" i="56"/>
  <c r="H20" i="56"/>
  <c r="H77" i="46"/>
  <c r="P75" i="46"/>
  <c r="P77" i="46" s="1"/>
  <c r="H110" i="46"/>
  <c r="G54" i="47" s="1"/>
  <c r="H18" i="46"/>
  <c r="H104" i="56"/>
  <c r="H17" i="56"/>
  <c r="O18" i="46"/>
  <c r="O110" i="46"/>
  <c r="G16" i="56"/>
  <c r="G96" i="56"/>
  <c r="O131" i="46"/>
  <c r="O134" i="46" s="1"/>
  <c r="G134" i="46"/>
  <c r="O54" i="56"/>
  <c r="O55" i="56" s="1"/>
  <c r="O56" i="56" s="1"/>
  <c r="G55" i="56"/>
  <c r="G56" i="56" s="1"/>
  <c r="G19" i="56"/>
  <c r="G120" i="56"/>
  <c r="H42" i="46"/>
  <c r="P40" i="46"/>
  <c r="P42" i="46" s="1"/>
  <c r="P43" i="46" s="1"/>
  <c r="P110" i="46"/>
  <c r="P18" i="46"/>
  <c r="G94" i="46"/>
  <c r="F52" i="47" s="1"/>
  <c r="G16" i="46"/>
  <c r="G19" i="46"/>
  <c r="G118" i="46"/>
  <c r="F55" i="47" s="1"/>
  <c r="G136" i="56"/>
  <c r="O133" i="56"/>
  <c r="O136" i="56" s="1"/>
  <c r="G35" i="56"/>
  <c r="O33" i="56"/>
  <c r="G71" i="56"/>
  <c r="G13" i="56"/>
  <c r="O118" i="46"/>
  <c r="O19" i="46"/>
  <c r="O68" i="46"/>
  <c r="O70" i="46" s="1"/>
  <c r="G70" i="46"/>
  <c r="O22" i="56"/>
  <c r="O146" i="56"/>
  <c r="P133" i="56"/>
  <c r="P136" i="56" s="1"/>
  <c r="H136" i="56"/>
  <c r="H35" i="56"/>
  <c r="P33" i="56"/>
  <c r="H22" i="46"/>
  <c r="H144" i="46"/>
  <c r="G65" i="47" s="1"/>
  <c r="O82" i="46"/>
  <c r="O84" i="46" s="1"/>
  <c r="G84" i="46"/>
  <c r="H16" i="46"/>
  <c r="H94" i="46"/>
  <c r="G52" i="47" s="1"/>
  <c r="H42" i="56"/>
  <c r="P40" i="56"/>
  <c r="P42" i="56" s="1"/>
  <c r="P43" i="56" s="1"/>
  <c r="H49" i="46"/>
  <c r="H50" i="46" s="1"/>
  <c r="G42" i="47" s="1"/>
  <c r="H57" i="46"/>
  <c r="G43" i="47" s="1"/>
  <c r="O33" i="46"/>
  <c r="G35" i="46"/>
  <c r="G14" i="56"/>
  <c r="P82" i="46"/>
  <c r="P84" i="46" s="1"/>
  <c r="H84" i="46"/>
  <c r="P166" i="56"/>
  <c r="P169" i="56" s="1"/>
  <c r="P170" i="56" s="1"/>
  <c r="H169" i="56"/>
  <c r="Q166" i="56"/>
  <c r="Q169" i="56" s="1"/>
  <c r="Q170" i="56" s="1"/>
  <c r="P164" i="46"/>
  <c r="P167" i="46" s="1"/>
  <c r="P25" i="46" s="1"/>
  <c r="Q164" i="46"/>
  <c r="Q167" i="46" s="1"/>
  <c r="Q168" i="46" s="1"/>
  <c r="H167" i="46"/>
  <c r="Q151" i="46"/>
  <c r="P68" i="46"/>
  <c r="P70" i="46" s="1"/>
  <c r="H70" i="46"/>
  <c r="P19" i="46"/>
  <c r="P118" i="46"/>
  <c r="O122" i="46"/>
  <c r="O125" i="46" s="1"/>
  <c r="G125" i="46"/>
  <c r="O75" i="46"/>
  <c r="O77" i="46" s="1"/>
  <c r="G77" i="46"/>
  <c r="G167" i="46"/>
  <c r="O164" i="46"/>
  <c r="O167" i="46" s="1"/>
  <c r="H55" i="56"/>
  <c r="H56" i="56" s="1"/>
  <c r="P54" i="56"/>
  <c r="P55" i="56" s="1"/>
  <c r="P56" i="56" s="1"/>
  <c r="H146" i="56"/>
  <c r="H22" i="56"/>
  <c r="G22" i="56"/>
  <c r="G146" i="56"/>
  <c r="P131" i="46"/>
  <c r="P134" i="46" s="1"/>
  <c r="H134" i="46"/>
  <c r="H125" i="46"/>
  <c r="P122" i="46"/>
  <c r="P125" i="46" s="1"/>
  <c r="G17" i="56"/>
  <c r="G104" i="56"/>
  <c r="H23" i="46"/>
  <c r="H152" i="46"/>
  <c r="G66" i="47" s="1"/>
  <c r="H19" i="46"/>
  <c r="H118" i="46"/>
  <c r="G55" i="47" s="1"/>
  <c r="O40" i="56"/>
  <c r="O42" i="56" s="1"/>
  <c r="O43" i="56" s="1"/>
  <c r="G42" i="56"/>
  <c r="P146" i="56"/>
  <c r="P22" i="56"/>
  <c r="P33" i="46"/>
  <c r="H35" i="46"/>
  <c r="H19" i="56"/>
  <c r="H120" i="56"/>
  <c r="P151" i="46"/>
  <c r="G23" i="56"/>
  <c r="G154" i="56"/>
  <c r="G18" i="46"/>
  <c r="G110" i="46"/>
  <c r="F54" i="47" s="1"/>
  <c r="G18" i="56"/>
  <c r="G112" i="56"/>
  <c r="G169" i="56"/>
  <c r="O166" i="56"/>
  <c r="O169" i="56" s="1"/>
  <c r="O170" i="56" s="1"/>
  <c r="G42" i="46"/>
  <c r="O40" i="46"/>
  <c r="O42" i="46" s="1"/>
  <c r="O43" i="46" s="1"/>
  <c r="H71" i="56"/>
  <c r="H13" i="56"/>
  <c r="G144" i="46"/>
  <c r="F65" i="47" s="1"/>
  <c r="G22" i="46"/>
  <c r="E11" i="46" l="1"/>
  <c r="E168" i="46"/>
  <c r="D68" i="47" s="1"/>
  <c r="F25" i="42"/>
  <c r="O144" i="46"/>
  <c r="E24" i="46"/>
  <c r="M35" i="56"/>
  <c r="M36" i="56" s="1"/>
  <c r="D17" i="47"/>
  <c r="E19" i="47" s="1"/>
  <c r="D28" i="47"/>
  <c r="D27" i="47"/>
  <c r="E128" i="56"/>
  <c r="F175" i="46"/>
  <c r="F176" i="46" s="1"/>
  <c r="E71" i="47" s="1"/>
  <c r="M26" i="46"/>
  <c r="I25" i="42"/>
  <c r="E14" i="56"/>
  <c r="E79" i="56"/>
  <c r="G173" i="46"/>
  <c r="F175" i="56"/>
  <c r="E177" i="56"/>
  <c r="E178" i="56" s="1"/>
  <c r="H174" i="46"/>
  <c r="G176" i="56"/>
  <c r="O176" i="56" s="1"/>
  <c r="O174" i="46"/>
  <c r="E170" i="56"/>
  <c r="M85" i="46"/>
  <c r="M21" i="46"/>
  <c r="M14" i="46"/>
  <c r="N169" i="56"/>
  <c r="N170" i="56" s="1"/>
  <c r="M137" i="56"/>
  <c r="M126" i="46"/>
  <c r="E20" i="46"/>
  <c r="E15" i="46"/>
  <c r="E85" i="46"/>
  <c r="D49" i="47" s="1"/>
  <c r="G19" i="47"/>
  <c r="H19" i="47"/>
  <c r="N23" i="46"/>
  <c r="E21" i="56"/>
  <c r="E137" i="56"/>
  <c r="E21" i="46"/>
  <c r="E135" i="46"/>
  <c r="D62" i="47" s="1"/>
  <c r="E11" i="56"/>
  <c r="E43" i="56"/>
  <c r="E78" i="46"/>
  <c r="D48" i="47" s="1"/>
  <c r="N144" i="46"/>
  <c r="P22" i="46"/>
  <c r="F19" i="47"/>
  <c r="Q10" i="56"/>
  <c r="Q27" i="56" s="1"/>
  <c r="H26" i="47" s="1"/>
  <c r="Q35" i="56"/>
  <c r="Q36" i="56" s="1"/>
  <c r="Q20" i="46"/>
  <c r="Q126" i="46"/>
  <c r="Q35" i="46"/>
  <c r="Q36" i="46" s="1"/>
  <c r="Q10" i="46"/>
  <c r="Q27" i="46" s="1"/>
  <c r="Q15" i="46"/>
  <c r="Q85" i="46"/>
  <c r="I15" i="46"/>
  <c r="I85" i="46"/>
  <c r="H49" i="47" s="1"/>
  <c r="I21" i="46"/>
  <c r="I135" i="46"/>
  <c r="H62" i="47" s="1"/>
  <c r="Q78" i="46"/>
  <c r="Q14" i="46"/>
  <c r="Q135" i="46"/>
  <c r="Q21" i="46"/>
  <c r="I78" i="46"/>
  <c r="H48" i="47" s="1"/>
  <c r="I14" i="46"/>
  <c r="I11" i="46"/>
  <c r="I43" i="46"/>
  <c r="H41" i="47" s="1"/>
  <c r="I11" i="56"/>
  <c r="I43" i="56"/>
  <c r="Q137" i="56"/>
  <c r="Q21" i="56"/>
  <c r="I137" i="56"/>
  <c r="I21" i="56"/>
  <c r="Q25" i="46"/>
  <c r="I10" i="56"/>
  <c r="I36" i="56"/>
  <c r="I20" i="46"/>
  <c r="I126" i="46"/>
  <c r="H56" i="47" s="1"/>
  <c r="M23" i="46"/>
  <c r="P168" i="46"/>
  <c r="Q22" i="46"/>
  <c r="F25" i="56"/>
  <c r="F170" i="56"/>
  <c r="F14" i="46"/>
  <c r="F78" i="46"/>
  <c r="E48" i="47" s="1"/>
  <c r="F36" i="56"/>
  <c r="F10" i="56"/>
  <c r="F135" i="46"/>
  <c r="E62" i="47" s="1"/>
  <c r="F21" i="46"/>
  <c r="N14" i="46"/>
  <c r="N78" i="46"/>
  <c r="F126" i="46"/>
  <c r="E56" i="47" s="1"/>
  <c r="F20" i="46"/>
  <c r="N10" i="46"/>
  <c r="N27" i="46" s="1"/>
  <c r="N35" i="46"/>
  <c r="N36" i="46" s="1"/>
  <c r="N25" i="46"/>
  <c r="F43" i="56"/>
  <c r="F11" i="56"/>
  <c r="N20" i="46"/>
  <c r="N126" i="46"/>
  <c r="N176" i="46"/>
  <c r="N26" i="46"/>
  <c r="N71" i="46"/>
  <c r="N13" i="46"/>
  <c r="N21" i="46"/>
  <c r="N135" i="46"/>
  <c r="F71" i="46"/>
  <c r="E47" i="47" s="1"/>
  <c r="F13" i="46"/>
  <c r="F43" i="46"/>
  <c r="E41" i="47" s="1"/>
  <c r="F11" i="46"/>
  <c r="N15" i="46"/>
  <c r="N85" i="46"/>
  <c r="N21" i="56"/>
  <c r="N137" i="56"/>
  <c r="N35" i="56"/>
  <c r="N36" i="56" s="1"/>
  <c r="N10" i="56"/>
  <c r="N27" i="56" s="1"/>
  <c r="E26" i="47" s="1"/>
  <c r="F15" i="46"/>
  <c r="F85" i="46"/>
  <c r="E49" i="47" s="1"/>
  <c r="F25" i="46"/>
  <c r="F168" i="46"/>
  <c r="E68" i="47" s="1"/>
  <c r="F137" i="56"/>
  <c r="F21" i="56"/>
  <c r="P35" i="46"/>
  <c r="P36" i="46" s="1"/>
  <c r="P10" i="46"/>
  <c r="P27" i="46" s="1"/>
  <c r="H15" i="46"/>
  <c r="H85" i="46"/>
  <c r="G49" i="47" s="1"/>
  <c r="G78" i="46"/>
  <c r="F48" i="47" s="1"/>
  <c r="G14" i="46"/>
  <c r="P85" i="46"/>
  <c r="P15" i="46"/>
  <c r="G36" i="56"/>
  <c r="G10" i="56"/>
  <c r="O78" i="46"/>
  <c r="O14" i="46"/>
  <c r="H168" i="46"/>
  <c r="G68" i="47" s="1"/>
  <c r="H25" i="46"/>
  <c r="H11" i="56"/>
  <c r="H43" i="56"/>
  <c r="G13" i="46"/>
  <c r="G71" i="46"/>
  <c r="F47" i="47" s="1"/>
  <c r="O137" i="56"/>
  <c r="O21" i="56"/>
  <c r="G135" i="46"/>
  <c r="F62" i="47" s="1"/>
  <c r="G21" i="46"/>
  <c r="G43" i="46"/>
  <c r="F41" i="47" s="1"/>
  <c r="G11" i="46"/>
  <c r="G11" i="56"/>
  <c r="G43" i="56"/>
  <c r="P20" i="46"/>
  <c r="P126" i="46"/>
  <c r="G126" i="46"/>
  <c r="F56" i="47" s="1"/>
  <c r="G20" i="46"/>
  <c r="O13" i="46"/>
  <c r="O71" i="46"/>
  <c r="G21" i="56"/>
  <c r="G137" i="56"/>
  <c r="H43" i="46"/>
  <c r="G41" i="47" s="1"/>
  <c r="H11" i="46"/>
  <c r="O135" i="46"/>
  <c r="O21" i="46"/>
  <c r="P152" i="46"/>
  <c r="P23" i="46"/>
  <c r="H126" i="46"/>
  <c r="G56" i="47" s="1"/>
  <c r="H20" i="46"/>
  <c r="O20" i="46"/>
  <c r="O126" i="46"/>
  <c r="P35" i="56"/>
  <c r="P36" i="56" s="1"/>
  <c r="P10" i="56"/>
  <c r="P27" i="56" s="1"/>
  <c r="G26" i="47" s="1"/>
  <c r="G168" i="46"/>
  <c r="F68" i="47" s="1"/>
  <c r="G25" i="46"/>
  <c r="G25" i="56"/>
  <c r="G170" i="56"/>
  <c r="H21" i="46"/>
  <c r="H135" i="46"/>
  <c r="G62" i="47" s="1"/>
  <c r="H10" i="56"/>
  <c r="H36" i="56"/>
  <c r="P13" i="46"/>
  <c r="P71" i="46"/>
  <c r="Q23" i="46"/>
  <c r="Q152" i="46"/>
  <c r="P21" i="46"/>
  <c r="P135" i="46"/>
  <c r="H25" i="56"/>
  <c r="H170" i="56"/>
  <c r="O10" i="46"/>
  <c r="O27" i="46" s="1"/>
  <c r="O35" i="46"/>
  <c r="O36" i="46" s="1"/>
  <c r="G85" i="46"/>
  <c r="F49" i="47" s="1"/>
  <c r="G15" i="46"/>
  <c r="H137" i="56"/>
  <c r="H21" i="56"/>
  <c r="P78" i="46"/>
  <c r="P14" i="46"/>
  <c r="O168" i="46"/>
  <c r="O25" i="46"/>
  <c r="H13" i="46"/>
  <c r="H71" i="46"/>
  <c r="G47" i="47" s="1"/>
  <c r="O85" i="46"/>
  <c r="O15" i="46"/>
  <c r="P137" i="56"/>
  <c r="P21" i="56"/>
  <c r="H78" i="46"/>
  <c r="G48" i="47" s="1"/>
  <c r="H14" i="46"/>
  <c r="O35" i="56"/>
  <c r="O36" i="56" s="1"/>
  <c r="O10" i="56"/>
  <c r="O27" i="56" s="1"/>
  <c r="F26" i="47" s="1"/>
  <c r="D10" i="46"/>
  <c r="F36" i="46"/>
  <c r="E40" i="47" s="1"/>
  <c r="I10" i="46"/>
  <c r="I36" i="46"/>
  <c r="H40" i="47" s="1"/>
  <c r="H10" i="46"/>
  <c r="E10" i="46"/>
  <c r="E36" i="46"/>
  <c r="D40" i="47" s="1"/>
  <c r="H36" i="46"/>
  <c r="G40" i="47" s="1"/>
  <c r="G10" i="46"/>
  <c r="G36" i="46"/>
  <c r="F40" i="47" s="1"/>
  <c r="F10" i="46"/>
  <c r="D19" i="47" l="1"/>
  <c r="D18" i="47"/>
  <c r="D32" i="47"/>
  <c r="D34" i="47" s="1"/>
  <c r="F26" i="46"/>
  <c r="D33" i="47"/>
  <c r="I174" i="46"/>
  <c r="H176" i="56"/>
  <c r="P176" i="56" s="1"/>
  <c r="P174" i="46"/>
  <c r="N175" i="56"/>
  <c r="N177" i="56" s="1"/>
  <c r="F177" i="56"/>
  <c r="E26" i="56"/>
  <c r="H173" i="46"/>
  <c r="G175" i="56"/>
  <c r="O173" i="46"/>
  <c r="O175" i="46" s="1"/>
  <c r="G175" i="46"/>
  <c r="H27" i="47"/>
  <c r="H32" i="47"/>
  <c r="H33" i="47" s="1"/>
  <c r="E32" i="47"/>
  <c r="E27" i="47"/>
  <c r="E28" i="47"/>
  <c r="F32" i="47"/>
  <c r="F28" i="47"/>
  <c r="F27" i="47"/>
  <c r="G32" i="47"/>
  <c r="H28" i="47"/>
  <c r="G28" i="47"/>
  <c r="G27" i="47"/>
  <c r="I173" i="46" l="1"/>
  <c r="H175" i="56"/>
  <c r="P173" i="46"/>
  <c r="P175" i="46" s="1"/>
  <c r="H175" i="46"/>
  <c r="N26" i="56"/>
  <c r="N178" i="56"/>
  <c r="O175" i="56"/>
  <c r="O177" i="56" s="1"/>
  <c r="G177" i="56"/>
  <c r="F26" i="56"/>
  <c r="F178" i="56"/>
  <c r="G176" i="46"/>
  <c r="F71" i="47" s="1"/>
  <c r="G26" i="46"/>
  <c r="O26" i="46"/>
  <c r="O176" i="46"/>
  <c r="I176" i="56"/>
  <c r="Q176" i="56" s="1"/>
  <c r="Q174" i="46"/>
  <c r="E33" i="47"/>
  <c r="E34" i="47"/>
  <c r="F34" i="47"/>
  <c r="F33" i="47"/>
  <c r="G33" i="47"/>
  <c r="H34" i="47"/>
  <c r="G34" i="47"/>
  <c r="O178" i="56" l="1"/>
  <c r="O26" i="56"/>
  <c r="G26" i="56"/>
  <c r="G178" i="56"/>
  <c r="H26" i="46"/>
  <c r="H176" i="46"/>
  <c r="G71" i="47" s="1"/>
  <c r="P176" i="46"/>
  <c r="P26" i="46"/>
  <c r="P175" i="56"/>
  <c r="P177" i="56" s="1"/>
  <c r="H177" i="56"/>
  <c r="I175" i="56"/>
  <c r="Q173" i="46"/>
  <c r="Q175" i="46" s="1"/>
  <c r="I175" i="46"/>
  <c r="I26" i="46" l="1"/>
  <c r="I176" i="46"/>
  <c r="H71" i="47" s="1"/>
  <c r="Q175" i="56"/>
  <c r="Q177" i="56" s="1"/>
  <c r="I177" i="56"/>
  <c r="Q26" i="46"/>
  <c r="Q176" i="46"/>
  <c r="H178" i="56"/>
  <c r="H26" i="56"/>
  <c r="P178" i="56"/>
  <c r="P26" i="56"/>
  <c r="I26" i="56" l="1"/>
  <c r="I178" i="56"/>
  <c r="Q26" i="56"/>
  <c r="Q178"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sharedStrings.xml><?xml version="1.0" encoding="utf-8"?>
<sst xmlns="http://schemas.openxmlformats.org/spreadsheetml/2006/main" count="2533" uniqueCount="1102">
  <si>
    <t>Putting NICE guidance into practice</t>
  </si>
  <si>
    <t>Resource impact template:</t>
  </si>
  <si>
    <t xml:space="preserve">Tafamidis for treating transthyretin amyloidosis </t>
  </si>
  <si>
    <t>with cardiomyopathy (TA984)</t>
  </si>
  <si>
    <t>Published: June 2024</t>
  </si>
  <si>
    <t>Specialty area</t>
  </si>
  <si>
    <t>Cardiology</t>
  </si>
  <si>
    <t>Disease area</t>
  </si>
  <si>
    <t>Cardiomyopathy</t>
  </si>
  <si>
    <t>Pathway position</t>
  </si>
  <si>
    <t>First line</t>
  </si>
  <si>
    <t>Administration method</t>
  </si>
  <si>
    <t>Oral</t>
  </si>
  <si>
    <t>Provider</t>
  </si>
  <si>
    <t xml:space="preserve">Secondary care </t>
  </si>
  <si>
    <t>Commissioner</t>
  </si>
  <si>
    <t>NHS England</t>
  </si>
  <si>
    <t>Programme budget category</t>
  </si>
  <si>
    <t>PBC 10X</t>
  </si>
  <si>
    <t>Implementation period</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</si>
  <si>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</si>
  <si>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</si>
  <si>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</si>
  <si>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</si>
  <si>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</si>
  <si>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</si>
  <si>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</si>
  <si>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</si>
  <si>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</si>
  <si>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</si>
  <si>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</si>
  <si>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</si>
  <si>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</si>
  <si>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</si>
  <si>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</si>
  <si>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</si>
  <si>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</si>
  <si>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</si>
  <si>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</si>
  <si>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</si>
  <si>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</si>
  <si>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</si>
  <si>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</si>
  <si>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</si>
  <si>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</si>
  <si>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</si>
  <si>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</si>
  <si>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</si>
  <si>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</si>
  <si>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</si>
  <si>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</si>
  <si>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</si>
  <si>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</si>
  <si>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</si>
  <si>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</si>
  <si>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</si>
  <si>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</si>
  <si>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</si>
  <si>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</si>
  <si>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</si>
  <si>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</si>
  <si>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</si>
  <si>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</si>
  <si>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</si>
  <si>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</si>
  <si>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</si>
  <si>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</si>
  <si>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</si>
  <si>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</si>
  <si>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</si>
  <si>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</si>
  <si>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</si>
  <si>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</si>
  <si>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</si>
  <si>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</si>
  <si>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</si>
  <si>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</si>
  <si>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</si>
  <si>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</si>
  <si>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</si>
  <si>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</si>
  <si>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</si>
  <si>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</si>
  <si>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</si>
  <si>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</si>
  <si>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</si>
  <si>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</si>
  <si>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</si>
  <si>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</si>
  <si>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</si>
  <si>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</si>
  <si>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</si>
  <si>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</si>
  <si>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</si>
  <si>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</si>
  <si>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</si>
  <si>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</si>
  <si>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</si>
  <si>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</si>
  <si>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</si>
  <si>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</si>
  <si>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</si>
  <si>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</si>
  <si>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</si>
  <si>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</si>
  <si>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</si>
  <si>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</si>
  <si>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</si>
  <si>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</si>
  <si>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</si>
  <si>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</si>
  <si>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</si>
  <si>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</si>
  <si>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</si>
  <si>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</si>
  <si>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</si>
  <si>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</si>
  <si>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</si>
  <si>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</si>
  <si>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</si>
  <si>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</si>
  <si>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</si>
  <si>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</si>
  <si>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</si>
  <si>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</si>
  <si>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</si>
  <si>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</si>
  <si>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</si>
  <si>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</si>
  <si>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</si>
  <si>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</si>
  <si>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</si>
  <si>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</si>
  <si>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</si>
  <si>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</si>
  <si>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</si>
  <si>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</si>
  <si>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</si>
  <si>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</si>
  <si>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</si>
  <si>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</si>
  <si>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</si>
  <si>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</si>
  <si>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</si>
  <si>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</si>
  <si>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</si>
  <si>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</si>
  <si>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</si>
  <si>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</si>
  <si>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</si>
  <si>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</si>
  <si>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</si>
  <si>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</si>
  <si>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</si>
  <si>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</si>
  <si>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</si>
  <si>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</si>
  <si>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</si>
  <si>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</si>
  <si>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</si>
  <si>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</si>
  <si>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</si>
  <si>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</si>
  <si>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</si>
  <si>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</si>
  <si>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</si>
  <si>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</si>
  <si>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</si>
  <si>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</si>
  <si>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</si>
  <si>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</si>
  <si>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</si>
  <si>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</si>
  <si>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</si>
  <si>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</si>
  <si>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</si>
  <si>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</si>
  <si>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</si>
  <si>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</si>
  <si>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</si>
  <si>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</si>
  <si>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</si>
  <si>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</si>
  <si>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</si>
  <si>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</si>
  <si>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</si>
  <si>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</si>
  <si>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</si>
  <si>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</si>
  <si>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</si>
  <si>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</si>
  <si>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</si>
  <si>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</si>
  <si>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</si>
  <si>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</si>
  <si>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</si>
  <si>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</si>
  <si>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</si>
  <si>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</si>
  <si>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</si>
  <si>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</si>
  <si>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</si>
  <si>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</si>
  <si>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</si>
  <si>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</si>
  <si>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</si>
  <si>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</si>
  <si>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</si>
  <si>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</si>
  <si>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</si>
  <si>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</si>
  <si>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</si>
  <si>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</si>
  <si>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</si>
  <si>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</si>
  <si>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</si>
  <si>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</si>
  <si>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</si>
  <si>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</si>
  <si>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</si>
  <si>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</si>
  <si>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</si>
  <si>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</si>
  <si>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</si>
  <si>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</si>
  <si>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</si>
  <si>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</si>
  <si>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</si>
  <si>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</si>
  <si>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</si>
  <si>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</si>
  <si>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</si>
  <si>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</si>
  <si>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</si>
  <si>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</si>
  <si>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</si>
  <si>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</si>
  <si>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</si>
  <si>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</si>
  <si>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</si>
  <si>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</si>
  <si>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</si>
  <si>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</si>
  <si>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</si>
  <si>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</si>
  <si>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</si>
  <si>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</si>
  <si>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</si>
  <si>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</si>
  <si>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</si>
  <si>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</si>
  <si>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</si>
  <si>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</si>
  <si>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</si>
  <si>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</si>
  <si>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</si>
  <si>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</si>
  <si>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</si>
  <si>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</si>
  <si>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</si>
  <si>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</si>
  <si>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</si>
  <si>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</si>
  <si>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</si>
  <si>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</si>
  <si>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</si>
  <si>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</si>
  <si>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</si>
  <si>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</si>
  <si>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</si>
  <si>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</si>
  <si>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</si>
  <si>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</si>
  <si>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</si>
  <si>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</si>
  <si>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</si>
  <si>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</si>
  <si>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</si>
  <si>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</si>
  <si>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</si>
  <si>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</si>
  <si>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</si>
  <si>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</si>
  <si>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</si>
  <si>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</si>
  <si>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</si>
  <si>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</si>
  <si>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</si>
  <si>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</si>
  <si>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</si>
  <si>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</si>
  <si>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</si>
  <si>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</si>
  <si>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</si>
  <si>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</si>
  <si>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</si>
  <si>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</si>
  <si>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</si>
  <si>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</si>
  <si>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</si>
  <si>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</si>
  <si>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</si>
  <si>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</si>
  <si>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</si>
  <si>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</si>
  <si>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</si>
  <si>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</si>
  <si>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</si>
  <si>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</si>
  <si>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</si>
  <si>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</si>
  <si>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</si>
  <si>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</si>
  <si>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</si>
  <si>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</si>
  <si>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</si>
  <si>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</si>
  <si>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</si>
  <si>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</si>
  <si>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</si>
  <si>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</si>
  <si>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</si>
  <si>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</si>
  <si>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</si>
  <si>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</si>
  <si>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</si>
  <si>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</si>
  <si>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</si>
  <si>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</si>
  <si>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</si>
  <si>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</si>
  <si>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</si>
  <si>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</si>
  <si>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</si>
  <si>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</si>
  <si>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</si>
  <si>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</si>
  <si>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</si>
  <si>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</si>
  <si>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</si>
  <si>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</si>
  <si>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</si>
  <si>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</si>
  <si>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</si>
  <si>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</si>
  <si>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</si>
  <si>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</si>
  <si>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</si>
  <si>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</si>
  <si>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</si>
  <si>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</si>
  <si>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</si>
  <si>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</si>
  <si>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</si>
  <si>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</si>
  <si>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</si>
  <si>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</si>
  <si>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</si>
  <si>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</si>
  <si>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</si>
  <si>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</si>
  <si>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</si>
  <si>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</si>
  <si>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</si>
  <si>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</si>
  <si>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</si>
  <si>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</si>
  <si>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</si>
  <si>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</si>
  <si>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</si>
  <si>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</si>
  <si>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</si>
  <si>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</si>
  <si>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</si>
  <si>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</si>
  <si>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</si>
  <si>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</si>
  <si>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</si>
  <si>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</si>
  <si>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</si>
  <si>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</si>
  <si>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</si>
  <si>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</si>
  <si>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</si>
  <si>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</si>
  <si>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</si>
  <si>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</si>
  <si>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</si>
  <si>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</si>
  <si>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</si>
  <si>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</si>
  <si>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</si>
  <si>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</si>
  <si>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</si>
  <si>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</si>
  <si>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</si>
  <si>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</si>
  <si>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</si>
  <si>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</si>
  <si>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</si>
  <si>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</si>
  <si>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</si>
  <si>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</si>
  <si>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</si>
  <si>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</si>
  <si>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</si>
  <si>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</si>
  <si>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</si>
  <si>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</si>
  <si>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</si>
  <si>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</si>
  <si>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</si>
  <si>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</si>
  <si>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</si>
  <si>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</si>
  <si>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</si>
  <si>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</si>
  <si>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</si>
  <si>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</si>
  <si>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</si>
  <si>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</si>
  <si>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</si>
  <si>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</si>
  <si>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</si>
  <si>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</si>
  <si>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</si>
  <si>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</si>
  <si>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</si>
  <si>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</si>
  <si>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</si>
  <si>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</si>
  <si>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</si>
  <si>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</si>
  <si>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</si>
  <si>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</si>
  <si>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</si>
  <si>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</si>
  <si>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</si>
  <si>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</si>
  <si>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</si>
  <si>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</si>
  <si>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</si>
  <si>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</si>
  <si>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</si>
  <si>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</si>
  <si>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</si>
  <si>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</si>
  <si>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</si>
  <si>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</si>
  <si>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</si>
  <si>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</si>
  <si>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</si>
  <si>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</si>
  <si>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</si>
  <si>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</si>
  <si>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</si>
  <si>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</si>
  <si>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</si>
  <si>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</si>
  <si>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</si>
  <si>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</si>
  <si>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</si>
  <si>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</si>
  <si>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</si>
  <si>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</si>
  <si>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</si>
  <si>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</si>
  <si>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</si>
  <si>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</si>
  <si>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</si>
  <si>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</si>
  <si>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</si>
  <si>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</si>
  <si>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</si>
  <si>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</si>
  <si>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</si>
  <si>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</si>
  <si>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</si>
  <si>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</si>
  <si>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</si>
  <si>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</si>
  <si>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</si>
  <si>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</si>
  <si>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</si>
  <si>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</si>
  <si>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</si>
  <si>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</si>
  <si>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</si>
  <si>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</si>
  <si>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</si>
  <si>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</si>
  <si>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</si>
  <si>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</si>
  <si>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</si>
  <si>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</si>
  <si>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</si>
  <si>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</si>
  <si>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</si>
  <si>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</si>
  <si>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</si>
  <si>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</si>
  <si>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</si>
  <si>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</si>
  <si>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</si>
  <si>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</si>
  <si>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</si>
  <si>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</si>
  <si>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</si>
  <si>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</si>
  <si>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</si>
  <si>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</si>
  <si>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</si>
  <si>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</si>
  <si>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</si>
  <si>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</si>
  <si>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</si>
  <si>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</si>
  <si>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</si>
  <si>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</si>
  <si>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</si>
  <si>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</si>
  <si>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</si>
  <si>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</si>
  <si>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</si>
  <si>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</si>
  <si>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</si>
  <si>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</si>
  <si>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</si>
  <si>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</si>
  <si>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</si>
  <si>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</si>
  <si>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</si>
  <si>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</si>
  <si>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</si>
  <si>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</si>
  <si>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</si>
  <si>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</si>
  <si>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</si>
  <si>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</si>
  <si>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</si>
  <si>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</si>
  <si>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</si>
  <si>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</si>
  <si>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</si>
  <si>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</si>
  <si>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</si>
  <si>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</si>
  <si>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</si>
  <si>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</si>
  <si>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</si>
  <si>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</si>
  <si>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</si>
  <si>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</si>
  <si>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</si>
  <si>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</si>
  <si>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</si>
  <si>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</si>
  <si>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</si>
  <si>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</si>
  <si>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</si>
  <si>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</si>
  <si>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</si>
  <si>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</si>
  <si>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</si>
  <si>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</si>
  <si>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</si>
  <si>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</si>
  <si>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</si>
  <si>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</si>
  <si>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</si>
  <si>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</si>
  <si>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</si>
  <si>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</si>
  <si>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</si>
  <si>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</si>
  <si>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</si>
  <si>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</si>
  <si>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</si>
  <si>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</si>
  <si>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</si>
  <si>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</si>
  <si>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</si>
  <si>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</si>
  <si>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</si>
  <si>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</si>
  <si>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</si>
  <si>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</si>
  <si>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</si>
  <si>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</si>
  <si>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</si>
  <si>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</si>
  <si>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</si>
  <si>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</si>
  <si>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</si>
  <si>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</si>
  <si>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</si>
  <si>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</si>
  <si>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</si>
  <si>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</si>
  <si>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</si>
  <si>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</si>
  <si>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</si>
  <si>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</si>
  <si>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</si>
  <si>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</si>
  <si>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</si>
  <si>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</si>
  <si>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</si>
  <si>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</si>
  <si>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</si>
  <si>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</si>
  <si>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</si>
  <si>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</si>
  <si>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</si>
  <si>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</si>
  <si>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</si>
  <si>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</si>
  <si>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</si>
  <si>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</si>
  <si>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</si>
  <si>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</si>
  <si>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</si>
  <si>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</si>
  <si>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</si>
  <si>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</si>
  <si>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</si>
  <si>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</si>
  <si>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</si>
  <si>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</si>
  <si>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</si>
  <si>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</si>
  <si>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</si>
  <si>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</si>
  <si>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</si>
  <si>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</si>
  <si>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</si>
  <si>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</si>
  <si>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</si>
  <si>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</si>
  <si>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</si>
  <si>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</si>
  <si>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</si>
  <si>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</si>
  <si>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</si>
  <si>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</si>
  <si>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</si>
  <si>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</si>
  <si>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</si>
  <si>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</si>
  <si>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</si>
  <si>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</si>
  <si>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</si>
  <si>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</si>
  <si>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</si>
  <si>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</si>
  <si>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</si>
  <si>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</si>
  <si>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</si>
  <si>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</si>
  <si>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</si>
  <si>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</si>
  <si>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</si>
  <si>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</si>
  <si>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</si>
  <si>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</si>
  <si>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</si>
  <si>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Tafamidis for treating transthyretin amyloidosis with cardiomyopathy</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</si>
  <si>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</si>
  <si>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</si>
  <si>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</si>
  <si>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</si>
  <si>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</si>
  <si>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</si>
  <si>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</si>
  <si>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Population specific growth rate</t>
  </si>
  <si>
    <t>Population above inflated to estimated 2024 value, current year</t>
  </si>
  <si>
    <t>Do you want to use the NICE estimate of your population?</t>
  </si>
  <si>
    <t>Population % growth per year</t>
  </si>
  <si>
    <t>Disease rate % change per year</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</si>
  <si>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</si>
  <si>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</si>
  <si>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</si>
  <si>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</si>
  <si>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</si>
  <si>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</si>
  <si>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year 5</t>
    </r>
  </si>
  <si>
    <t xml:space="preserve">Prevalence of ATTR-CM </t>
  </si>
  <si>
    <t>Local input</t>
  </si>
  <si>
    <t>Less proportion who are NHYA stage IV</t>
  </si>
  <si>
    <t>NHS England clinical expert opinion - TA696</t>
  </si>
  <si>
    <t>Eligible population of ATTR-CM - prevalent</t>
  </si>
  <si>
    <t>Eligible population of ATTR-CM - incident</t>
  </si>
  <si>
    <t xml:space="preserve">Total 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</si>
  <si>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</si>
  <si>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</si>
  <si>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</si>
  <si>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</si>
  <si>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</si>
  <si>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</si>
  <si>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</si>
  <si>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</si>
  <si>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</si>
  <si>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 xml:space="preserve">Prevalent population of ATTR-CM </t>
  </si>
  <si>
    <t xml:space="preserve">Incident population of ATTR-CM </t>
  </si>
  <si>
    <t>Annual number of discontinuations</t>
  </si>
  <si>
    <t>Local input discontinuation rate</t>
  </si>
  <si>
    <t>Drug</t>
  </si>
  <si>
    <t>Strength, container type, quantity</t>
  </si>
  <si>
    <t>Price</t>
  </si>
  <si>
    <t>VAT rate applicable</t>
  </si>
  <si>
    <t>Source</t>
  </si>
  <si>
    <t>Tafamidis</t>
  </si>
  <si>
    <t>61mg soft capsule x 30 pack</t>
  </si>
  <si>
    <t>Market Shares</t>
  </si>
  <si>
    <t>In a world with the new options</t>
  </si>
  <si>
    <t>Current, year 0</t>
  </si>
  <si>
    <t>year 1</t>
  </si>
  <si>
    <t>year 2</t>
  </si>
  <si>
    <t>year 3</t>
  </si>
  <si>
    <t>year 4</t>
  </si>
  <si>
    <t>year 5</t>
  </si>
  <si>
    <t>People receiving tafamidis</t>
  </si>
  <si>
    <t>People receiving tafamidis via EAMS</t>
  </si>
  <si>
    <t>People receiving best supportive care</t>
  </si>
  <si>
    <t>Market share estimates are as per NHS England estimate</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</si>
  <si>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</si>
  <si>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</si>
  <si>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</si>
  <si>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</si>
  <si>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</si>
  <si>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</si>
  <si>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Best supportive care</t>
  </si>
  <si>
    <t>Staff grade</t>
  </si>
  <si>
    <t>Hourly cost</t>
  </si>
  <si>
    <t>Specialty appointments</t>
  </si>
  <si>
    <t>Number of first attendances</t>
  </si>
  <si>
    <t>per patient per visit</t>
  </si>
  <si>
    <t>Time per first attendance</t>
  </si>
  <si>
    <t>Staff time per appointment (minutes)</t>
  </si>
  <si>
    <t>Consultant mid</t>
  </si>
  <si>
    <t>Number of follow up attendances</t>
  </si>
  <si>
    <t>Time per follow up attendance</t>
  </si>
  <si>
    <t>nursing</t>
  </si>
  <si>
    <t>Duration of administration (minutes)</t>
  </si>
  <si>
    <t>Band 7 Mid</t>
  </si>
  <si>
    <t>Preparation time before administration
(mins)</t>
  </si>
  <si>
    <t>Post administration nursing time (mins)</t>
  </si>
  <si>
    <t>pharmacy</t>
  </si>
  <si>
    <t>In-house number of aseptic unit preparations</t>
  </si>
  <si>
    <t>Bought-in number of aseptic unit preparations</t>
  </si>
  <si>
    <t>handling time per prep</t>
  </si>
  <si>
    <t>Drug regimen prep (mins)</t>
  </si>
  <si>
    <t>Band 8a Mid</t>
  </si>
  <si>
    <t>Specialty x</t>
  </si>
  <si>
    <t>Appointments with x specialty</t>
  </si>
  <si>
    <t>per patient/yr.</t>
  </si>
  <si>
    <t>pathology / diagnostics / radiology</t>
  </si>
  <si>
    <t>Staff time per test (minutes)</t>
  </si>
  <si>
    <t>Band 6 Mid</t>
  </si>
  <si>
    <t>per patient</t>
  </si>
  <si>
    <t xml:space="preserve">Number of bed days per hospitalisation </t>
  </si>
  <si>
    <t>Adverse events, various (rate of cases)</t>
  </si>
  <si>
    <t>Notes</t>
  </si>
  <si>
    <t>Population data notes</t>
  </si>
  <si>
    <t>The population data are based on:</t>
  </si>
  <si>
    <t>-Population Estimates, England and Wales: mid-2022</t>
  </si>
  <si>
    <t>https://www.ons.gov.uk/peoplepopulationandcommunity/populationandmigration/populationestimates</t>
  </si>
  <si>
    <t>-2022 Mid-Year Population Estimates for Northern Ireland</t>
  </si>
  <si>
    <t>https://www.nisra.gov.uk/statistics/population/mid-year-population-estimates</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</si>
  <si>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</si>
  <si>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</si>
  <si>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</si>
  <si>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-National population projections: 2021-based interim for England and Wales.  Northern Ireland assumes the same data.</t>
  </si>
  <si>
    <t>https://www.ons.gov.uk/peoplepopulationandcommunity/populationandmigration/populationprojections/bulletins/nationalpopulationprojections/2021basedinterim</t>
  </si>
  <si>
    <t xml:space="preserve">These data use mid-year population estimate for mid-2021 as the start point of the projection.  </t>
  </si>
  <si>
    <t>The projected 2022-23 figure is adjusted by NICE to reconcile to Mid-Year Population Estimates, England and Wales, June 2022.  Thereafter projection rates are used</t>
  </si>
  <si>
    <t>so that mid year population estimates in the NICE template reconcile with the population estimates in the National population projections: 2021-based interim national population projections (England and Wales).</t>
  </si>
  <si>
    <t>-</t>
  </si>
  <si>
    <t>Review the data in each blue cell below.  Enter a local value or leave NICE standard assumptions.</t>
  </si>
  <si>
    <t>Drug cost workings</t>
  </si>
  <si>
    <t>Regimen</t>
  </si>
  <si>
    <t>Drug name</t>
  </si>
  <si>
    <t>Admin method</t>
  </si>
  <si>
    <t>Pack type</t>
  </si>
  <si>
    <t>Strength (mg)</t>
  </si>
  <si>
    <t>Quantity</t>
  </si>
  <si>
    <t>Total contents (mg)</t>
  </si>
  <si>
    <t>Dose per admin (mg)</t>
  </si>
  <si>
    <t>Cycles</t>
  </si>
  <si>
    <t xml:space="preserve">Cost </t>
  </si>
  <si>
    <t>VAT rate</t>
  </si>
  <si>
    <t>Annual cost</t>
  </si>
  <si>
    <t>61mg tablet daily</t>
  </si>
  <si>
    <t>oral</t>
  </si>
  <si>
    <t>soft capsule</t>
  </si>
  <si>
    <t>n/a</t>
  </si>
  <si>
    <t>All components</t>
  </si>
  <si>
    <t>https://www.england.nhs.uk/pay-syst/national-tariff/national-tariff-payment-system/#National-Tariff-Payment-System</t>
  </si>
  <si>
    <t>Administration costs</t>
  </si>
  <si>
    <t>Treatment option</t>
  </si>
  <si>
    <t>Number of cycles</t>
  </si>
  <si>
    <t>Unit cost</t>
  </si>
  <si>
    <t>Total cost</t>
  </si>
  <si>
    <t>Homecare administrative costs for dispensing pharmacy</t>
  </si>
  <si>
    <t>Homecare delivery service; new NHS commissioned service</t>
  </si>
  <si>
    <t>Total annual administration costs</t>
  </si>
  <si>
    <t>An assumed pharmacy overhead cost of managing a homecare drug is charged at £50/m (incurred monthly, NOT per prescription)</t>
  </si>
  <si>
    <t xml:space="preserve">NHS England advise that the company will not provide delivery of purchased drugs.  An NHS service needs to be commissioned.  NHSE advises that the estimated cost per person per year is £400.  </t>
  </si>
  <si>
    <t>Appointments with specialist</t>
  </si>
  <si>
    <t>HRG code</t>
  </si>
  <si>
    <t>HRG description</t>
  </si>
  <si>
    <t>Tariff</t>
  </si>
  <si>
    <t>First attendance</t>
  </si>
  <si>
    <t>WF01B</t>
  </si>
  <si>
    <t>WF01B Cardiology Consultant Led; Non-Admitted Face-to-Face Attendance, First, Service code 32062</t>
  </si>
  <si>
    <t>Follow up attendance</t>
  </si>
  <si>
    <t>WF01A</t>
  </si>
  <si>
    <t>WF01A Cardiology Consultant Led; Non-Admitted Face-to-Face Attendance, follow up</t>
  </si>
  <si>
    <t>Based on 2023/25 National Tariff Payment System -  24/25 prices</t>
  </si>
  <si>
    <t>Best supportive care is a range of medications including diuretics, anticoagulants, antiplatelet agents, lipid lowering therapy, ACEi/RAASi and beta blockers.</t>
  </si>
  <si>
    <t>The typical cost of these is treated as immaterial and are used in similar proportion for people receiving tafamidis in the model so a £nil cost is included however this is locally amendable</t>
  </si>
  <si>
    <t>Hospitalisation costs</t>
  </si>
  <si>
    <t>Hospitalisation rate (%)</t>
  </si>
  <si>
    <t>Number of bed days</t>
  </si>
  <si>
    <t>Unit cost per bed day</t>
  </si>
  <si>
    <t>Estimated number of administrations</t>
  </si>
  <si>
    <t>Eligible population and uptake</t>
  </si>
  <si>
    <t>Current practice</t>
  </si>
  <si>
    <t>Future practice -year 3</t>
  </si>
  <si>
    <t>Future practice - year 4</t>
  </si>
  <si>
    <t>Future practice - year 5</t>
  </si>
  <si>
    <t>Eligible population</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</si>
  <si>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</si>
  <si>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</si>
  <si>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</si>
  <si>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</si>
  <si>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</si>
  <si>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</si>
  <si>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</si>
  <si>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</si>
  <si>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</si>
  <si>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</si>
  <si>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Homecare pharmacy administration &amp; delivery capacity impact</t>
  </si>
  <si>
    <t>Total resource impact</t>
  </si>
  <si>
    <t>Cash items and financial impact of capacity items</t>
  </si>
  <si>
    <t>Capacity impact, activity</t>
  </si>
  <si>
    <t>Capacity impact on activity</t>
  </si>
  <si>
    <t>First attendances</t>
  </si>
  <si>
    <t>Follow up attendances</t>
  </si>
  <si>
    <t>Administrations - change in volume of oral prescriptions</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</si>
  <si>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</si>
  <si>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</si>
  <si>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</si>
  <si>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</si>
  <si>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</si>
  <si>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</si>
  <si>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</si>
  <si>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</si>
  <si>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</si>
  <si>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</si>
  <si>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</si>
  <si>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</si>
  <si>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Capacity impact on oncology medical staffing</t>
  </si>
  <si>
    <t>Appointments with specialist - change</t>
  </si>
  <si>
    <t>Capacity impact on x service</t>
  </si>
  <si>
    <t>Appointments with x specialty - change</t>
  </si>
  <si>
    <t>Capacity impact on pathology/ radiology /diagnostics</t>
  </si>
  <si>
    <t>Capacity impact due to adverse events</t>
  </si>
  <si>
    <t>Adverse events, various (cases) - change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</si>
  <si>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</si>
  <si>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</si>
  <si>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</si>
  <si>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</si>
  <si>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Drugs - people receiving treatment options</t>
  </si>
  <si>
    <t>People discontinuing tafamidis</t>
  </si>
  <si>
    <t>Drugs - resource impact</t>
  </si>
  <si>
    <t>Unit Cost</t>
  </si>
  <si>
    <t>People discontinuing tafamidis - half year cost</t>
  </si>
  <si>
    <t>Drug resource impact (cash)</t>
  </si>
  <si>
    <t>Drug resource impact (cash) year on year</t>
  </si>
  <si>
    <t>Notes:</t>
  </si>
  <si>
    <t>Capacity impact (local prices)</t>
  </si>
  <si>
    <t>This sheet shows the capacity impact of the guidance.</t>
  </si>
  <si>
    <t>Summary table</t>
  </si>
  <si>
    <t>Each item of capacity is modelled in an individual table below to give an overall estimate of resource impact</t>
  </si>
  <si>
    <t>First attendances - hours and cost</t>
  </si>
  <si>
    <t>Number per patient per year</t>
  </si>
  <si>
    <t>Administrations - change in number of attendances current practice</t>
  </si>
  <si>
    <t xml:space="preserve">Administrations  </t>
  </si>
  <si>
    <t>Administrations - method of</t>
  </si>
  <si>
    <t>Administrations - change in volume of IV to current practice</t>
  </si>
  <si>
    <t>Number of administrations</t>
  </si>
  <si>
    <t>Administrations - change in volume of HRGs to current practice</t>
  </si>
  <si>
    <t>Administrations - 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</si>
  <si>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</si>
  <si>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</si>
  <si>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</si>
  <si>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</si>
  <si>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</si>
  <si>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</si>
  <si>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</si>
  <si>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</si>
  <si>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</si>
  <si>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</si>
  <si>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</si>
  <si>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</si>
  <si>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</si>
  <si>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</si>
  <si>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</si>
  <si>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</si>
  <si>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</si>
  <si>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Bought-in aseptic unit preparations handling (mins)</t>
  </si>
  <si>
    <t>Drug regimen prep (hours)</t>
  </si>
  <si>
    <t>X specialty</t>
  </si>
  <si>
    <t>Appointments with supporting specialty x</t>
  </si>
  <si>
    <t>Appointments with x specialty - change to current practice</t>
  </si>
  <si>
    <t>Pathology/ radiology/ diagnostics</t>
  </si>
  <si>
    <t>Imaging MRI scans</t>
  </si>
  <si>
    <t>Imaging MRI scans - change in number to current practice</t>
  </si>
  <si>
    <t>Liver function tests per person</t>
  </si>
  <si>
    <t>Number of liver function tests</t>
  </si>
  <si>
    <t>Liver function tests - change in number to current practice</t>
  </si>
  <si>
    <t>Genomic tests</t>
  </si>
  <si>
    <t>Genomic tests - change in number to current practice</t>
  </si>
  <si>
    <t>Genomics staffing impact (hours)</t>
  </si>
  <si>
    <t>Genomics staffing impact per test
 (mins)</t>
  </si>
  <si>
    <t>Genomics staffing impact - change in number to current practice</t>
  </si>
  <si>
    <t>Hospitalisation</t>
  </si>
  <si>
    <t>Annual number of bed days</t>
  </si>
  <si>
    <t>Average number of annual bed days</t>
  </si>
  <si>
    <t>Hospitalisation bed days - change to current practice</t>
  </si>
  <si>
    <t>Capacity impact (national prices)</t>
  </si>
  <si>
    <t>Adverse events</t>
  </si>
  <si>
    <t>Adverse events, various (cases)</t>
  </si>
  <si>
    <t>Adverse events - change to current practice</t>
  </si>
  <si>
    <t>Base (non-London)</t>
  </si>
  <si>
    <t>Band</t>
  </si>
  <si>
    <t>Code</t>
  </si>
  <si>
    <t>AfC Salary</t>
  </si>
  <si>
    <t>NI (13.8%)</t>
  </si>
  <si>
    <t>Apprenticeship levy (0.5%)</t>
  </si>
  <si>
    <t>Pension (20.68%)</t>
  </si>
  <si>
    <t>Salary cost with oncosts</t>
  </si>
  <si>
    <t>HCAS</t>
  </si>
  <si>
    <t>Bottom, mid, top; 
band and point on scale</t>
  </si>
  <si>
    <t>Hours to calculate hourly rate</t>
  </si>
  <si>
    <t>Hourly rate</t>
  </si>
  <si>
    <t>Enhancements Mon-Fri</t>
  </si>
  <si>
    <t>Enhancements Sun</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</si>
  <si>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</si>
  <si>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</si>
  <si>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</si>
  <si>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</si>
  <si>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</si>
  <si>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</si>
  <si>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</si>
  <si>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</si>
  <si>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</si>
  <si>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</si>
  <si>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</si>
  <si>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</si>
  <si>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</si>
  <si>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</si>
  <si>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</si>
  <si>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</si>
  <si>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</si>
  <si>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</si>
  <si>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</si>
  <si>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</si>
  <si>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</si>
  <si>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</si>
  <si>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</si>
  <si>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</si>
  <si>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</si>
  <si>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Band 5 Mid</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</si>
  <si>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</si>
  <si>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</si>
  <si>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</si>
  <si>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</si>
  <si>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</si>
  <si>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</si>
  <si>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</si>
  <si>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</si>
  <si>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</si>
  <si>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</si>
  <si>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</si>
  <si>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</si>
  <si>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</si>
  <si>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</si>
  <si>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</si>
  <si>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</si>
  <si>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</si>
  <si>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</si>
  <si>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</si>
  <si>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</si>
  <si>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</si>
  <si>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</si>
  <si>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</si>
  <si>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</si>
  <si>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</si>
  <si>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</si>
  <si>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</si>
  <si>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</si>
  <si>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</si>
  <si>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</si>
  <si>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</si>
  <si>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</si>
  <si>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</si>
  <si>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</si>
  <si>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</si>
  <si>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</si>
  <si>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</si>
  <si>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</si>
  <si>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</si>
  <si>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</si>
  <si>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</si>
  <si>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</si>
  <si>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</si>
  <si>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</si>
  <si>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</si>
  <si>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</si>
  <si>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</si>
  <si>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</si>
  <si>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</si>
  <si>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</si>
  <si>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</si>
  <si>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</si>
  <si>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</si>
  <si>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</si>
  <si>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</si>
  <si>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</si>
  <si>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</si>
  <si>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</si>
  <si>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</si>
  <si>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</si>
  <si>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</si>
  <si>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Hours above based on calculations below</t>
  </si>
  <si>
    <t>XR0704</t>
  </si>
  <si>
    <t>XR0705</t>
  </si>
  <si>
    <t>Non medical staffing</t>
  </si>
  <si>
    <t>XR0706</t>
  </si>
  <si>
    <t>Day per year</t>
  </si>
  <si>
    <t>XR0707</t>
  </si>
  <si>
    <t>Annual leave/bank holidays</t>
  </si>
  <si>
    <t>XR0708</t>
  </si>
  <si>
    <t>Mandatory training</t>
  </si>
  <si>
    <t>XR0709</t>
  </si>
  <si>
    <t>Sickness at 4%</t>
  </si>
  <si>
    <t>8A</t>
  </si>
  <si>
    <t>XR0801</t>
  </si>
  <si>
    <t>XR0802</t>
  </si>
  <si>
    <t>Annual hours per year</t>
  </si>
  <si>
    <t>XR0803</t>
  </si>
  <si>
    <t>XR0804</t>
  </si>
  <si>
    <t>XR0805</t>
  </si>
  <si>
    <t>XR0806</t>
  </si>
  <si>
    <t>Weeks worked (net of annual leave/training leave)</t>
  </si>
  <si>
    <t>8B</t>
  </si>
  <si>
    <t>XR0901</t>
  </si>
  <si>
    <t>XR0902</t>
  </si>
  <si>
    <t>Sessions worked per week (4 hour sessions)</t>
  </si>
  <si>
    <t>XR0903</t>
  </si>
  <si>
    <t>Less SPA allowance (4 hour sessions)</t>
  </si>
  <si>
    <t>XR0904</t>
  </si>
  <si>
    <t>XR0905</t>
  </si>
  <si>
    <t>Hours of clinical work per year</t>
  </si>
  <si>
    <t>XR0906</t>
  </si>
  <si>
    <t>8C</t>
  </si>
  <si>
    <t>XR1001</t>
  </si>
  <si>
    <t>XR1002</t>
  </si>
  <si>
    <t>XR1003</t>
  </si>
  <si>
    <t>Number of working weeks per year</t>
  </si>
  <si>
    <t>XR1004</t>
  </si>
  <si>
    <t>Average working hours per week</t>
  </si>
  <si>
    <t>XR1005</t>
  </si>
  <si>
    <t>Total hours per year</t>
  </si>
  <si>
    <t>XR1006</t>
  </si>
  <si>
    <t>% of direct patient care</t>
  </si>
  <si>
    <t>8D</t>
  </si>
  <si>
    <t>XR1101</t>
  </si>
  <si>
    <t>Number of hours of direct patient care</t>
  </si>
  <si>
    <t>XR1102</t>
  </si>
  <si>
    <t>XR1103</t>
  </si>
  <si>
    <t>XR1104</t>
  </si>
  <si>
    <t>XR1105</t>
  </si>
  <si>
    <t>XR1106</t>
  </si>
  <si>
    <t>XR1201</t>
  </si>
  <si>
    <t>XR1202</t>
  </si>
  <si>
    <t>XR1203</t>
  </si>
  <si>
    <t>XR1204</t>
  </si>
  <si>
    <t>XR1205</t>
  </si>
  <si>
    <t>XR1206</t>
  </si>
  <si>
    <t>GP salary costs</t>
  </si>
  <si>
    <t>Average income before tax for GPMS contractor GPs for England</t>
  </si>
  <si>
    <t>Costs (inc. on costs)</t>
  </si>
  <si>
    <t>Average income before tax taken from contractor GP figure from</t>
  </si>
  <si>
    <t>GP Earnings and Expenses Estimates, 2021/22 - NHS Digital</t>
  </si>
  <si>
    <t>National Insurance</t>
  </si>
  <si>
    <t>Up to secondary threshold</t>
  </si>
  <si>
    <t>Above secondary threshold</t>
  </si>
  <si>
    <t>&gt; 9,100</t>
  </si>
  <si>
    <t>To be updated for NI changes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</si>
</sst>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_(* #,##0_);_(* \(#,##0\);_(* &quot;-&quot;??_);_(@_)"/>
    <numFmt numFmtId="170" formatCode="0.000%"/>
    <numFmt numFmtId="171" formatCode="0.00000%"/>
    <numFmt numFmtId="172" formatCode="0.00000000000000%"/>
    <numFmt numFmtId="173" formatCode="0.0000000%"/>
    <numFmt numFmtId="174" formatCode="0.0000%"/>
  </numFmts>
  <fonts count="7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sz val="11"/>
      <color indexed="81"/>
      <name val="Calibri"/>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815">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0" fontId="0" fillId="39" borderId="31" xfId="0" applyFill="1" applyBorder="1"/>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10" fontId="0" fillId="39" borderId="11" xfId="92" applyNumberFormat="1" applyFont="1" applyFill="1" applyBorder="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3" fillId="0" borderId="0" xfId="0" applyFont="1"/>
    <xf numFmtId="0" fontId="54" fillId="0" borderId="0" xfId="0" applyFont="1"/>
    <xf numFmtId="0" fontId="0" fillId="39" borderId="32" xfId="0" applyFill="1" applyBorder="1"/>
    <xf numFmtId="0" fontId="0" fillId="39" borderId="11" xfId="0" applyFill="1" applyBorder="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3" fontId="44" fillId="24" borderId="11" xfId="0" applyNumberFormat="1" applyFont="1" applyFill="1" applyBorder="1"/>
    <xf numFmtId="0" fontId="44" fillId="24" borderId="11" xfId="0" applyFont="1" applyFill="1" applyBorder="1"/>
    <xf numFmtId="165" fontId="44" fillId="24" borderId="11" xfId="0" applyNumberFormat="1" applyFont="1" applyFill="1" applyBorder="1"/>
    <xf numFmtId="165" fontId="44" fillId="24" borderId="20"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55" fillId="0" borderId="0" xfId="72" applyFont="1" applyFill="1" applyAlignment="1" applyProtection="1">
      <alignment vertical="top"/>
    </xf>
    <xf numFmtId="0" fontId="46" fillId="0" borderId="0" xfId="82" applyFont="1" applyAlignment="1">
      <alignment vertical="top"/>
    </xf>
    <xf numFmtId="165" fontId="44" fillId="0" borderId="11" xfId="56" applyNumberFormat="1" applyFont="1" applyBorder="1"/>
    <xf numFmtId="0" fontId="0" fillId="0" borderId="20" xfId="0" applyBorder="1"/>
    <xf numFmtId="0" fontId="56" fillId="0" borderId="0" xfId="0" applyFont="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3" borderId="17" xfId="0" applyFont="1" applyFill="1" applyBorder="1"/>
    <xf numFmtId="0" fontId="39" fillId="43" borderId="0" xfId="0" applyFont="1" applyFill="1"/>
    <xf numFmtId="0" fontId="39" fillId="41" borderId="17" xfId="0" applyFont="1" applyFill="1" applyBorder="1"/>
    <xf numFmtId="0" fontId="39" fillId="41" borderId="0" xfId="0" applyFont="1" applyFill="1"/>
    <xf numFmtId="0" fontId="39" fillId="44" borderId="17" xfId="0" applyFont="1" applyFill="1" applyBorder="1"/>
    <xf numFmtId="0" fontId="39" fillId="44" borderId="0" xfId="0" applyFont="1" applyFill="1"/>
    <xf numFmtId="0" fontId="39" fillId="42" borderId="17" xfId="0" applyFont="1" applyFill="1" applyBorder="1"/>
    <xf numFmtId="0" fontId="39" fillId="42"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0" fillId="39" borderId="31" xfId="0" applyFill="1" applyBorder="1" applyAlignment="1">
      <alignment horizontal="center"/>
    </xf>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59"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6" fillId="0" borderId="17" xfId="82" applyFont="1" applyBorder="1"/>
    <xf numFmtId="0" fontId="46" fillId="39" borderId="11" xfId="82" applyFont="1" applyFill="1" applyBorder="1"/>
    <xf numFmtId="0" fontId="46" fillId="0" borderId="20" xfId="82" applyFont="1" applyBorder="1"/>
    <xf numFmtId="0" fontId="48"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0" fontId="27" fillId="24" borderId="11" xfId="0" quotePrefix="1" applyFont="1" applyFill="1" applyBorder="1" applyAlignment="1">
      <alignment horizontal="center"/>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59"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4" borderId="0" xfId="0" applyFill="1"/>
    <xf numFmtId="0" fontId="0" fillId="42" borderId="0" xfId="0" applyFill="1"/>
    <xf numFmtId="0" fontId="0" fillId="31" borderId="0" xfId="0" applyFill="1"/>
    <xf numFmtId="164" fontId="0" fillId="39" borderId="11" xfId="0" applyNumberFormat="1" applyFill="1" applyBorder="1"/>
    <xf numFmtId="165" fontId="0" fillId="0" borderId="11" xfId="0" applyNumberFormat="1" applyBorder="1"/>
    <xf numFmtId="165" fontId="44" fillId="0" borderId="11" xfId="0" applyNumberFormat="1" applyFont="1" applyBorder="1"/>
    <xf numFmtId="0" fontId="44" fillId="0" borderId="12" xfId="82" applyFont="1" applyBorder="1"/>
    <xf numFmtId="4" fontId="0" fillId="0" borderId="11" xfId="0" applyNumberFormat="1" applyBorder="1"/>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0" fillId="24" borderId="12" xfId="0" applyFill="1" applyBorder="1"/>
    <xf numFmtId="0" fontId="0" fillId="41" borderId="20" xfId="0" applyFill="1" applyBorder="1"/>
    <xf numFmtId="4" fontId="0" fillId="44" borderId="20" xfId="0" applyNumberFormat="1" applyFill="1" applyBorder="1"/>
    <xf numFmtId="0" fontId="0" fillId="44" borderId="20" xfId="0" applyFill="1" applyBorder="1" applyAlignment="1">
      <alignment horizontal="center"/>
    </xf>
    <xf numFmtId="164" fontId="0" fillId="44" borderId="20" xfId="0" applyNumberFormat="1" applyFill="1" applyBorder="1"/>
    <xf numFmtId="0" fontId="0" fillId="44" borderId="20"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8" fillId="40" borderId="12" xfId="0" applyFont="1" applyFill="1" applyBorder="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3" borderId="12" xfId="0" applyFont="1" applyFill="1" applyBorder="1" applyAlignment="1">
      <alignment horizontal="left" vertical="center"/>
    </xf>
    <xf numFmtId="0" fontId="39" fillId="43" borderId="0" xfId="82" applyFont="1" applyFill="1"/>
    <xf numFmtId="0" fontId="48" fillId="44" borderId="12" xfId="0" applyFont="1" applyFill="1" applyBorder="1" applyAlignment="1">
      <alignment horizontal="left" vertical="center"/>
    </xf>
    <xf numFmtId="0" fontId="39" fillId="44" borderId="0" xfId="82" applyFont="1" applyFill="1"/>
    <xf numFmtId="0" fontId="48" fillId="42" borderId="12" xfId="0" applyFont="1" applyFill="1" applyBorder="1" applyAlignment="1">
      <alignment horizontal="left" vertical="center"/>
    </xf>
    <xf numFmtId="0" fontId="39" fillId="42" borderId="0" xfId="82" applyFont="1" applyFill="1"/>
    <xf numFmtId="0" fontId="48" fillId="31" borderId="12" xfId="0" applyFont="1" applyFill="1" applyBorder="1" applyAlignment="1">
      <alignment horizontal="left" vertical="center"/>
    </xf>
    <xf numFmtId="0" fontId="0" fillId="0" borderId="35" xfId="0" applyBorder="1"/>
    <xf numFmtId="0" fontId="0" fillId="45" borderId="0" xfId="0" applyFill="1"/>
    <xf numFmtId="0" fontId="48" fillId="45" borderId="12" xfId="0" applyFont="1" applyFill="1" applyBorder="1" applyAlignment="1">
      <alignment horizontal="left" vertical="center"/>
    </xf>
    <xf numFmtId="4" fontId="0" fillId="45" borderId="20" xfId="0" applyNumberFormat="1" applyFill="1" applyBorder="1"/>
    <xf numFmtId="0" fontId="0" fillId="45" borderId="20" xfId="0" applyFill="1" applyBorder="1" applyAlignment="1">
      <alignment horizontal="center"/>
    </xf>
    <xf numFmtId="164" fontId="0" fillId="45" borderId="20" xfId="0" applyNumberFormat="1" applyFill="1" applyBorder="1"/>
    <xf numFmtId="0" fontId="0" fillId="45" borderId="20" xfId="0" applyFill="1" applyBorder="1"/>
    <xf numFmtId="0" fontId="39" fillId="45" borderId="17" xfId="0" applyFont="1" applyFill="1"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8"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0" fillId="0" borderId="0" xfId="0" applyFont="1" applyAlignment="1">
      <alignment vertical="center"/>
    </xf>
    <xf numFmtId="0" fontId="61" fillId="0" borderId="0" xfId="0" applyFont="1" applyAlignment="1">
      <alignment vertical="center"/>
    </xf>
    <xf numFmtId="0" fontId="0" fillId="0" borderId="11" xfId="0" applyBorder="1" applyAlignment="1">
      <alignment horizontal="left"/>
    </xf>
    <xf numFmtId="0" fontId="0" fillId="0" borderId="12" xfId="0" applyBorder="1" applyAlignment="1">
      <alignment horizontal="left" vertical="center"/>
    </xf>
    <xf numFmtId="165" fontId="27" fillId="0" borderId="21"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0" fillId="0" borderId="0" xfId="0" applyAlignment="1">
      <alignment horizontal="right" vertical="center"/>
    </xf>
    <xf numFmtId="0" fontId="28" fillId="0" borderId="0" xfId="72" applyAlignment="1" applyProtection="1"/>
    <xf numFmtId="9" fontId="0" fillId="0" borderId="35" xfId="0" applyNumberFormat="1" applyBorder="1" applyAlignment="1">
      <alignment horizontal="right"/>
    </xf>
    <xf numFmtId="164" fontId="46" fillId="39" borderId="11" xfId="82" applyNumberFormat="1" applyFont="1" applyFill="1" applyBorder="1"/>
    <xf numFmtId="0" fontId="48" fillId="24" borderId="17" xfId="0" applyFont="1" applyFill="1" applyBorder="1" applyAlignment="1">
      <alignment horizontal="right"/>
    </xf>
    <xf numFmtId="165" fontId="27" fillId="0" borderId="0" xfId="0" applyNumberFormat="1" applyFont="1"/>
    <xf numFmtId="166" fontId="0" fillId="39" borderId="11" xfId="56" applyNumberFormat="1" applyFont="1" applyFill="1" applyBorder="1" applyAlignment="1">
      <alignment horizontal="right"/>
    </xf>
    <xf numFmtId="3" fontId="44" fillId="0" borderId="0" xfId="0" applyNumberFormat="1" applyFont="1"/>
    <xf numFmtId="166" fontId="46" fillId="39" borderId="11" xfId="56" applyNumberFormat="1" applyFont="1" applyFill="1" applyBorder="1"/>
    <xf numFmtId="0" fontId="46" fillId="39" borderId="11" xfId="82" applyFont="1" applyFill="1" applyBorder="1" applyAlignment="1">
      <alignment horizontal="right"/>
    </xf>
    <xf numFmtId="0" fontId="46" fillId="39" borderId="11" xfId="82" applyFont="1" applyFill="1" applyBorder="1" applyAlignment="1">
      <alignment horizontal="center"/>
    </xf>
    <xf numFmtId="164" fontId="46" fillId="39" borderId="12" xfId="82" applyNumberFormat="1" applyFont="1" applyFill="1" applyBorder="1"/>
    <xf numFmtId="2" fontId="46" fillId="39" borderId="11" xfId="82" applyNumberFormat="1" applyFont="1" applyFill="1" applyBorder="1"/>
    <xf numFmtId="9" fontId="46" fillId="39" borderId="11" xfId="82" applyNumberFormat="1" applyFont="1" applyFill="1" applyBorder="1"/>
    <xf numFmtId="164" fontId="48" fillId="39" borderId="11" xfId="82" applyNumberFormat="1" applyFont="1" applyFill="1" applyBorder="1"/>
    <xf numFmtId="0" fontId="62" fillId="0" borderId="0" xfId="0" applyFont="1"/>
    <xf numFmtId="0" fontId="63" fillId="0" borderId="0" xfId="0" applyFont="1" applyAlignment="1">
      <alignment vertical="center" wrapText="1"/>
    </xf>
    <xf numFmtId="0" fontId="0" fillId="44" borderId="17" xfId="0" applyFill="1" applyBorder="1"/>
    <xf numFmtId="0" fontId="0" fillId="31" borderId="11" xfId="0" applyFill="1" applyBorder="1" applyAlignment="1">
      <alignment horizontal="center" wrapText="1"/>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6" fillId="39" borderId="11" xfId="0" applyFont="1" applyFill="1" applyBorder="1" applyAlignment="1">
      <alignment horizontal="center" vertical="center" wrapText="1"/>
    </xf>
    <xf numFmtId="0" fontId="66" fillId="0" borderId="0" xfId="0" applyFont="1" applyAlignment="1">
      <alignment horizontal="center" vertical="center"/>
    </xf>
    <xf numFmtId="0" fontId="67" fillId="46"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8"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0" fillId="39" borderId="11" xfId="0" applyFill="1" applyBorder="1" applyAlignment="1">
      <alignment horizontal="right"/>
    </xf>
    <xf numFmtId="0" fontId="39" fillId="37" borderId="20" xfId="0" applyFont="1" applyFill="1" applyBorder="1"/>
    <xf numFmtId="0" fontId="39" fillId="37" borderId="17" xfId="0" applyFont="1" applyFill="1" applyBorder="1"/>
    <xf numFmtId="0" fontId="68" fillId="37" borderId="20" xfId="0" applyFont="1" applyFill="1" applyBorder="1" applyAlignment="1">
      <alignment horizontal="left"/>
    </xf>
    <xf numFmtId="0" fontId="0" fillId="41" borderId="17" xfId="0" applyFill="1" applyBorder="1"/>
    <xf numFmtId="0" fontId="0" fillId="45"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3" borderId="12" xfId="0" applyFont="1" applyFill="1" applyBorder="1" applyAlignment="1">
      <alignment horizontal="left"/>
    </xf>
    <xf numFmtId="0" fontId="39" fillId="43" borderId="20" xfId="0" applyFont="1" applyFill="1" applyBorder="1"/>
    <xf numFmtId="0" fontId="44" fillId="43" borderId="12" xfId="0" applyFont="1" applyFill="1" applyBorder="1" applyAlignment="1">
      <alignment horizontal="left" wrapText="1"/>
    </xf>
    <xf numFmtId="0" fontId="44" fillId="44" borderId="12" xfId="0" applyFont="1" applyFill="1" applyBorder="1" applyAlignment="1">
      <alignment horizontal="left"/>
    </xf>
    <xf numFmtId="0" fontId="39" fillId="44"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44" fillId="45" borderId="12" xfId="0" applyFont="1" applyFill="1" applyBorder="1" applyAlignment="1">
      <alignment horizontal="left"/>
    </xf>
    <xf numFmtId="0" fontId="39" fillId="45"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5" xfId="0" applyFill="1" applyBorder="1"/>
    <xf numFmtId="0" fontId="44" fillId="24" borderId="13" xfId="0" applyFont="1" applyFill="1" applyBorder="1"/>
    <xf numFmtId="0" fontId="39" fillId="45"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3" borderId="11" xfId="0" applyFill="1" applyBorder="1" applyAlignment="1">
      <alignment horizontal="center"/>
    </xf>
    <xf numFmtId="0" fontId="0" fillId="44" borderId="11" xfId="0" applyFill="1" applyBorder="1" applyAlignment="1">
      <alignment horizontal="center"/>
    </xf>
    <xf numFmtId="0" fontId="44" fillId="24" borderId="11" xfId="0" applyFont="1" applyFill="1" applyBorder="1" applyAlignment="1">
      <alignment horizontal="center" wrapText="1"/>
    </xf>
    <xf numFmtId="0" fontId="0" fillId="45" borderId="11" xfId="0" applyFill="1" applyBorder="1" applyAlignment="1">
      <alignment horizontal="center"/>
    </xf>
    <xf numFmtId="0" fontId="0" fillId="41" borderId="11" xfId="0" applyFill="1" applyBorder="1" applyAlignment="1">
      <alignment horizontal="center"/>
    </xf>
    <xf numFmtId="2" fontId="0" fillId="42" borderId="11" xfId="0" applyNumberFormat="1"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3" borderId="11" xfId="0" applyNumberFormat="1" applyFill="1" applyBorder="1"/>
    <xf numFmtId="3" fontId="0" fillId="43" borderId="17" xfId="0" applyNumberFormat="1" applyFill="1" applyBorder="1"/>
    <xf numFmtId="3" fontId="0" fillId="44" borderId="11" xfId="0" applyNumberFormat="1" applyFill="1" applyBorder="1"/>
    <xf numFmtId="0" fontId="39" fillId="37" borderId="35"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45" borderId="11" xfId="0" applyNumberFormat="1" applyFill="1" applyBorder="1"/>
    <xf numFmtId="3" fontId="0" fillId="42" borderId="11" xfId="0" applyNumberFormat="1" applyFill="1" applyBorder="1"/>
    <xf numFmtId="3" fontId="0" fillId="31" borderId="11" xfId="0" applyNumberFormat="1" applyFill="1" applyBorder="1"/>
    <xf numFmtId="0" fontId="39" fillId="40" borderId="14" xfId="0" applyFont="1" applyFill="1" applyBorder="1"/>
    <xf numFmtId="0" fontId="39" fillId="43" borderId="10" xfId="0" applyFont="1" applyFill="1" applyBorder="1"/>
    <xf numFmtId="0" fontId="39" fillId="43" borderId="14" xfId="0" applyFont="1" applyFill="1" applyBorder="1"/>
    <xf numFmtId="0" fontId="39" fillId="42" borderId="10" xfId="0" applyFont="1" applyFill="1" applyBorder="1"/>
    <xf numFmtId="0" fontId="0" fillId="31" borderId="17" xfId="0" applyFill="1" applyBorder="1"/>
    <xf numFmtId="0" fontId="0" fillId="40" borderId="17" xfId="0" applyFill="1" applyBorder="1"/>
    <xf numFmtId="0" fontId="0" fillId="40" borderId="14" xfId="0" applyFill="1" applyBorder="1"/>
    <xf numFmtId="0" fontId="0" fillId="43" borderId="14" xfId="0" applyFill="1" applyBorder="1"/>
    <xf numFmtId="0" fontId="39" fillId="45" borderId="10" xfId="0" applyFont="1" applyFill="1" applyBorder="1"/>
    <xf numFmtId="0" fontId="0" fillId="42" borderId="17"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8" fillId="24" borderId="20" xfId="0" applyFont="1" applyFill="1" applyBorder="1"/>
    <xf numFmtId="0" fontId="0" fillId="40" borderId="12" xfId="0" applyFill="1" applyBorder="1" applyAlignment="1">
      <alignment wrapText="1"/>
    </xf>
    <xf numFmtId="0" fontId="0" fillId="43" borderId="12" xfId="0" applyFill="1" applyBorder="1" applyAlignment="1">
      <alignment wrapText="1"/>
    </xf>
    <xf numFmtId="0" fontId="0" fillId="44" borderId="12" xfId="0" applyFill="1" applyBorder="1" applyAlignment="1">
      <alignment wrapText="1"/>
    </xf>
    <xf numFmtId="0" fontId="0" fillId="41" borderId="12" xfId="0" applyFill="1" applyBorder="1" applyAlignment="1">
      <alignment wrapText="1"/>
    </xf>
    <xf numFmtId="0" fontId="0" fillId="45" borderId="12" xfId="0" applyFill="1" applyBorder="1" applyAlignment="1">
      <alignment wrapText="1"/>
    </xf>
    <xf numFmtId="0" fontId="0" fillId="42" borderId="12" xfId="0" applyFill="1" applyBorder="1" applyAlignment="1">
      <alignment wrapText="1"/>
    </xf>
    <xf numFmtId="0" fontId="46" fillId="42" borderId="12" xfId="82" applyFont="1" applyFill="1" applyBorder="1"/>
    <xf numFmtId="0" fontId="46" fillId="31" borderId="12" xfId="82" applyFont="1" applyFill="1" applyBorder="1"/>
    <xf numFmtId="3" fontId="44" fillId="43" borderId="17" xfId="0" applyNumberFormat="1" applyFont="1" applyFill="1" applyBorder="1"/>
    <xf numFmtId="3" fontId="44" fillId="44" borderId="17" xfId="0" applyNumberFormat="1" applyFont="1" applyFill="1" applyBorder="1"/>
    <xf numFmtId="3" fontId="44" fillId="45" borderId="17" xfId="0" applyNumberFormat="1" applyFont="1" applyFill="1" applyBorder="1"/>
    <xf numFmtId="3" fontId="44" fillId="42" borderId="17" xfId="0" applyNumberFormat="1" applyFont="1" applyFill="1" applyBorder="1"/>
    <xf numFmtId="0" fontId="48" fillId="25" borderId="0" xfId="82" applyFont="1" applyFill="1" applyAlignment="1">
      <alignment horizontal="left"/>
    </xf>
    <xf numFmtId="0" fontId="48" fillId="0" borderId="0" xfId="82" applyFont="1" applyAlignment="1">
      <alignment horizontal="left"/>
    </xf>
    <xf numFmtId="0" fontId="48" fillId="0" borderId="11" xfId="0" applyFont="1" applyBorder="1" applyAlignment="1">
      <alignment horizontal="left"/>
    </xf>
    <xf numFmtId="0" fontId="66" fillId="39" borderId="11" xfId="0" applyFont="1" applyFill="1" applyBorder="1" applyAlignment="1">
      <alignment horizontal="center" vertical="center"/>
    </xf>
    <xf numFmtId="0" fontId="0" fillId="0" borderId="39"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6" fillId="24" borderId="0" xfId="0" applyFont="1" applyFill="1" applyAlignment="1">
      <alignment horizontal="center" vertical="center"/>
    </xf>
    <xf numFmtId="0" fontId="66"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6" fillId="24" borderId="14" xfId="0" applyFont="1" applyFill="1" applyBorder="1" applyAlignment="1">
      <alignment horizontal="center" vertical="center"/>
    </xf>
    <xf numFmtId="0" fontId="27" fillId="24" borderId="14" xfId="0" applyFont="1" applyFill="1" applyBorder="1"/>
    <xf numFmtId="0" fontId="0" fillId="24" borderId="39"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3" fontId="0" fillId="0" borderId="0" xfId="0" applyNumberFormat="1" applyAlignment="1">
      <alignment horizontal="right"/>
    </xf>
    <xf numFmtId="165" fontId="0" fillId="0" borderId="0" xfId="0" applyNumberFormat="1"/>
    <xf numFmtId="0" fontId="58" fillId="0" borderId="0" xfId="82" applyFont="1" applyAlignment="1">
      <alignment horizontal="center"/>
    </xf>
    <xf numFmtId="0" fontId="58" fillId="0" borderId="0" xfId="110" applyFont="1" applyAlignment="1">
      <alignment horizontal="left" vertical="center" wrapText="1"/>
    </xf>
    <xf numFmtId="169" fontId="46" fillId="0" borderId="11" xfId="82" applyNumberFormat="1" applyFont="1" applyBorder="1"/>
    <xf numFmtId="169" fontId="46" fillId="0" borderId="0" xfId="82" applyNumberFormat="1" applyFont="1"/>
    <xf numFmtId="0" fontId="0" fillId="25" borderId="0" xfId="0" applyFill="1"/>
    <xf numFmtId="169" fontId="46" fillId="25" borderId="0" xfId="82" applyNumberFormat="1" applyFont="1" applyFill="1"/>
    <xf numFmtId="3" fontId="0" fillId="25" borderId="0" xfId="0" applyNumberFormat="1" applyFill="1" applyAlignment="1">
      <alignment horizontal="right"/>
    </xf>
    <xf numFmtId="0" fontId="71" fillId="0" borderId="0" xfId="82" applyFont="1"/>
    <xf numFmtId="165" fontId="46" fillId="0" borderId="22" xfId="56" applyNumberFormat="1" applyFont="1" applyBorder="1" applyAlignment="1" applyProtection="1">
      <alignment horizontal="right" wrapText="1"/>
    </xf>
    <xf numFmtId="165" fontId="46" fillId="0" borderId="11" xfId="56" applyNumberFormat="1" applyFont="1" applyBorder="1" applyProtection="1"/>
    <xf numFmtId="164" fontId="6" fillId="0" borderId="0" xfId="82" applyNumberFormat="1" applyFont="1" applyAlignment="1">
      <alignment horizontal="right"/>
    </xf>
    <xf numFmtId="0" fontId="70" fillId="0" borderId="11" xfId="0" applyFont="1" applyBorder="1" applyAlignment="1">
      <alignment wrapText="1"/>
    </xf>
    <xf numFmtId="3" fontId="70" fillId="0" borderId="11" xfId="0" applyNumberFormat="1" applyFont="1" applyBorder="1"/>
    <xf numFmtId="9" fontId="70" fillId="0" borderId="11" xfId="0" applyNumberFormat="1" applyFont="1" applyBorder="1"/>
    <xf numFmtId="0" fontId="70" fillId="0" borderId="11" xfId="0" applyFont="1" applyBorder="1" applyAlignment="1">
      <alignment horizontal="right"/>
    </xf>
    <xf numFmtId="0" fontId="69" fillId="0" borderId="0" xfId="0" applyFont="1"/>
    <xf numFmtId="10" fontId="70" fillId="0" borderId="11" xfId="0" applyNumberFormat="1" applyFont="1" applyBorder="1"/>
    <xf numFmtId="165" fontId="0" fillId="0" borderId="11" xfId="0" applyNumberFormat="1" applyBorder="1" applyAlignment="1" applyProtection="1">
      <alignment horizontal="right" vertical="center"/>
      <protection locked="0"/>
    </xf>
    <xf numFmtId="9" fontId="0" fillId="0" borderId="11" xfId="0" applyNumberFormat="1" applyBorder="1"/>
    <xf numFmtId="9" fontId="27" fillId="0" borderId="11" xfId="92" applyFont="1" applyFill="1" applyBorder="1" applyAlignment="1" applyProtection="1">
      <alignment horizontal="right" vertical="center"/>
      <protection locked="0"/>
    </xf>
    <xf numFmtId="0" fontId="69" fillId="0" borderId="11" xfId="0" applyFont="1" applyBorder="1" applyAlignment="1">
      <alignment horizontal="center" wrapText="1"/>
    </xf>
    <xf numFmtId="0" fontId="44" fillId="0" borderId="11" xfId="0" applyFont="1" applyBorder="1" applyAlignment="1">
      <alignment horizontal="center" wrapText="1"/>
    </xf>
    <xf numFmtId="164" fontId="0" fillId="0" borderId="11" xfId="0" applyNumberFormat="1" applyBorder="1" applyAlignment="1" applyProtection="1">
      <alignment horizontal="right" vertical="center"/>
      <protection locked="0"/>
    </xf>
    <xf numFmtId="0" fontId="69" fillId="48" borderId="11" xfId="0" applyFont="1" applyFill="1" applyBorder="1" applyAlignment="1">
      <alignment horizontal="center" wrapText="1"/>
    </xf>
    <xf numFmtId="0" fontId="44" fillId="48" borderId="11" xfId="0" applyFont="1" applyFill="1" applyBorder="1" applyAlignment="1">
      <alignment horizontal="center" wrapText="1"/>
    </xf>
    <xf numFmtId="169" fontId="46" fillId="0" borderId="11" xfId="57" applyNumberFormat="1" applyFont="1" applyFill="1" applyBorder="1" applyProtection="1"/>
    <xf numFmtId="3" fontId="46" fillId="0" borderId="11" xfId="82" applyNumberFormat="1" applyFont="1" applyBorder="1" applyAlignment="1">
      <alignment horizontal="right"/>
    </xf>
    <xf numFmtId="169" fontId="46" fillId="0" borderId="41" xfId="82" applyNumberFormat="1" applyFont="1" applyBorder="1"/>
    <xf numFmtId="0" fontId="0" fillId="0" borderId="29" xfId="0" applyBorder="1"/>
    <xf numFmtId="169" fontId="46" fillId="0" borderId="29" xfId="82" applyNumberFormat="1" applyFont="1" applyBorder="1"/>
    <xf numFmtId="169" fontId="46" fillId="0" borderId="27" xfId="82" applyNumberFormat="1" applyFont="1" applyBorder="1"/>
    <xf numFmtId="0" fontId="48" fillId="0" borderId="11" xfId="110" applyFont="1" applyBorder="1" applyAlignment="1">
      <alignment horizontal="center" vertical="center" wrapText="1"/>
    </xf>
    <xf numFmtId="3" fontId="48" fillId="0" borderId="11" xfId="110" applyNumberFormat="1" applyFont="1" applyBorder="1" applyAlignment="1">
      <alignment horizontal="right" vertical="center" wrapText="1"/>
    </xf>
    <xf numFmtId="0" fontId="58" fillId="0" borderId="11" xfId="110" applyFont="1" applyBorder="1" applyAlignment="1">
      <alignment horizontal="left" vertical="center" wrapText="1"/>
    </xf>
    <xf numFmtId="165" fontId="46" fillId="0" borderId="22" xfId="82" applyNumberFormat="1" applyFont="1" applyBorder="1" applyAlignment="1" applyProtection="1">
      <alignment horizontal="right"/>
      <protection locked="0"/>
    </xf>
    <xf numFmtId="0" fontId="0" fillId="39" borderId="31" xfId="0" applyFill="1" applyBorder="1" applyAlignment="1">
      <alignment horizontal="center" wrapText="1"/>
    </xf>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44" fillId="0" borderId="40" xfId="0" applyFont="1"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48" fillId="24" borderId="17" xfId="110" applyFont="1" applyFill="1" applyBorder="1" applyAlignment="1">
      <alignment horizontal="left" vertical="center" wrapText="1"/>
    </xf>
    <xf numFmtId="0" fontId="48" fillId="24" borderId="11" xfId="110" applyFont="1" applyFill="1" applyBorder="1" applyAlignment="1">
      <alignment horizontal="left" vertical="center" wrapText="1"/>
    </xf>
    <xf numFmtId="0" fontId="69" fillId="24" borderId="11" xfId="0" applyFont="1" applyFill="1" applyBorder="1" applyAlignment="1">
      <alignment horizontal="center" wrapText="1"/>
    </xf>
    <xf numFmtId="169" fontId="46" fillId="24" borderId="17" xfId="82" applyNumberFormat="1" applyFont="1" applyFill="1" applyBorder="1"/>
    <xf numFmtId="169" fontId="46" fillId="24" borderId="11" xfId="82" applyNumberFormat="1" applyFont="1" applyFill="1" applyBorder="1"/>
    <xf numFmtId="0" fontId="44" fillId="0" borderId="19" xfId="82" applyFont="1" applyBorder="1" applyAlignment="1">
      <alignment horizontal="center"/>
    </xf>
    <xf numFmtId="0" fontId="44" fillId="0" borderId="19" xfId="110" applyFont="1" applyBorder="1" applyAlignment="1">
      <alignment horizontal="center" wrapText="1"/>
    </xf>
    <xf numFmtId="3" fontId="44" fillId="0" borderId="19" xfId="110" applyNumberFormat="1" applyFont="1" applyBorder="1" applyAlignment="1">
      <alignment horizontal="center" wrapText="1"/>
    </xf>
    <xf numFmtId="0" fontId="44" fillId="0" borderId="25" xfId="110" applyFont="1" applyBorder="1" applyAlignment="1">
      <alignment horizontal="center" wrapText="1"/>
    </xf>
    <xf numFmtId="0" fontId="72"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3" fontId="0" fillId="0" borderId="17" xfId="0" applyNumberFormat="1" applyBorder="1"/>
    <xf numFmtId="0" fontId="29" fillId="48" borderId="11" xfId="0" applyFont="1" applyFill="1" applyBorder="1" applyAlignment="1">
      <alignment horizontal="left"/>
    </xf>
    <xf numFmtId="10" fontId="29" fillId="48"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1" fontId="29" fillId="0" borderId="0" xfId="92" applyNumberFormat="1" applyFont="1" applyAlignment="1">
      <alignment horizontal="center"/>
    </xf>
    <xf numFmtId="172" fontId="29" fillId="0" borderId="0" xfId="0" applyNumberFormat="1" applyFont="1" applyAlignment="1">
      <alignment horizontal="center"/>
    </xf>
    <xf numFmtId="170"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0"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0" fillId="39" borderId="32" xfId="0" applyFill="1" applyBorder="1" applyAlignment="1">
      <alignment horizontal="center" wrapText="1"/>
    </xf>
    <xf numFmtId="0" fontId="48" fillId="24" borderId="20" xfId="0" applyFont="1" applyFill="1" applyBorder="1" applyAlignment="1">
      <alignment horizontal="left" vertical="center" wrapText="1"/>
    </xf>
    <xf numFmtId="0" fontId="0" fillId="0" borderId="20" xfId="0" applyBorder="1" applyAlignment="1">
      <alignment horizontal="left"/>
    </xf>
    <xf numFmtId="165" fontId="44" fillId="24" borderId="17" xfId="0" applyNumberFormat="1" applyFont="1" applyFill="1" applyBorder="1" applyAlignment="1">
      <alignment horizontal="center" wrapText="1"/>
    </xf>
    <xf numFmtId="0" fontId="0" fillId="0" borderId="17" xfId="0" applyBorder="1" applyAlignment="1">
      <alignment horizontal="center" vertical="center"/>
    </xf>
    <xf numFmtId="0" fontId="0" fillId="0" borderId="20" xfId="0" applyBorder="1" applyAlignment="1">
      <alignment horizontal="center" vertical="center"/>
    </xf>
    <xf numFmtId="10" fontId="29" fillId="48" borderId="11" xfId="0" applyNumberFormat="1" applyFont="1" applyFill="1" applyBorder="1"/>
    <xf numFmtId="170" fontId="29" fillId="48" borderId="11" xfId="0" applyNumberFormat="1" applyFont="1" applyFill="1" applyBorder="1" applyAlignment="1">
      <alignment horizontal="center"/>
    </xf>
    <xf numFmtId="0" fontId="29" fillId="48" borderId="0" xfId="0" applyFont="1" applyFill="1" applyAlignment="1">
      <alignment horizontal="left"/>
    </xf>
    <xf numFmtId="166" fontId="27" fillId="39" borderId="11" xfId="56" applyNumberFormat="1" applyFont="1" applyFill="1" applyBorder="1" applyAlignment="1">
      <alignment horizontal="right"/>
    </xf>
    <xf numFmtId="9" fontId="0" fillId="0" borderId="11" xfId="92" applyFont="1" applyFill="1" applyBorder="1"/>
    <xf numFmtId="0" fontId="29" fillId="26" borderId="35" xfId="0" applyFont="1" applyFill="1" applyBorder="1" applyAlignment="1">
      <alignment horizontal="left"/>
    </xf>
    <xf numFmtId="0" fontId="29" fillId="26" borderId="35" xfId="0" applyFont="1" applyFill="1" applyBorder="1"/>
    <xf numFmtId="0" fontId="32" fillId="30" borderId="35" xfId="0" applyFont="1" applyFill="1" applyBorder="1" applyAlignment="1">
      <alignment vertical="center" wrapText="1"/>
    </xf>
    <xf numFmtId="0" fontId="32" fillId="27" borderId="35" xfId="0" applyFont="1" applyFill="1" applyBorder="1"/>
    <xf numFmtId="0" fontId="29" fillId="0" borderId="35" xfId="0" applyFont="1" applyBorder="1"/>
    <xf numFmtId="3" fontId="32" fillId="0" borderId="35" xfId="0" applyNumberFormat="1" applyFont="1" applyBorder="1"/>
    <xf numFmtId="3" fontId="7" fillId="0" borderId="35" xfId="0" applyNumberFormat="1" applyFont="1" applyBorder="1"/>
    <xf numFmtId="3" fontId="29" fillId="0" borderId="35" xfId="0" applyNumberFormat="1" applyFont="1" applyBorder="1"/>
    <xf numFmtId="3" fontId="6" fillId="0" borderId="35" xfId="0" applyNumberFormat="1" applyFont="1" applyBorder="1"/>
    <xf numFmtId="0" fontId="6" fillId="0" borderId="35" xfId="0" applyFont="1" applyBorder="1"/>
    <xf numFmtId="0" fontId="0" fillId="24" borderId="21" xfId="0" applyFill="1" applyBorder="1" applyAlignment="1">
      <alignment horizontal="center" wrapText="1"/>
    </xf>
    <xf numFmtId="0" fontId="44" fillId="43" borderId="21" xfId="0" applyFont="1" applyFill="1" applyBorder="1"/>
    <xf numFmtId="0" fontId="0" fillId="44" borderId="21" xfId="0" applyFill="1" applyBorder="1"/>
    <xf numFmtId="0" fontId="0" fillId="45" borderId="21" xfId="0" applyFill="1" applyBorder="1"/>
    <xf numFmtId="0" fontId="0" fillId="42" borderId="21" xfId="0" applyFill="1" applyBorder="1"/>
    <xf numFmtId="0" fontId="0" fillId="31" borderId="21" xfId="0" applyFill="1" applyBorder="1"/>
    <xf numFmtId="0" fontId="44" fillId="40" borderId="21" xfId="0" applyFont="1" applyFill="1" applyBorder="1"/>
    <xf numFmtId="0" fontId="44" fillId="0" borderId="35" xfId="0" applyFont="1" applyBorder="1" applyAlignment="1">
      <alignment horizontal="right"/>
    </xf>
    <xf numFmtId="165" fontId="0" fillId="0" borderId="35" xfId="0" applyNumberFormat="1" applyBorder="1"/>
    <xf numFmtId="169" fontId="48" fillId="0" borderId="14" xfId="82" applyNumberFormat="1" applyFont="1" applyBorder="1"/>
    <xf numFmtId="169" fontId="46" fillId="0" borderId="14" xfId="82" applyNumberFormat="1" applyFont="1" applyBorder="1"/>
    <xf numFmtId="9" fontId="0" fillId="0" borderId="0" xfId="0" applyNumberFormat="1"/>
    <xf numFmtId="165" fontId="0" fillId="0" borderId="10" xfId="0" applyNumberFormat="1" applyBorder="1"/>
    <xf numFmtId="0" fontId="0" fillId="39" borderId="36" xfId="0" applyFill="1" applyBorder="1" applyAlignment="1">
      <alignment horizontal="center" wrapText="1"/>
    </xf>
    <xf numFmtId="0" fontId="4" fillId="25" borderId="0" xfId="0" applyFont="1" applyFill="1" applyAlignment="1">
      <alignment vertical="center"/>
    </xf>
    <xf numFmtId="0" fontId="4" fillId="0" borderId="10" xfId="0" applyFont="1" applyBorder="1" applyAlignment="1">
      <alignment vertical="center"/>
    </xf>
    <xf numFmtId="3" fontId="0" fillId="0" borderId="43" xfId="0" applyNumberFormat="1" applyBorder="1" applyAlignment="1">
      <alignment horizontal="right"/>
    </xf>
    <xf numFmtId="169" fontId="46" fillId="0" borderId="15" xfId="82" applyNumberFormat="1" applyFont="1" applyBorder="1"/>
    <xf numFmtId="169" fontId="46" fillId="0" borderId="12" xfId="82" applyNumberFormat="1" applyFont="1" applyBorder="1"/>
    <xf numFmtId="169" fontId="46" fillId="24" borderId="21" xfId="82" applyNumberFormat="1" applyFont="1" applyFill="1" applyBorder="1"/>
    <xf numFmtId="169" fontId="46" fillId="0" borderId="44" xfId="82" applyNumberFormat="1" applyFont="1" applyBorder="1"/>
    <xf numFmtId="169" fontId="46" fillId="39" borderId="11" xfId="82" applyNumberFormat="1" applyFont="1" applyFill="1" applyBorder="1"/>
    <xf numFmtId="169" fontId="46" fillId="39" borderId="42" xfId="82" applyNumberFormat="1" applyFont="1" applyFill="1" applyBorder="1"/>
    <xf numFmtId="1" fontId="0" fillId="39" borderId="11" xfId="0" applyNumberFormat="1" applyFill="1" applyBorder="1"/>
    <xf numFmtId="0" fontId="46" fillId="24" borderId="11" xfId="0" applyFont="1" applyFill="1" applyBorder="1" applyAlignment="1">
      <alignment horizontal="center" wrapText="1"/>
    </xf>
    <xf numFmtId="0" fontId="0" fillId="41" borderId="18" xfId="0" applyFill="1" applyBorder="1"/>
    <xf numFmtId="0" fontId="46" fillId="41" borderId="0" xfId="0" applyFont="1" applyFill="1" applyAlignment="1">
      <alignment horizontal="left" vertical="center"/>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44" fillId="41" borderId="20" xfId="0" applyFont="1" applyFill="1" applyBorder="1" applyAlignment="1">
      <alignment horizontal="left"/>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48" fillId="41" borderId="0" xfId="0" applyFont="1" applyFill="1" applyAlignment="1">
      <alignment horizontal="left" vertical="center"/>
    </xf>
    <xf numFmtId="10" fontId="0" fillId="0" borderId="0" xfId="92" applyNumberFormat="1" applyFont="1" applyFill="1" applyBorder="1"/>
    <xf numFmtId="164" fontId="46" fillId="0" borderId="11" xfId="0" applyNumberFormat="1" applyFont="1" applyBorder="1"/>
    <xf numFmtId="0" fontId="0" fillId="41" borderId="12" xfId="0" applyFill="1" applyBorder="1"/>
    <xf numFmtId="165" fontId="46" fillId="0" borderId="11" xfId="0" applyNumberFormat="1" applyFont="1" applyBorder="1"/>
    <xf numFmtId="164" fontId="0" fillId="0" borderId="11" xfId="0" applyNumberFormat="1" applyBorder="1"/>
    <xf numFmtId="0" fontId="50" fillId="0" borderId="14" xfId="0" applyFon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45" xfId="0" applyFill="1" applyBorder="1" applyAlignment="1">
      <alignment horizontal="center"/>
    </xf>
    <xf numFmtId="0" fontId="58" fillId="24" borderId="17" xfId="0" applyFont="1" applyFill="1" applyBorder="1"/>
    <xf numFmtId="0" fontId="58" fillId="0" borderId="18" xfId="0" applyFont="1" applyBorder="1"/>
    <xf numFmtId="0" fontId="58"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0" fontId="29" fillId="48"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0" fontId="0" fillId="0" borderId="12" xfId="92" applyNumberFormat="1" applyFont="1" applyFill="1" applyBorder="1"/>
    <xf numFmtId="170" fontId="44" fillId="0" borderId="11" xfId="93" applyNumberFormat="1" applyFont="1" applyFill="1" applyBorder="1"/>
    <xf numFmtId="173" fontId="6" fillId="48"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0" fontId="29" fillId="45" borderId="11" xfId="0" applyNumberFormat="1" applyFont="1" applyFill="1" applyBorder="1" applyAlignment="1">
      <alignment horizontal="center"/>
    </xf>
    <xf numFmtId="0" fontId="29" fillId="45" borderId="0" xfId="0" applyFont="1" applyFill="1" applyAlignment="1">
      <alignment horizontal="center"/>
    </xf>
    <xf numFmtId="0" fontId="29" fillId="24" borderId="11" xfId="0" applyFont="1" applyFill="1" applyBorder="1" applyAlignment="1">
      <alignment horizontal="center" wrapText="1"/>
    </xf>
    <xf numFmtId="0" fontId="29" fillId="45" borderId="11" xfId="0" applyFont="1" applyFill="1" applyBorder="1" applyAlignment="1">
      <alignment horizontal="center" wrapText="1"/>
    </xf>
    <xf numFmtId="0" fontId="6" fillId="24" borderId="0" xfId="87" applyFont="1" applyFill="1" applyAlignment="1">
      <alignment horizontal="left"/>
    </xf>
    <xf numFmtId="0" fontId="29" fillId="24" borderId="0" xfId="0" quotePrefix="1" applyFont="1" applyFill="1"/>
    <xf numFmtId="0" fontId="28" fillId="24" borderId="0" xfId="72" applyFill="1" applyAlignment="1" applyProtection="1"/>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57" fillId="0" borderId="12" xfId="72" applyFont="1" applyFill="1" applyBorder="1" applyAlignment="1" applyProtection="1">
      <alignment vertical="center"/>
    </xf>
    <xf numFmtId="0" fontId="57" fillId="0" borderId="11" xfId="72" applyFont="1" applyBorder="1" applyAlignment="1" applyProtection="1"/>
    <xf numFmtId="0" fontId="48" fillId="0" borderId="0" xfId="82" applyFont="1" applyAlignment="1">
      <alignment horizontal="center"/>
    </xf>
    <xf numFmtId="166" fontId="46" fillId="0" borderId="0" xfId="56" applyNumberFormat="1" applyFont="1" applyFill="1" applyBorder="1" applyAlignment="1">
      <alignment horizontal="center"/>
    </xf>
    <xf numFmtId="0" fontId="46" fillId="0" borderId="0" xfId="82" applyFont="1" applyAlignment="1">
      <alignment horizontal="left"/>
    </xf>
    <xf numFmtId="165" fontId="46" fillId="0" borderId="0" xfId="82" applyNumberFormat="1" applyFont="1"/>
    <xf numFmtId="0" fontId="55" fillId="0" borderId="0" xfId="72" applyFont="1" applyFill="1" applyBorder="1" applyAlignment="1" applyProtection="1"/>
    <xf numFmtId="0" fontId="48" fillId="0" borderId="0" xfId="82" applyFont="1" applyAlignment="1">
      <alignment horizontal="left" vertical="top"/>
    </xf>
    <xf numFmtId="166" fontId="46" fillId="0" borderId="11" xfId="56" applyNumberFormat="1" applyFont="1" applyFill="1" applyBorder="1"/>
    <xf numFmtId="0" fontId="48" fillId="0" borderId="13" xfId="82" applyFont="1" applyBorder="1"/>
    <xf numFmtId="0" fontId="46" fillId="0" borderId="35" xfId="82" applyFont="1" applyBorder="1"/>
    <xf numFmtId="166" fontId="6" fillId="0" borderId="35" xfId="56" applyNumberFormat="1" applyFont="1" applyFill="1" applyBorder="1" applyAlignment="1">
      <alignment horizontal="center"/>
    </xf>
    <xf numFmtId="0" fontId="6" fillId="0" borderId="21" xfId="82" applyFont="1" applyBorder="1" applyAlignment="1">
      <alignment horizontal="left"/>
    </xf>
    <xf numFmtId="0" fontId="46" fillId="39" borderId="11" xfId="82" applyFont="1" applyFill="1" applyBorder="1" applyAlignment="1">
      <alignment horizontal="left"/>
    </xf>
    <xf numFmtId="0" fontId="57" fillId="0" borderId="0" xfId="82" applyFont="1"/>
    <xf numFmtId="0" fontId="46" fillId="0" borderId="0" xfId="82" applyFont="1" applyAlignment="1">
      <alignment horizontal="right"/>
    </xf>
    <xf numFmtId="0" fontId="6" fillId="25" borderId="0" xfId="82" applyFont="1" applyFill="1"/>
    <xf numFmtId="0" fontId="69" fillId="0" borderId="12" xfId="0" applyFont="1" applyBorder="1"/>
    <xf numFmtId="0" fontId="0" fillId="0" borderId="13" xfId="0" applyBorder="1" applyAlignment="1">
      <alignment horizontal="left" vertical="center"/>
    </xf>
    <xf numFmtId="3" fontId="27" fillId="0" borderId="15" xfId="0" applyNumberFormat="1" applyFont="1" applyBorder="1"/>
    <xf numFmtId="0" fontId="0" fillId="39" borderId="19" xfId="0" applyFill="1" applyBorder="1"/>
    <xf numFmtId="0" fontId="44" fillId="25" borderId="0" xfId="0" applyFont="1" applyFill="1" applyAlignment="1">
      <alignment horizontal="center" wrapText="1"/>
    </xf>
    <xf numFmtId="0" fontId="0" fillId="44" borderId="19" xfId="0" applyFill="1" applyBorder="1" applyAlignment="1">
      <alignment horizontal="center"/>
    </xf>
    <xf numFmtId="0" fontId="0" fillId="24" borderId="19" xfId="0" applyFill="1" applyBorder="1" applyAlignment="1">
      <alignment horizontal="center" wrapText="1"/>
    </xf>
    <xf numFmtId="165" fontId="0" fillId="24" borderId="11" xfId="0" applyNumberFormat="1" applyFill="1" applyBorder="1"/>
    <xf numFmtId="165" fontId="0" fillId="25" borderId="11" xfId="0" applyNumberForma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24" borderId="11" xfId="82" applyFont="1" applyFill="1" applyBorder="1" applyAlignment="1">
      <alignment horizontal="left"/>
    </xf>
    <xf numFmtId="0" fontId="46" fillId="39" borderId="11" xfId="82" applyFont="1" applyFill="1" applyBorder="1" applyProtection="1">
      <protection locked="0"/>
    </xf>
    <xf numFmtId="166" fontId="46" fillId="39" borderId="11" xfId="56" applyNumberFormat="1" applyFont="1" applyFill="1" applyBorder="1" applyAlignment="1" applyProtection="1">
      <alignment horizontal="center"/>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0" fontId="46" fillId="25" borderId="0" xfId="82" applyFont="1" applyFill="1" applyAlignment="1">
      <alignment horizontal="left"/>
    </xf>
    <xf numFmtId="0" fontId="44" fillId="0" borderId="0" xfId="0" applyFont="1" applyAlignment="1">
      <alignment horizontal="right"/>
    </xf>
    <xf numFmtId="9" fontId="0" fillId="0" borderId="0" xfId="0" applyNumberFormat="1" applyAlignment="1">
      <alignment horizontal="right"/>
    </xf>
    <xf numFmtId="0" fontId="46" fillId="0" borderId="20" xfId="0" applyFont="1" applyBorder="1"/>
    <xf numFmtId="0" fontId="46" fillId="0" borderId="17" xfId="0" applyFont="1" applyBorder="1"/>
    <xf numFmtId="3" fontId="0" fillId="25" borderId="11" xfId="0" applyNumberFormat="1" applyFill="1" applyBorder="1"/>
    <xf numFmtId="0" fontId="46" fillId="25" borderId="0" xfId="82" applyFont="1" applyFill="1" applyAlignment="1">
      <alignment horizontal="center"/>
    </xf>
    <xf numFmtId="3" fontId="44" fillId="25" borderId="11" xfId="0" applyNumberFormat="1" applyFont="1" applyFill="1" applyBorder="1"/>
    <xf numFmtId="0" fontId="0" fillId="25" borderId="12" xfId="82" applyFont="1" applyFill="1" applyBorder="1"/>
    <xf numFmtId="0" fontId="0" fillId="25" borderId="12" xfId="0" applyFill="1" applyBorder="1" applyAlignment="1">
      <alignment horizontal="left"/>
    </xf>
    <xf numFmtId="0" fontId="0" fillId="25" borderId="20" xfId="0" applyFill="1" applyBorder="1"/>
    <xf numFmtId="3" fontId="44" fillId="39" borderId="11" xfId="0" applyNumberFormat="1" applyFont="1" applyFill="1" applyBorder="1" applyProtection="1">
      <protection locked="0"/>
    </xf>
    <xf numFmtId="0" fontId="69" fillId="25" borderId="12" xfId="0" applyFont="1" applyFill="1" applyBorder="1"/>
    <xf numFmtId="0" fontId="0" fillId="39" borderId="36" xfId="0" applyFill="1" applyBorder="1"/>
    <xf numFmtId="10" fontId="0" fillId="0" borderId="14" xfId="92" applyNumberFormat="1" applyFont="1" applyFill="1" applyBorder="1"/>
    <xf numFmtId="0" fontId="48" fillId="24" borderId="12" xfId="82" applyFont="1" applyFill="1" applyBorder="1" applyAlignment="1">
      <alignment horizontal="center" wrapText="1"/>
    </xf>
    <xf numFmtId="164" fontId="46" fillId="39" borderId="19" xfId="82" applyNumberFormat="1" applyFont="1" applyFill="1" applyBorder="1" applyAlignment="1">
      <alignment horizontal="right"/>
    </xf>
    <xf numFmtId="165" fontId="46" fillId="0" borderId="0" xfId="82" applyNumberFormat="1" applyFont="1" applyAlignment="1">
      <alignment horizontal="left"/>
    </xf>
    <xf numFmtId="1" fontId="0" fillId="0" borderId="11" xfId="0" applyNumberFormat="1" applyBorder="1"/>
    <xf numFmtId="0" fontId="46" fillId="25" borderId="19" xfId="82" applyFont="1" applyFill="1" applyBorder="1"/>
    <xf numFmtId="10" fontId="46" fillId="25" borderId="23" xfId="56" applyNumberFormat="1" applyFont="1" applyFill="1" applyBorder="1" applyAlignment="1">
      <alignment horizontal="right"/>
    </xf>
    <xf numFmtId="1" fontId="57" fillId="25" borderId="19" xfId="82" applyNumberFormat="1" applyFont="1" applyFill="1" applyBorder="1"/>
    <xf numFmtId="0" fontId="46" fillId="25" borderId="11" xfId="82" applyFont="1" applyFill="1" applyBorder="1"/>
    <xf numFmtId="1" fontId="57" fillId="25" borderId="11" xfId="82" applyNumberFormat="1" applyFont="1" applyFill="1" applyBorder="1"/>
    <xf numFmtId="165" fontId="46" fillId="25" borderId="19" xfId="82" applyNumberFormat="1" applyFont="1" applyFill="1" applyBorder="1" applyAlignment="1">
      <alignment horizontal="right"/>
    </xf>
    <xf numFmtId="165" fontId="46" fillId="25" borderId="11" xfId="82" applyNumberFormat="1" applyFont="1" applyFill="1" applyBorder="1" applyAlignment="1">
      <alignment horizontal="right"/>
    </xf>
    <xf numFmtId="165" fontId="46" fillId="0" borderId="11" xfId="82" applyNumberFormat="1" applyFont="1" applyBorder="1" applyAlignment="1">
      <alignment horizontal="right"/>
    </xf>
    <xf numFmtId="171" fontId="0" fillId="39" borderId="11" xfId="92" applyNumberFormat="1" applyFont="1" applyFill="1" applyBorder="1" applyProtection="1">
      <protection locked="0"/>
    </xf>
    <xf numFmtId="3" fontId="0" fillId="39" borderId="11" xfId="0" applyNumberFormat="1" applyFill="1" applyBorder="1" applyProtection="1">
      <protection locked="0"/>
    </xf>
    <xf numFmtId="10" fontId="0" fillId="39" borderId="11" xfId="92" applyNumberFormat="1" applyFont="1" applyFill="1" applyBorder="1" applyProtection="1">
      <protection locked="0"/>
    </xf>
    <xf numFmtId="10" fontId="0" fillId="25" borderId="11" xfId="92" applyNumberFormat="1" applyFont="1" applyFill="1" applyBorder="1" applyProtection="1">
      <protection locked="0"/>
    </xf>
    <xf numFmtId="174" fontId="0" fillId="39" borderId="11" xfId="92" applyNumberFormat="1" applyFont="1" applyFill="1" applyBorder="1" applyProtection="1">
      <protection locked="0"/>
    </xf>
    <xf numFmtId="10" fontId="27" fillId="25" borderId="11" xfId="92" applyNumberFormat="1" applyFont="1" applyFill="1" applyBorder="1" applyProtection="1">
      <protection locked="0"/>
    </xf>
    <xf numFmtId="164" fontId="57" fillId="39" borderId="11" xfId="82" applyNumberFormat="1" applyFont="1" applyFill="1" applyBorder="1" applyProtection="1">
      <protection locked="0"/>
    </xf>
    <xf numFmtId="9" fontId="57" fillId="39" borderId="11" xfId="92" applyFont="1" applyFill="1" applyBorder="1" applyProtection="1">
      <protection locked="0"/>
    </xf>
    <xf numFmtId="9" fontId="0" fillId="39" borderId="31" xfId="0" applyNumberFormat="1" applyFill="1" applyBorder="1" applyAlignment="1" applyProtection="1">
      <alignment horizontal="right"/>
      <protection locked="0"/>
    </xf>
    <xf numFmtId="3" fontId="0" fillId="39" borderId="32" xfId="0" applyNumberFormat="1" applyFill="1" applyBorder="1" applyAlignment="1" applyProtection="1">
      <alignment horizontal="right"/>
      <protection locked="0"/>
    </xf>
    <xf numFmtId="3" fontId="0" fillId="39" borderId="31" xfId="0" applyNumberFormat="1" applyFill="1" applyBorder="1" applyAlignment="1" applyProtection="1">
      <alignment horizontal="right"/>
      <protection locked="0"/>
    </xf>
    <xf numFmtId="0" fontId="0" fillId="39" borderId="11" xfId="0" applyFill="1" applyBorder="1" applyProtection="1">
      <protection locked="0"/>
    </xf>
    <xf numFmtId="0" fontId="0" fillId="39" borderId="32" xfId="0" applyFill="1" applyBorder="1" applyProtection="1">
      <protection locked="0"/>
    </xf>
    <xf numFmtId="0" fontId="0" fillId="39" borderId="33" xfId="0" applyFill="1" applyBorder="1" applyProtection="1">
      <protection locked="0"/>
    </xf>
    <xf numFmtId="0" fontId="0" fillId="39" borderId="34" xfId="0" applyFill="1" applyBorder="1" applyProtection="1">
      <protection locked="0"/>
    </xf>
    <xf numFmtId="0" fontId="0" fillId="39" borderId="37" xfId="0" applyFill="1" applyBorder="1" applyProtection="1">
      <protection locked="0"/>
    </xf>
    <xf numFmtId="0" fontId="0" fillId="39" borderId="38" xfId="0" applyFill="1" applyBorder="1" applyProtection="1">
      <protection locked="0"/>
    </xf>
    <xf numFmtId="0" fontId="0" fillId="39" borderId="31" xfId="0" applyFill="1" applyBorder="1" applyProtection="1">
      <protection locked="0"/>
    </xf>
    <xf numFmtId="10" fontId="0" fillId="39" borderId="38" xfId="92" applyNumberFormat="1" applyFont="1" applyFill="1" applyBorder="1" applyProtection="1">
      <protection locked="0"/>
    </xf>
    <xf numFmtId="10" fontId="0" fillId="39" borderId="46" xfId="92" applyNumberFormat="1" applyFont="1" applyFill="1" applyBorder="1" applyProtection="1">
      <protection locked="0"/>
    </xf>
    <xf numFmtId="0" fontId="46" fillId="39" borderId="19" xfId="82" applyFont="1" applyFill="1" applyBorder="1" applyProtection="1">
      <protection locked="0"/>
    </xf>
    <xf numFmtId="166" fontId="46" fillId="39" borderId="23" xfId="56" applyNumberFormat="1" applyFont="1" applyFill="1" applyBorder="1" applyAlignment="1" applyProtection="1">
      <alignment horizontal="center"/>
      <protection locked="0"/>
    </xf>
    <xf numFmtId="0" fontId="57" fillId="39" borderId="19" xfId="82" applyFont="1" applyFill="1" applyBorder="1" applyProtection="1">
      <protection locked="0"/>
    </xf>
    <xf numFmtId="164" fontId="46" fillId="39" borderId="19" xfId="82" applyNumberFormat="1" applyFont="1" applyFill="1" applyBorder="1" applyAlignment="1" applyProtection="1">
      <alignment horizontal="right"/>
      <protection locked="0"/>
    </xf>
    <xf numFmtId="165" fontId="46" fillId="39" borderId="19" xfId="82" applyNumberFormat="1" applyFont="1" applyFill="1" applyBorder="1" applyAlignment="1" applyProtection="1">
      <alignment horizontal="right"/>
      <protection locked="0"/>
    </xf>
    <xf numFmtId="166" fontId="46" fillId="39" borderId="12" xfId="56" applyNumberFormat="1" applyFont="1" applyFill="1" applyBorder="1" applyAlignment="1" applyProtection="1">
      <alignment horizontal="center"/>
      <protection locked="0"/>
    </xf>
    <xf numFmtId="0" fontId="57" fillId="39" borderId="11" xfId="82" applyFont="1" applyFill="1" applyBorder="1" applyProtection="1">
      <protection locked="0"/>
    </xf>
    <xf numFmtId="0" fontId="46" fillId="39" borderId="11" xfId="82" applyFont="1" applyFill="1" applyBorder="1" applyAlignment="1" applyProtection="1">
      <alignment horizontal="right"/>
      <protection locked="0"/>
    </xf>
    <xf numFmtId="165" fontId="46" fillId="39" borderId="11" xfId="82" applyNumberFormat="1" applyFont="1" applyFill="1" applyBorder="1" applyAlignment="1" applyProtection="1">
      <alignment horizontal="right"/>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164" fontId="46" fillId="39" borderId="11" xfId="82" applyNumberFormat="1" applyFont="1" applyFill="1" applyBorder="1" applyProtection="1">
      <protection locked="0"/>
    </xf>
    <xf numFmtId="165" fontId="27" fillId="39" borderId="11" xfId="0" applyNumberFormat="1" applyFont="1" applyFill="1" applyBorder="1" applyProtection="1">
      <protection locked="0"/>
    </xf>
    <xf numFmtId="0" fontId="54" fillId="25" borderId="0" xfId="0" applyFont="1" applyFill="1"/>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48" fillId="24" borderId="12" xfId="82" applyFont="1" applyFill="1" applyBorder="1" applyAlignment="1">
      <alignment horizontal="center"/>
    </xf>
    <xf numFmtId="0" fontId="48" fillId="24" borderId="17" xfId="82" applyFont="1" applyFill="1" applyBorder="1" applyAlignment="1">
      <alignment horizontal="center"/>
    </xf>
    <xf numFmtId="0" fontId="29" fillId="0" borderId="0" xfId="0" quotePrefix="1" applyFont="1" applyAlignment="1">
      <alignment wrapText="1"/>
    </xf>
    <xf numFmtId="0" fontId="0" fillId="0" borderId="0" xfId="0" applyAlignment="1">
      <alignment wrapText="1"/>
    </xf>
    <xf numFmtId="0" fontId="44" fillId="49" borderId="12" xfId="82" applyFont="1" applyFill="1" applyBorder="1" applyAlignment="1">
      <alignment horizontal="center" vertical="center"/>
    </xf>
    <xf numFmtId="0" fontId="44" fillId="49" borderId="20" xfId="82" applyFont="1" applyFill="1" applyBorder="1" applyAlignment="1">
      <alignment horizontal="center" vertical="center"/>
    </xf>
    <xf numFmtId="0" fontId="44" fillId="49" borderId="17" xfId="82" applyFont="1" applyFill="1" applyBorder="1" applyAlignment="1">
      <alignment horizontal="center" vertical="center"/>
    </xf>
    <xf numFmtId="0" fontId="58" fillId="47" borderId="23" xfId="82" applyFont="1" applyFill="1" applyBorder="1" applyAlignment="1">
      <alignment horizontal="center"/>
    </xf>
    <xf numFmtId="0" fontId="58" fillId="47" borderId="10" xfId="82" applyFont="1" applyFill="1" applyBorder="1" applyAlignment="1">
      <alignment horizontal="center"/>
    </xf>
    <xf numFmtId="0" fontId="58" fillId="47" borderId="22"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bulletins/nationalpopulationprojections/2021basedinterim" TargetMode="External"/><Relationship Id="rId2" Type="http://schemas.openxmlformats.org/officeDocument/2006/relationships/hyperlink" Target="https://www.nisra.gov.uk/statistics/population/mid-year-population-estimates" TargetMode="Externa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3"/>
  <sheetViews>
    <sheetView showGridLines="0" tabSelected="1" zoomScale="80" zoomScaleNormal="80" zoomScaleSheetLayoutView="80" workbookViewId="0">
      <selection activeCell="K6" sqref="K6"/>
    </sheetView>
  </sheetViews>
  <sheetFormatPr defaultRowHeight="15" x14ac:dyDescent="0.25"/>
  <cols>
    <col min="1" max="1" width="1.42578125" customWidth="1"/>
    <col min="2" max="2" width="1.85546875" customWidth="1"/>
    <col min="14" max="14" width="8.5703125" customWidth="1"/>
    <col min="15" max="15" width="1.5703125" customWidth="1"/>
    <col min="16" max="16" width="1.42578125" customWidth="1"/>
    <col min="21" max="21" width="31" customWidth="1"/>
  </cols>
  <sheetData>
    <row r="2" spans="2:21" x14ac:dyDescent="0.25">
      <c r="B2" s="174"/>
      <c r="C2" s="347"/>
      <c r="D2" s="347"/>
      <c r="E2" s="347"/>
      <c r="F2" s="347"/>
      <c r="G2" s="347"/>
      <c r="H2" s="347"/>
      <c r="I2" s="347"/>
      <c r="J2" s="347"/>
      <c r="K2" s="347"/>
      <c r="L2" s="347"/>
      <c r="M2" s="347"/>
      <c r="N2" s="347"/>
      <c r="O2" s="159"/>
    </row>
    <row r="3" spans="2:21" x14ac:dyDescent="0.25">
      <c r="B3" s="162"/>
      <c r="O3" s="161"/>
    </row>
    <row r="4" spans="2:21" x14ac:dyDescent="0.25">
      <c r="B4" s="162"/>
      <c r="O4" s="161"/>
    </row>
    <row r="5" spans="2:21" x14ac:dyDescent="0.25">
      <c r="B5" s="162"/>
      <c r="O5" s="161"/>
    </row>
    <row r="6" spans="2:21" ht="46.5" x14ac:dyDescent="0.7">
      <c r="B6" s="162"/>
      <c r="O6" s="161"/>
      <c r="S6" s="386"/>
      <c r="U6" s="387"/>
    </row>
    <row r="7" spans="2:21" x14ac:dyDescent="0.25">
      <c r="B7" s="162"/>
      <c r="O7" s="161"/>
    </row>
    <row r="8" spans="2:21" x14ac:dyDescent="0.25">
      <c r="B8" s="162"/>
      <c r="O8" s="161"/>
    </row>
    <row r="9" spans="2:21" x14ac:dyDescent="0.25">
      <c r="B9" s="162"/>
      <c r="O9" s="161"/>
    </row>
    <row r="10" spans="2:21" x14ac:dyDescent="0.25">
      <c r="B10" s="162"/>
      <c r="C10" s="175"/>
      <c r="D10" s="175"/>
      <c r="E10" s="175"/>
      <c r="F10" s="175"/>
      <c r="G10" s="175"/>
      <c r="H10" s="175"/>
      <c r="I10" s="175"/>
      <c r="J10" s="175"/>
      <c r="K10" s="175"/>
      <c r="L10" s="175"/>
      <c r="M10" s="175"/>
      <c r="N10" s="175"/>
      <c r="O10" s="161"/>
    </row>
    <row r="11" spans="2:21" ht="31.5" x14ac:dyDescent="0.5">
      <c r="B11" s="162"/>
      <c r="C11" s="176" t="s">
        <v>0</v>
      </c>
      <c r="D11" s="175"/>
      <c r="E11" s="175"/>
      <c r="F11" s="175"/>
      <c r="G11" s="175"/>
      <c r="H11" s="175"/>
      <c r="I11" s="175"/>
      <c r="J11" s="175"/>
      <c r="K11" s="175"/>
      <c r="L11" s="175"/>
      <c r="M11" s="175"/>
      <c r="N11" s="175"/>
      <c r="O11" s="161"/>
    </row>
    <row r="12" spans="2:21" x14ac:dyDescent="0.25">
      <c r="B12" s="162"/>
      <c r="C12" s="175"/>
      <c r="D12" s="175"/>
      <c r="E12" s="175"/>
      <c r="F12" s="175"/>
      <c r="G12" s="175"/>
      <c r="H12" s="175"/>
      <c r="I12" s="175"/>
      <c r="J12" s="175"/>
      <c r="K12" s="175"/>
      <c r="L12" s="175"/>
      <c r="M12" s="175"/>
      <c r="N12" s="175"/>
      <c r="O12" s="161"/>
    </row>
    <row r="13" spans="2:21" x14ac:dyDescent="0.25">
      <c r="B13" s="162"/>
      <c r="O13" s="161"/>
    </row>
    <row r="14" spans="2:21" ht="31.5" x14ac:dyDescent="0.5">
      <c r="B14" s="162"/>
      <c r="C14" s="178" t="s">
        <v>1</v>
      </c>
      <c r="O14" s="161"/>
    </row>
    <row r="15" spans="2:21" ht="31.5" x14ac:dyDescent="0.25">
      <c r="B15" s="162"/>
      <c r="C15" s="365" t="s">
        <v>2</v>
      </c>
      <c r="O15" s="161"/>
    </row>
    <row r="16" spans="2:21" ht="31.5" x14ac:dyDescent="0.25">
      <c r="B16" s="162"/>
      <c r="C16" s="365" t="s">
        <v>3</v>
      </c>
      <c r="O16" s="161"/>
    </row>
    <row r="17" spans="2:15" ht="31.5" x14ac:dyDescent="0.25">
      <c r="B17" s="162"/>
      <c r="C17" s="365"/>
      <c r="O17" s="161"/>
    </row>
    <row r="18" spans="2:15" ht="31.5" x14ac:dyDescent="0.5">
      <c r="B18" s="162"/>
      <c r="C18" s="177" t="s">
        <v>4</v>
      </c>
      <c r="D18" s="801"/>
      <c r="O18" s="161"/>
    </row>
    <row r="19" spans="2:15" ht="31.5" x14ac:dyDescent="0.5">
      <c r="B19" s="162"/>
      <c r="D19" s="179"/>
      <c r="O19" s="161"/>
    </row>
    <row r="20" spans="2:15" ht="31.5" x14ac:dyDescent="0.5">
      <c r="B20" s="162"/>
      <c r="D20" s="179"/>
      <c r="O20" s="161"/>
    </row>
    <row r="21" spans="2:15" ht="31.5" x14ac:dyDescent="0.5">
      <c r="B21" s="162"/>
      <c r="D21" s="179"/>
      <c r="O21" s="161"/>
    </row>
    <row r="22" spans="2:15" ht="31.5" x14ac:dyDescent="0.5">
      <c r="B22" s="162"/>
      <c r="D22" s="179"/>
      <c r="O22" s="161"/>
    </row>
    <row r="23" spans="2:15" ht="31.5" x14ac:dyDescent="0.5">
      <c r="B23" s="162"/>
      <c r="D23" s="179"/>
      <c r="O23" s="161"/>
    </row>
    <row r="24" spans="2:15" ht="31.5" x14ac:dyDescent="0.5">
      <c r="B24" s="162"/>
      <c r="C24" s="364"/>
      <c r="D24" s="179"/>
      <c r="O24" s="161"/>
    </row>
    <row r="25" spans="2:15" x14ac:dyDescent="0.25">
      <c r="B25" s="162"/>
      <c r="O25" s="161"/>
    </row>
    <row r="26" spans="2:15" x14ac:dyDescent="0.25">
      <c r="B26" s="162"/>
      <c r="O26" s="161"/>
    </row>
    <row r="27" spans="2:15" x14ac:dyDescent="0.25">
      <c r="B27" s="162"/>
      <c r="O27" s="161"/>
    </row>
    <row r="28" spans="2:15" x14ac:dyDescent="0.25">
      <c r="B28" s="162"/>
      <c r="O28" s="161"/>
    </row>
    <row r="29" spans="2:15" x14ac:dyDescent="0.25">
      <c r="B29" s="162"/>
      <c r="O29" s="161"/>
    </row>
    <row r="30" spans="2:15" x14ac:dyDescent="0.25">
      <c r="B30" s="162"/>
      <c r="O30" s="161"/>
    </row>
    <row r="31" spans="2:15" x14ac:dyDescent="0.25">
      <c r="B31" s="162"/>
      <c r="O31" s="161"/>
    </row>
    <row r="32" spans="2:15" x14ac:dyDescent="0.25">
      <c r="B32" s="162"/>
      <c r="O32" s="161"/>
    </row>
    <row r="33" spans="2:15" x14ac:dyDescent="0.25">
      <c r="B33" s="162"/>
      <c r="O33" s="161"/>
    </row>
    <row r="34" spans="2:15" x14ac:dyDescent="0.25">
      <c r="B34" s="162"/>
      <c r="O34" s="161"/>
    </row>
    <row r="35" spans="2:15" x14ac:dyDescent="0.25">
      <c r="B35" s="162"/>
      <c r="C35" s="149" t="s">
        <v>5</v>
      </c>
      <c r="D35" s="202"/>
      <c r="E35" s="170"/>
      <c r="F35" s="202" t="s">
        <v>6</v>
      </c>
      <c r="G35" s="202"/>
      <c r="H35" s="202"/>
      <c r="I35" s="202"/>
      <c r="J35" s="202"/>
      <c r="K35" s="202"/>
      <c r="L35" s="202"/>
      <c r="M35" s="170"/>
      <c r="O35" s="161"/>
    </row>
    <row r="36" spans="2:15" x14ac:dyDescent="0.25">
      <c r="B36" s="162"/>
      <c r="C36" s="149" t="s">
        <v>7</v>
      </c>
      <c r="D36" s="202"/>
      <c r="E36" s="170"/>
      <c r="F36" s="243" t="s">
        <v>8</v>
      </c>
      <c r="G36" s="202"/>
      <c r="H36" s="202"/>
      <c r="I36" s="202"/>
      <c r="J36" s="202"/>
      <c r="K36" s="202"/>
      <c r="L36" s="202"/>
      <c r="M36" s="170"/>
      <c r="O36" s="161"/>
    </row>
    <row r="37" spans="2:15" x14ac:dyDescent="0.25">
      <c r="B37" s="162"/>
      <c r="C37" s="149" t="s">
        <v>9</v>
      </c>
      <c r="D37" s="202"/>
      <c r="E37" s="170"/>
      <c r="F37" s="243" t="s">
        <v>10</v>
      </c>
      <c r="G37" s="202"/>
      <c r="H37" s="202"/>
      <c r="I37" s="202"/>
      <c r="J37" s="202"/>
      <c r="K37" s="202"/>
      <c r="L37" s="202"/>
      <c r="M37" s="170"/>
      <c r="O37" s="161"/>
    </row>
    <row r="38" spans="2:15" x14ac:dyDescent="0.25">
      <c r="B38" s="162"/>
      <c r="C38" s="149" t="s">
        <v>11</v>
      </c>
      <c r="D38" s="202"/>
      <c r="E38" s="170"/>
      <c r="F38" s="243" t="s">
        <v>12</v>
      </c>
      <c r="G38" s="202"/>
      <c r="H38" s="202"/>
      <c r="I38" s="202"/>
      <c r="J38" s="202"/>
      <c r="K38" s="202"/>
      <c r="L38" s="202"/>
      <c r="M38" s="170"/>
      <c r="O38" s="161"/>
    </row>
    <row r="39" spans="2:15" x14ac:dyDescent="0.25">
      <c r="B39" s="162"/>
      <c r="C39" s="243" t="s">
        <v>13</v>
      </c>
      <c r="D39" s="202"/>
      <c r="E39" s="170"/>
      <c r="F39" s="243" t="s">
        <v>14</v>
      </c>
      <c r="G39" s="202"/>
      <c r="H39" s="202"/>
      <c r="I39" s="202"/>
      <c r="J39" s="202"/>
      <c r="K39" s="202"/>
      <c r="L39" s="202"/>
      <c r="M39" s="170"/>
      <c r="O39" s="161"/>
    </row>
    <row r="40" spans="2:15" x14ac:dyDescent="0.25">
      <c r="B40" s="162"/>
      <c r="C40" s="149" t="s">
        <v>15</v>
      </c>
      <c r="D40" s="202"/>
      <c r="E40" s="170"/>
      <c r="F40" s="243" t="s">
        <v>16</v>
      </c>
      <c r="G40" s="202"/>
      <c r="H40" s="202"/>
      <c r="I40" s="202"/>
      <c r="J40" s="202"/>
      <c r="K40" s="202"/>
      <c r="L40" s="202"/>
      <c r="M40" s="170"/>
      <c r="O40" s="161"/>
    </row>
    <row r="41" spans="2:15" x14ac:dyDescent="0.25">
      <c r="B41" s="162"/>
      <c r="C41" s="149" t="s">
        <v>17</v>
      </c>
      <c r="D41" s="202"/>
      <c r="E41" s="170"/>
      <c r="F41" s="243" t="s">
        <v>18</v>
      </c>
      <c r="G41" s="202"/>
      <c r="H41" s="202"/>
      <c r="I41" s="202"/>
      <c r="J41" s="202"/>
      <c r="K41" s="202"/>
      <c r="L41" s="202"/>
      <c r="M41" s="170"/>
      <c r="O41" s="161"/>
    </row>
    <row r="42" spans="2:15" x14ac:dyDescent="0.25">
      <c r="B42" s="162"/>
      <c r="C42" s="149" t="s">
        <v>19</v>
      </c>
      <c r="D42" s="202"/>
      <c r="E42" s="170"/>
      <c r="F42" s="204">
        <v>30</v>
      </c>
      <c r="G42" s="202"/>
      <c r="H42" s="202"/>
      <c r="I42" s="202"/>
      <c r="J42" s="202"/>
      <c r="K42" s="202"/>
      <c r="L42" s="202"/>
      <c r="M42" s="170"/>
      <c r="O42" s="161"/>
    </row>
    <row r="43" spans="2:15" x14ac:dyDescent="0.25">
      <c r="B43" s="163"/>
      <c r="C43" s="164"/>
      <c r="D43" s="164"/>
      <c r="E43" s="164"/>
      <c r="F43" s="164"/>
      <c r="G43" s="164"/>
      <c r="H43" s="164"/>
      <c r="I43" s="164"/>
      <c r="J43" s="164"/>
      <c r="K43" s="164"/>
      <c r="L43" s="164"/>
      <c r="M43" s="164"/>
      <c r="N43" s="164"/>
      <c r="O43" s="165"/>
    </row>
  </sheetData>
  <sheetProtection algorithmName="SHA-512" hashValue="QSG+tEc8MTkQ1odPLfN5tEUIbTwn7+zdArZQZz1cQeZnPE59JotTg3p5YgW1ffHD4f5KroB1/Y1QjJFz93hlMw==" saltValue="XzuYjK3/O3nJHAQ9/vR7Cw=="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410" t="s">
        <v>20</v>
      </c>
      <c r="C2" s="408"/>
      <c r="D2" s="408"/>
      <c r="E2" s="408"/>
      <c r="F2" s="408"/>
      <c r="G2" s="408"/>
      <c r="H2" s="408"/>
      <c r="I2" s="408"/>
      <c r="J2" s="408"/>
      <c r="K2" s="408"/>
      <c r="L2" s="408"/>
      <c r="M2" s="408"/>
      <c r="N2" s="408"/>
      <c r="O2" s="408"/>
      <c r="P2" s="409"/>
    </row>
    <row r="5" spans="2:17" x14ac:dyDescent="0.25">
      <c r="B5" s="232" t="s">
        <v>21</v>
      </c>
      <c r="C5" s="431"/>
      <c r="D5" s="431"/>
      <c r="E5" s="431"/>
      <c r="F5" s="431"/>
      <c r="G5" s="431"/>
      <c r="H5" s="431"/>
      <c r="I5" s="431"/>
      <c r="J5" s="431"/>
      <c r="K5" s="431"/>
      <c r="L5" s="431"/>
      <c r="M5" s="431"/>
      <c r="N5" s="431"/>
      <c r="O5" s="431"/>
      <c r="P5" s="233"/>
    </row>
    <row r="6" spans="2:17" x14ac:dyDescent="0.25">
      <c r="B6" s="237" t="s">
        <v>22</v>
      </c>
      <c r="C6" s="230"/>
      <c r="D6" s="230"/>
      <c r="E6" s="230"/>
      <c r="F6" s="230"/>
      <c r="G6" s="230"/>
      <c r="H6" s="230"/>
      <c r="I6" s="230"/>
      <c r="J6" s="230"/>
      <c r="K6" s="230"/>
      <c r="L6" s="230"/>
      <c r="M6" s="230"/>
      <c r="N6" s="230"/>
      <c r="O6" s="230"/>
      <c r="P6" s="238"/>
    </row>
    <row r="7" spans="2:17" x14ac:dyDescent="0.25">
      <c r="B7" s="235" t="s">
        <v>23</v>
      </c>
      <c r="C7" s="234"/>
      <c r="D7" s="234"/>
      <c r="E7" s="234"/>
      <c r="F7" s="234"/>
      <c r="G7" s="234"/>
      <c r="H7" s="234"/>
      <c r="I7" s="234"/>
      <c r="J7" s="234"/>
      <c r="K7" s="234"/>
      <c r="L7" s="234"/>
      <c r="M7" s="234"/>
      <c r="N7" s="234"/>
      <c r="O7" s="234"/>
      <c r="P7" s="236"/>
    </row>
    <row r="9" spans="2:17" x14ac:dyDescent="0.25">
      <c r="N9" s="488"/>
      <c r="O9" s="488"/>
      <c r="P9" s="488"/>
    </row>
    <row r="10" spans="2:17" x14ac:dyDescent="0.25">
      <c r="B10" s="232"/>
      <c r="C10" s="431"/>
      <c r="D10" s="431"/>
      <c r="E10" s="431"/>
      <c r="F10" s="431"/>
      <c r="G10" s="431"/>
      <c r="H10" s="233"/>
      <c r="J10" s="232"/>
      <c r="K10" s="431"/>
      <c r="L10" s="431"/>
      <c r="M10" s="431"/>
      <c r="N10" s="230"/>
      <c r="O10" s="230"/>
      <c r="P10" s="230"/>
      <c r="Q10" s="162"/>
    </row>
    <row r="11" spans="2:17" ht="47.25" x14ac:dyDescent="0.25">
      <c r="B11" s="237"/>
      <c r="C11" s="394" t="s">
        <v>24</v>
      </c>
      <c r="D11" s="491"/>
      <c r="E11" s="394" t="s">
        <v>25</v>
      </c>
      <c r="F11" s="491"/>
      <c r="G11" s="487" t="s">
        <v>26</v>
      </c>
      <c r="H11" s="492"/>
      <c r="I11" s="395"/>
      <c r="J11" s="495"/>
      <c r="K11" s="396" t="s">
        <v>27</v>
      </c>
      <c r="L11" s="495"/>
      <c r="M11" s="396" t="s">
        <v>28</v>
      </c>
      <c r="N11" s="491"/>
      <c r="O11" s="396" t="s">
        <v>29</v>
      </c>
      <c r="P11" s="491"/>
      <c r="Q11" s="162"/>
    </row>
    <row r="12" spans="2:17" x14ac:dyDescent="0.25">
      <c r="B12" s="237"/>
      <c r="C12" s="230"/>
      <c r="D12" s="230"/>
      <c r="E12" s="230"/>
      <c r="F12" s="230"/>
      <c r="G12" s="230"/>
      <c r="H12" s="238"/>
      <c r="J12" s="237"/>
      <c r="K12" s="230"/>
      <c r="L12" s="230"/>
      <c r="M12" s="230"/>
      <c r="N12" s="230"/>
      <c r="O12" s="230"/>
      <c r="P12" s="230"/>
      <c r="Q12" s="162"/>
    </row>
    <row r="13" spans="2:17" ht="39.950000000000003" customHeight="1" x14ac:dyDescent="0.25">
      <c r="B13" s="237"/>
      <c r="C13" s="489"/>
      <c r="D13" s="202"/>
      <c r="E13" s="583" t="s">
        <v>30</v>
      </c>
      <c r="F13" s="202"/>
      <c r="G13" s="490"/>
      <c r="H13" s="238"/>
      <c r="J13" s="237"/>
      <c r="K13" s="489"/>
      <c r="L13" s="202"/>
      <c r="M13" s="584" t="s">
        <v>31</v>
      </c>
      <c r="N13" s="202"/>
      <c r="O13" s="490"/>
      <c r="P13" s="230"/>
      <c r="Q13" s="162"/>
    </row>
    <row r="14" spans="2:17" x14ac:dyDescent="0.25">
      <c r="B14" s="237"/>
      <c r="C14" s="230"/>
      <c r="D14" s="230"/>
      <c r="E14" s="230"/>
      <c r="F14" s="230"/>
      <c r="G14" s="230"/>
      <c r="H14" s="238"/>
      <c r="J14" s="237"/>
      <c r="K14" s="230"/>
      <c r="L14" s="230"/>
      <c r="M14" s="230"/>
      <c r="N14" s="230"/>
      <c r="O14" s="230"/>
      <c r="P14" s="230"/>
      <c r="Q14" s="162"/>
    </row>
    <row r="15" spans="2:17" ht="213.75" customHeight="1" x14ac:dyDescent="0.25">
      <c r="B15" s="237"/>
      <c r="C15" s="391" t="s">
        <v>32</v>
      </c>
      <c r="D15" s="493"/>
      <c r="E15" s="392" t="s">
        <v>33</v>
      </c>
      <c r="F15" s="493"/>
      <c r="G15" s="390" t="s">
        <v>34</v>
      </c>
      <c r="H15" s="494"/>
      <c r="I15" s="249"/>
      <c r="J15" s="496"/>
      <c r="K15" s="393" t="s">
        <v>35</v>
      </c>
      <c r="L15" s="496"/>
      <c r="M15" s="435" t="s">
        <v>36</v>
      </c>
      <c r="N15" s="493"/>
      <c r="O15" s="435" t="s">
        <v>37</v>
      </c>
      <c r="P15" s="493"/>
      <c r="Q15" s="162"/>
    </row>
    <row r="16" spans="2:17" x14ac:dyDescent="0.25">
      <c r="B16" s="235"/>
      <c r="C16" s="234"/>
      <c r="D16" s="234"/>
      <c r="E16" s="234"/>
      <c r="F16" s="234"/>
      <c r="G16" s="234"/>
      <c r="H16" s="236"/>
      <c r="J16" s="235"/>
      <c r="K16" s="234"/>
      <c r="L16" s="497"/>
      <c r="M16" s="497"/>
      <c r="N16" s="497"/>
      <c r="O16" s="497"/>
      <c r="P16" s="497"/>
      <c r="Q16" s="162"/>
    </row>
    <row r="19" spans="2:16" x14ac:dyDescent="0.25">
      <c r="B19" s="232"/>
      <c r="C19" s="431"/>
      <c r="D19" s="431"/>
      <c r="E19" s="431"/>
      <c r="F19" s="431"/>
      <c r="G19" s="431"/>
      <c r="H19" s="431"/>
      <c r="I19" s="431"/>
      <c r="J19" s="431"/>
      <c r="K19" s="431"/>
      <c r="L19" s="431"/>
      <c r="M19" s="431"/>
      <c r="N19" s="431"/>
      <c r="O19" s="431"/>
      <c r="P19" s="233"/>
    </row>
    <row r="20" spans="2:16" x14ac:dyDescent="0.25">
      <c r="B20" s="237" t="s">
        <v>38</v>
      </c>
      <c r="C20" s="230"/>
      <c r="D20" s="230"/>
      <c r="E20" s="230"/>
      <c r="F20" s="230"/>
      <c r="G20" s="230"/>
      <c r="H20" s="230"/>
      <c r="I20" s="230"/>
      <c r="J20" s="230"/>
      <c r="K20" s="230"/>
      <c r="L20" s="230"/>
      <c r="M20" s="230"/>
      <c r="N20" s="230"/>
      <c r="O20" s="230"/>
      <c r="P20" s="238"/>
    </row>
    <row r="21" spans="2:16" x14ac:dyDescent="0.25">
      <c r="B21" s="498" t="s">
        <v>39</v>
      </c>
      <c r="C21" s="230"/>
      <c r="D21" s="230"/>
      <c r="E21" s="230"/>
      <c r="F21" s="230"/>
      <c r="G21" s="230"/>
      <c r="H21" s="230"/>
      <c r="I21" s="230"/>
      <c r="J21" s="230"/>
      <c r="K21" s="230"/>
      <c r="L21" s="230"/>
      <c r="M21" s="230"/>
      <c r="N21" s="230"/>
      <c r="O21" s="230"/>
      <c r="P21" s="238"/>
    </row>
    <row r="22" spans="2:16" x14ac:dyDescent="0.25">
      <c r="B22" s="499" t="s">
        <v>40</v>
      </c>
      <c r="C22" s="230"/>
      <c r="D22" s="230"/>
      <c r="E22" s="230"/>
      <c r="F22" s="230"/>
      <c r="G22" s="230"/>
      <c r="H22" s="230"/>
      <c r="I22" s="230"/>
      <c r="J22" s="230"/>
      <c r="K22" s="230"/>
      <c r="L22" s="230"/>
      <c r="M22" s="230"/>
      <c r="N22" s="230"/>
      <c r="O22" s="230"/>
      <c r="P22" s="238"/>
    </row>
    <row r="23" spans="2:16" x14ac:dyDescent="0.25">
      <c r="B23" s="500" t="s">
        <v>41</v>
      </c>
      <c r="C23" s="230"/>
      <c r="D23" s="230"/>
      <c r="E23" s="230"/>
      <c r="F23" s="230"/>
      <c r="G23" s="230"/>
      <c r="H23" s="230"/>
      <c r="I23" s="230"/>
      <c r="J23" s="230"/>
      <c r="K23" s="230"/>
      <c r="L23" s="230"/>
      <c r="M23" s="230"/>
      <c r="N23" s="230"/>
      <c r="O23" s="230"/>
      <c r="P23" s="238"/>
    </row>
    <row r="24" spans="2:16" x14ac:dyDescent="0.25">
      <c r="B24" s="499" t="s">
        <v>42</v>
      </c>
      <c r="C24" s="230"/>
      <c r="D24" s="230"/>
      <c r="E24" s="230"/>
      <c r="F24" s="230"/>
      <c r="G24" s="230"/>
      <c r="H24" s="230"/>
      <c r="I24" s="230"/>
      <c r="J24" s="230"/>
      <c r="K24" s="230"/>
      <c r="L24" s="230"/>
      <c r="M24" s="230"/>
      <c r="N24" s="230"/>
      <c r="O24" s="230"/>
      <c r="P24" s="238"/>
    </row>
    <row r="25" spans="2:16" x14ac:dyDescent="0.25">
      <c r="B25" s="499" t="s">
        <v>43</v>
      </c>
      <c r="C25" s="230"/>
      <c r="D25" s="230"/>
      <c r="E25" s="230"/>
      <c r="F25" s="230"/>
      <c r="G25" s="230"/>
      <c r="H25" s="230"/>
      <c r="I25" s="230"/>
      <c r="J25" s="230"/>
      <c r="K25" s="230"/>
      <c r="L25" s="230"/>
      <c r="M25" s="230"/>
      <c r="N25" s="230"/>
      <c r="O25" s="230"/>
      <c r="P25" s="238"/>
    </row>
    <row r="26" spans="2:16" x14ac:dyDescent="0.25">
      <c r="B26" s="237"/>
      <c r="C26" s="230"/>
      <c r="D26" s="230"/>
      <c r="E26" s="230"/>
      <c r="F26" s="230"/>
      <c r="G26" s="230"/>
      <c r="H26" s="230"/>
      <c r="I26" s="230"/>
      <c r="J26" s="230"/>
      <c r="K26" s="230"/>
      <c r="L26" s="230"/>
      <c r="M26" s="230"/>
      <c r="N26" s="230"/>
      <c r="O26" s="230"/>
      <c r="P26" s="238"/>
    </row>
    <row r="27" spans="2:16" x14ac:dyDescent="0.25">
      <c r="B27" s="501" t="s">
        <v>44</v>
      </c>
      <c r="C27" s="230"/>
      <c r="D27" s="230"/>
      <c r="E27" s="230"/>
      <c r="F27" s="230"/>
      <c r="G27" s="230"/>
      <c r="H27" s="230"/>
      <c r="I27" s="230"/>
      <c r="J27" s="230"/>
      <c r="K27" s="230"/>
      <c r="L27" s="230"/>
      <c r="M27" s="230"/>
      <c r="N27" s="230"/>
      <c r="O27" s="230"/>
      <c r="P27" s="238"/>
    </row>
    <row r="28" spans="2:16" x14ac:dyDescent="0.25">
      <c r="B28" s="235"/>
      <c r="C28" s="234"/>
      <c r="D28" s="234"/>
      <c r="E28" s="234"/>
      <c r="F28" s="234"/>
      <c r="G28" s="234"/>
      <c r="H28" s="234"/>
      <c r="I28" s="234"/>
      <c r="J28" s="234"/>
      <c r="K28" s="234"/>
      <c r="L28" s="234"/>
      <c r="M28" s="234"/>
      <c r="N28" s="234"/>
      <c r="O28" s="234"/>
      <c r="P28" s="236"/>
    </row>
  </sheetData>
  <sheetProtection algorithmName="SHA-512" hashValue="6jiJElUiuW11fAUARffPJKohS8B6gQ6rx8o1mWRe4JLu1kPL3AnBesM5I2SrMEyGg7nKn6IMAx3solW3cOrpdA==" saltValue="PcWBZsywTX7mLW4hA8cMtw=="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topLeftCell="A12" zoomScale="40" zoomScaleNormal="40" workbookViewId="0"/>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5.140625" style="12" customWidth="1"/>
    <col min="18" max="18" width="20.140625" style="12" customWidth="1"/>
    <col min="19" max="42" width="10.85546875" style="12" customWidth="1"/>
    <col min="43" max="50" width="10.85546875" style="13" customWidth="1"/>
    <col min="51" max="106" width="10.85546875" style="1" customWidth="1"/>
    <col min="107" max="193" width="10.85546875" style="11" customWidth="1"/>
    <col min="194" max="194" width="10.42578125" style="11" customWidth="1"/>
    <col min="195" max="16384" width="9.140625" style="11"/>
  </cols>
  <sheetData>
    <row r="1" spans="2:106" ht="15" x14ac:dyDescent="0.25">
      <c r="B1" s="9" t="s">
        <v>45</v>
      </c>
      <c r="C1" s="102"/>
      <c r="D1" s="22"/>
      <c r="E1" s="10" t="s">
        <v>46</v>
      </c>
      <c r="F1" s="7"/>
      <c r="G1" s="7"/>
    </row>
    <row r="3" spans="2:106" x14ac:dyDescent="0.2">
      <c r="B3" s="92" t="s">
        <v>47</v>
      </c>
      <c r="C3" s="590"/>
      <c r="D3" s="591"/>
      <c r="E3" s="591"/>
      <c r="F3" s="591"/>
      <c r="G3" s="93"/>
    </row>
    <row r="4" spans="2:106" ht="15" x14ac:dyDescent="0.25">
      <c r="B4" s="94"/>
      <c r="C4" s="95"/>
      <c r="D4" s="7"/>
      <c r="E4" s="7"/>
      <c r="F4" s="7"/>
      <c r="G4" s="96"/>
      <c r="L4" s="9" t="s">
        <v>48</v>
      </c>
      <c r="M4" s="9" t="s">
        <v>48</v>
      </c>
      <c r="N4" s="9" t="s">
        <v>49</v>
      </c>
      <c r="O4" s="9" t="s">
        <v>49</v>
      </c>
      <c r="P4" s="9" t="s">
        <v>50</v>
      </c>
      <c r="R4" s="171" t="s">
        <v>51</v>
      </c>
      <c r="S4" s="171" t="s">
        <v>52</v>
      </c>
      <c r="T4" s="171" t="s">
        <v>53</v>
      </c>
      <c r="V4" s="171" t="s">
        <v>54</v>
      </c>
    </row>
    <row r="5" spans="2:106" ht="28.5" x14ac:dyDescent="0.2">
      <c r="B5" s="97" t="s">
        <v>55</v>
      </c>
      <c r="C5" s="95"/>
      <c r="D5" s="7"/>
      <c r="E5" s="7"/>
      <c r="F5" s="7"/>
      <c r="G5" s="96"/>
      <c r="L5" s="16" t="s">
        <v>56</v>
      </c>
      <c r="M5" s="16" t="s">
        <v>57</v>
      </c>
      <c r="N5" s="16" t="s">
        <v>58</v>
      </c>
      <c r="O5" s="16" t="s">
        <v>59</v>
      </c>
      <c r="P5" s="19"/>
      <c r="Q5" s="17"/>
      <c r="R5" s="16" t="s">
        <v>59</v>
      </c>
      <c r="S5" s="138" t="s">
        <v>60</v>
      </c>
      <c r="V5" s="139">
        <v>4</v>
      </c>
    </row>
    <row r="6" spans="2:106" ht="15" x14ac:dyDescent="0.25">
      <c r="B6" s="97" t="s">
        <v>61</v>
      </c>
      <c r="C6" s="95"/>
      <c r="D6" s="7"/>
      <c r="E6" s="7"/>
      <c r="F6" s="7"/>
      <c r="G6" s="96"/>
      <c r="J6" s="134"/>
      <c r="L6" s="21" t="s">
        <v>62</v>
      </c>
      <c r="M6" s="21" t="s">
        <v>63</v>
      </c>
      <c r="N6" s="21" t="str">
        <f>'Inputs and eligible population'!$E$11</f>
        <v>National</v>
      </c>
      <c r="O6" s="21" t="str">
        <f>IFERROR(VLOOKUP('Inputs and eligible population'!$E$11, $L$5:$M$14, 2, FALSE), "-")</f>
        <v>NATIONAL</v>
      </c>
      <c r="P6" s="16" t="b">
        <f>ISTEXT('Inputs and eligible population'!$E$12)</f>
        <v>1</v>
      </c>
      <c r="R6" s="196" t="s">
        <v>64</v>
      </c>
      <c r="S6" s="138" t="s">
        <v>65</v>
      </c>
      <c r="V6" s="139">
        <v>5</v>
      </c>
    </row>
    <row r="7" spans="2:106" x14ac:dyDescent="0.2">
      <c r="B7" s="94"/>
      <c r="C7" s="95"/>
      <c r="D7" s="7"/>
      <c r="E7" s="7"/>
      <c r="F7" s="7"/>
      <c r="G7" s="96"/>
      <c r="L7" s="21" t="s">
        <v>66</v>
      </c>
      <c r="M7" s="21" t="s">
        <v>67</v>
      </c>
      <c r="N7" s="21" t="str">
        <f>'Inputs and eligible population'!$E$11</f>
        <v>National</v>
      </c>
      <c r="O7" s="21" t="str">
        <f>IFERROR(VLOOKUP('Inputs and eligible population'!$E$11, $L$5:$M$14, 2, FALSE), "-")</f>
        <v>NATIONAL</v>
      </c>
      <c r="P7" s="16" t="b">
        <f>ISTEXT('Inputs and eligible population'!$E$12)</f>
        <v>1</v>
      </c>
      <c r="R7" s="196" t="s">
        <v>68</v>
      </c>
      <c r="S7" s="430"/>
      <c r="V7" s="139">
        <v>6</v>
      </c>
    </row>
    <row r="8" spans="2:106" ht="19.5" customHeight="1" x14ac:dyDescent="0.2">
      <c r="B8" s="98" t="s">
        <v>69</v>
      </c>
      <c r="C8" s="99"/>
      <c r="D8" s="100"/>
      <c r="E8" s="100"/>
      <c r="F8" s="100"/>
      <c r="G8" s="101"/>
      <c r="L8" s="21" t="s">
        <v>70</v>
      </c>
      <c r="M8" s="21" t="s">
        <v>71</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2">
      <c r="B9" s="14"/>
      <c r="L9" s="21" t="s">
        <v>72</v>
      </c>
      <c r="M9" s="21" t="s">
        <v>73</v>
      </c>
      <c r="N9" s="21" t="str">
        <f>'Inputs and eligible population'!$E$11</f>
        <v>National</v>
      </c>
      <c r="O9" s="21" t="str">
        <f>IFERROR(VLOOKUP('Inputs and eligible population'!$E$11, $L$5:$M$14, 2, FALSE), "-")</f>
        <v>NATIONAL</v>
      </c>
      <c r="P9" s="16" t="b">
        <f>ISTEXT('Inputs and eligible population'!$E$12)</f>
        <v>1</v>
      </c>
      <c r="V9" s="139" t="s">
        <v>74</v>
      </c>
    </row>
    <row r="10" spans="2:106" x14ac:dyDescent="0.2">
      <c r="B10" s="14"/>
      <c r="K10" s="24"/>
      <c r="L10" s="21" t="s">
        <v>75</v>
      </c>
      <c r="M10" s="21" t="s">
        <v>76</v>
      </c>
      <c r="N10" s="21" t="str">
        <f>'Inputs and eligible population'!$E$11</f>
        <v>National</v>
      </c>
      <c r="O10" s="21" t="str">
        <f>IFERROR(VLOOKUP('Inputs and eligible population'!$E$11, $L$5:$M$14, 2, FALSE), "-")</f>
        <v>NATIONAL</v>
      </c>
      <c r="P10" s="16" t="b">
        <f>ISTEXT('Inputs and eligible population'!$E$12)</f>
        <v>1</v>
      </c>
      <c r="V10" s="139" t="s">
        <v>77</v>
      </c>
    </row>
    <row r="11" spans="2:106" ht="15" x14ac:dyDescent="0.25">
      <c r="B11" s="9" t="s">
        <v>78</v>
      </c>
      <c r="C11" s="24"/>
      <c r="D11" s="24"/>
      <c r="E11" s="24"/>
      <c r="K11" s="24"/>
      <c r="L11" s="111" t="s">
        <v>79</v>
      </c>
      <c r="M11" s="21" t="s">
        <v>80</v>
      </c>
      <c r="N11" s="21" t="str">
        <f>'Inputs and eligible population'!$E$11</f>
        <v>National</v>
      </c>
      <c r="O11" s="21" t="str">
        <f>IFERROR(VLOOKUP('Inputs and eligible population'!$E$11, $L$5:$M$14, 2, FALSE), "-")</f>
        <v>NATIONAL</v>
      </c>
      <c r="P11" s="16" t="b">
        <f>ISTEXT('Inputs and eligible population'!$E$12)</f>
        <v>1</v>
      </c>
      <c r="V11" s="139" t="s">
        <v>81</v>
      </c>
    </row>
    <row r="12" spans="2:106" ht="43.5" customHeight="1" x14ac:dyDescent="0.2">
      <c r="B12" s="15"/>
      <c r="D12" s="206" t="s">
        <v>82</v>
      </c>
      <c r="E12" s="206" t="s">
        <v>82</v>
      </c>
      <c r="L12" s="21" t="s">
        <v>83</v>
      </c>
      <c r="M12" s="21" t="s">
        <v>84</v>
      </c>
      <c r="N12" s="21" t="str">
        <f>'Inputs and eligible population'!$E$11</f>
        <v>National</v>
      </c>
      <c r="O12" s="21" t="str">
        <f>IFERROR(VLOOKUP('Inputs and eligible population'!$E$11, $L$5:$M$14, 2, FALSE), "-")</f>
        <v>NATIONAL</v>
      </c>
      <c r="P12" s="16" t="b">
        <f>ISTEXT('Inputs and eligible population'!$E$12)</f>
        <v>1</v>
      </c>
      <c r="V12" s="139" t="s">
        <v>85</v>
      </c>
    </row>
    <row r="13" spans="2:106" s="19" customFormat="1" ht="45.95" customHeight="1" x14ac:dyDescent="0.2">
      <c r="B13" s="207" t="s">
        <v>86</v>
      </c>
      <c r="C13" s="207" t="s">
        <v>87</v>
      </c>
      <c r="D13" s="26" t="s">
        <v>88</v>
      </c>
      <c r="E13" s="26" t="s">
        <v>89</v>
      </c>
      <c r="F13" s="207" t="s">
        <v>90</v>
      </c>
      <c r="G13" s="11"/>
      <c r="H13" s="11"/>
      <c r="I13" s="11"/>
      <c r="K13" s="11"/>
      <c r="L13" s="21" t="s">
        <v>91</v>
      </c>
      <c r="M13" s="21" t="s">
        <v>92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442">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208"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93</v>
      </c>
      <c r="M14" s="21" t="s">
        <v>94</v>
      </c>
      <c r="N14" s="21" t="str">
        <f>'Inputs and eligible population'!$E$11</f>
        <v>National</v>
      </c>
      <c r="O14" s="21" t="str">
        <f>IFERROR(VLOOKUP('Inputs and eligible population'!$E$11, $L$5:$M$14, 2, FALSE), "-")</f>
        <v>NATIONAL</v>
      </c>
      <c r="P14" s="16" t="b">
        <f>ISTEXT('Inputs and eligible population'!$E$12)</f>
        <v>1</v>
      </c>
      <c r="V14" s="139" t="s">
        <v>95</v>
      </c>
    </row>
    <row r="15" spans="2:106" x14ac:dyDescent="0.2">
      <c r="B15" s="208"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96</v>
      </c>
    </row>
    <row r="16" spans="2:106" ht="15" x14ac:dyDescent="0.25">
      <c r="B16" s="209" t="s">
        <v>97</v>
      </c>
      <c r="C16" s="210">
        <f>IF(C15&gt;0,C14,C15)</f>
        <v>57106398</v>
      </c>
      <c r="D16" s="210">
        <f>IF(D15&gt;0,D14,D15)</f>
        <v>21895402</v>
      </c>
      <c r="E16" s="210">
        <f>IF(E15&gt;0,E14,E15)</f>
        <v>23324090</v>
      </c>
      <c r="F16" s="210">
        <f>SUM(F15)</f>
        <v>45219492</v>
      </c>
      <c r="L16" s="22"/>
      <c r="M16" s="22"/>
      <c r="P16" s="428">
        <f>COUNTIF(P6:P14, TRUE)</f>
        <v>9</v>
      </c>
    </row>
    <row r="17" spans="1:194" ht="15" x14ac:dyDescent="0.25">
      <c r="Q17" s="23"/>
      <c r="R17" s="23"/>
    </row>
    <row r="18" spans="1:194" ht="45.6" customHeight="1" x14ac:dyDescent="0.2">
      <c r="B18" s="90"/>
      <c r="C18" s="143"/>
      <c r="D18" s="26" t="s">
        <v>82</v>
      </c>
      <c r="E18" s="26" t="s">
        <v>82</v>
      </c>
      <c r="F18" s="90"/>
      <c r="I18" s="90"/>
      <c r="J18" s="90"/>
      <c r="K18" s="24"/>
      <c r="N18" s="24"/>
    </row>
    <row r="19" spans="1:194" ht="23.1" customHeight="1" x14ac:dyDescent="0.25">
      <c r="D19" s="211">
        <v>2</v>
      </c>
      <c r="E19" s="211">
        <v>3</v>
      </c>
      <c r="F19" s="211">
        <v>4</v>
      </c>
      <c r="G19" s="211">
        <v>5</v>
      </c>
      <c r="H19" s="211">
        <v>6</v>
      </c>
      <c r="K19" s="24"/>
    </row>
    <row r="20" spans="1:194" s="1" customFormat="1" ht="48" customHeight="1" x14ac:dyDescent="0.25">
      <c r="A20" s="124" t="s">
        <v>58</v>
      </c>
      <c r="B20" s="123" t="s">
        <v>98</v>
      </c>
      <c r="C20" s="123" t="s">
        <v>99</v>
      </c>
      <c r="D20" s="82" t="s">
        <v>100</v>
      </c>
      <c r="E20" s="82" t="s">
        <v>100</v>
      </c>
      <c r="F20" s="82" t="s">
        <v>101</v>
      </c>
      <c r="G20" s="82" t="s">
        <v>101</v>
      </c>
      <c r="H20" s="82" t="s">
        <v>101</v>
      </c>
      <c r="I20" s="123" t="s">
        <v>100</v>
      </c>
      <c r="J20" s="123" t="s">
        <v>100</v>
      </c>
      <c r="K20" s="123" t="s">
        <v>102</v>
      </c>
      <c r="L20" s="123" t="s">
        <v>102</v>
      </c>
      <c r="M20" s="125" t="s">
        <v>103</v>
      </c>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2"/>
      <c r="CF20" s="592"/>
      <c r="CG20" s="592"/>
      <c r="CH20" s="592"/>
      <c r="CI20" s="592"/>
      <c r="CJ20" s="592"/>
      <c r="CK20" s="592"/>
      <c r="CL20" s="592"/>
      <c r="CM20" s="592"/>
      <c r="CN20" s="592"/>
      <c r="CO20" s="592"/>
      <c r="CP20" s="592"/>
      <c r="CQ20" s="592"/>
      <c r="CR20" s="592"/>
      <c r="CS20" s="592"/>
      <c r="CT20" s="592"/>
      <c r="CU20" s="592"/>
      <c r="CV20" s="592"/>
      <c r="CW20" s="592"/>
      <c r="CX20" s="592"/>
      <c r="CY20" s="126"/>
      <c r="CZ20" s="593" t="s">
        <v>104</v>
      </c>
      <c r="DA20" s="593"/>
      <c r="DB20" s="593"/>
      <c r="DC20" s="593"/>
      <c r="DD20" s="593"/>
      <c r="DE20" s="593"/>
      <c r="DF20" s="593"/>
      <c r="DG20" s="593"/>
      <c r="DH20" s="593"/>
      <c r="DI20" s="593"/>
      <c r="DJ20" s="593"/>
      <c r="DK20" s="593"/>
      <c r="DL20" s="593"/>
      <c r="DM20" s="593"/>
      <c r="DN20" s="593"/>
      <c r="DO20" s="593"/>
      <c r="DP20" s="593"/>
      <c r="DQ20" s="593"/>
      <c r="DR20" s="593"/>
      <c r="DS20" s="593"/>
      <c r="DT20" s="593"/>
      <c r="DU20" s="593"/>
      <c r="DV20" s="593"/>
      <c r="DW20" s="593"/>
      <c r="DX20" s="593"/>
      <c r="DY20" s="593"/>
      <c r="DZ20" s="593"/>
      <c r="EA20" s="593"/>
      <c r="EB20" s="593"/>
      <c r="EC20" s="593"/>
      <c r="ED20" s="593"/>
      <c r="EE20" s="593"/>
      <c r="EF20" s="593"/>
      <c r="EG20" s="593"/>
      <c r="EH20" s="593"/>
      <c r="EI20" s="593"/>
      <c r="EJ20" s="593"/>
      <c r="EK20" s="593"/>
      <c r="EL20" s="593"/>
      <c r="EM20" s="593"/>
      <c r="EN20" s="593"/>
      <c r="EO20" s="593"/>
      <c r="EP20" s="593"/>
      <c r="EQ20" s="593"/>
      <c r="ER20" s="593"/>
      <c r="ES20" s="593"/>
      <c r="ET20" s="593"/>
      <c r="EU20" s="593"/>
      <c r="EV20" s="593"/>
      <c r="EW20" s="593"/>
      <c r="EX20" s="593"/>
      <c r="EY20" s="593"/>
      <c r="EZ20" s="593"/>
      <c r="FA20" s="593"/>
      <c r="FB20" s="593"/>
      <c r="FC20" s="593"/>
      <c r="FD20" s="593"/>
      <c r="FE20" s="593"/>
      <c r="FF20" s="593"/>
      <c r="FG20" s="593"/>
      <c r="FH20" s="593"/>
      <c r="FI20" s="593"/>
      <c r="FJ20" s="593"/>
      <c r="FK20" s="593"/>
      <c r="FL20" s="593"/>
      <c r="FM20" s="593"/>
      <c r="FN20" s="593"/>
      <c r="FO20" s="593"/>
      <c r="FP20" s="593"/>
      <c r="FQ20" s="593"/>
      <c r="FR20" s="593"/>
      <c r="FS20" s="593"/>
      <c r="FT20" s="593"/>
      <c r="FU20" s="593"/>
      <c r="FV20" s="593"/>
      <c r="FW20" s="593"/>
      <c r="FX20" s="593"/>
      <c r="FY20" s="593"/>
      <c r="FZ20" s="593"/>
      <c r="GA20" s="593"/>
      <c r="GB20" s="593"/>
      <c r="GC20" s="593"/>
      <c r="GD20" s="593"/>
      <c r="GE20" s="593"/>
      <c r="GF20" s="593"/>
      <c r="GG20" s="593"/>
      <c r="GH20" s="593"/>
      <c r="GI20" s="593"/>
      <c r="GJ20" s="593"/>
      <c r="GK20" s="593"/>
      <c r="GL20" s="122"/>
    </row>
    <row r="21" spans="1:194" s="8" customFormat="1" ht="30" x14ac:dyDescent="0.25">
      <c r="A21" s="124"/>
      <c r="B21" s="123"/>
      <c r="C21" s="123"/>
      <c r="D21" s="25" t="s">
        <v>88</v>
      </c>
      <c r="E21" s="26" t="s">
        <v>89</v>
      </c>
      <c r="F21" s="82" t="s">
        <v>105</v>
      </c>
      <c r="G21" s="81" t="s">
        <v>103</v>
      </c>
      <c r="H21" s="81" t="s">
        <v>104</v>
      </c>
      <c r="I21" s="82" t="s">
        <v>103</v>
      </c>
      <c r="J21" s="81" t="s">
        <v>104</v>
      </c>
      <c r="K21" s="82" t="s">
        <v>103</v>
      </c>
      <c r="L21" s="27" t="s">
        <v>104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106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106</v>
      </c>
    </row>
    <row r="22" spans="1:194" s="1" customFormat="1" x14ac:dyDescent="0.2">
      <c r="A22" s="30"/>
      <c r="B22" s="72"/>
      <c r="C22" s="60"/>
      <c r="D22" s="78"/>
      <c r="E22" s="78"/>
      <c r="F22" s="594"/>
      <c r="G22" s="594"/>
      <c r="H22" s="78"/>
      <c r="I22" s="78"/>
      <c r="J22" s="78"/>
      <c r="K22" s="594"/>
      <c r="L22" s="78"/>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4"/>
      <c r="BG22" s="594"/>
      <c r="BH22" s="594"/>
      <c r="BI22" s="594"/>
      <c r="BJ22" s="594"/>
      <c r="BK22" s="594"/>
      <c r="BL22" s="594"/>
      <c r="BM22" s="594"/>
      <c r="BN22" s="594"/>
      <c r="BO22" s="594"/>
      <c r="BP22" s="594"/>
      <c r="BQ22" s="594"/>
      <c r="BR22" s="594"/>
      <c r="BS22" s="594"/>
      <c r="BT22" s="594"/>
      <c r="BU22" s="594"/>
      <c r="BV22" s="594"/>
      <c r="BW22" s="594"/>
      <c r="BX22" s="594"/>
      <c r="BY22" s="594"/>
      <c r="BZ22" s="594"/>
      <c r="CA22" s="594"/>
      <c r="CB22" s="594"/>
      <c r="CC22" s="594"/>
      <c r="CD22" s="594"/>
      <c r="CE22" s="594"/>
      <c r="CF22" s="594"/>
      <c r="CG22" s="594"/>
      <c r="CH22" s="594"/>
      <c r="CI22" s="594"/>
      <c r="CJ22" s="594"/>
      <c r="CK22" s="594"/>
      <c r="CL22" s="594"/>
      <c r="CM22" s="594"/>
      <c r="CN22" s="594"/>
      <c r="CO22" s="594"/>
      <c r="CP22" s="594"/>
      <c r="CQ22" s="594"/>
      <c r="CR22" s="594"/>
      <c r="CS22" s="594"/>
      <c r="CT22" s="594"/>
      <c r="CU22" s="594"/>
      <c r="CV22" s="594"/>
      <c r="CW22" s="594"/>
      <c r="CX22" s="594"/>
      <c r="CY22" s="78"/>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4"/>
      <c r="ED22" s="594"/>
      <c r="EE22" s="594"/>
      <c r="EF22" s="594"/>
      <c r="EG22" s="594"/>
      <c r="EH22" s="594"/>
      <c r="EI22" s="594"/>
      <c r="EJ22" s="594"/>
      <c r="EK22" s="594"/>
      <c r="EL22" s="594"/>
      <c r="EM22" s="594"/>
      <c r="EN22" s="594"/>
      <c r="EO22" s="594"/>
      <c r="EP22" s="594"/>
      <c r="EQ22" s="594"/>
      <c r="ER22" s="594"/>
      <c r="ES22" s="594"/>
      <c r="ET22" s="594"/>
      <c r="EU22" s="594"/>
      <c r="EV22" s="594"/>
      <c r="EW22" s="594"/>
      <c r="EX22" s="594"/>
      <c r="EY22" s="594"/>
      <c r="EZ22" s="594"/>
      <c r="FA22" s="594"/>
      <c r="FB22" s="594"/>
      <c r="FC22" s="594"/>
      <c r="FD22" s="594"/>
      <c r="FE22" s="594"/>
      <c r="FF22" s="594"/>
      <c r="FG22" s="594"/>
      <c r="FH22" s="594"/>
      <c r="FI22" s="594"/>
      <c r="FJ22" s="594"/>
      <c r="FK22" s="594"/>
      <c r="FL22" s="594"/>
      <c r="FM22" s="594"/>
      <c r="FN22" s="594"/>
      <c r="FO22" s="594"/>
      <c r="FP22" s="594"/>
      <c r="FQ22" s="594"/>
      <c r="FR22" s="594"/>
      <c r="FS22" s="594"/>
      <c r="FT22" s="594"/>
      <c r="FU22" s="594"/>
      <c r="FV22" s="594"/>
      <c r="FW22" s="594"/>
      <c r="FX22" s="594"/>
      <c r="FY22" s="594"/>
      <c r="FZ22" s="594"/>
      <c r="GA22" s="594"/>
      <c r="GB22" s="594"/>
      <c r="GC22" s="594"/>
      <c r="GD22" s="594"/>
      <c r="GE22" s="594"/>
      <c r="GF22" s="594"/>
      <c r="GG22" s="594"/>
      <c r="GH22" s="594"/>
      <c r="GI22" s="594"/>
      <c r="GJ22" s="594"/>
      <c r="GK22" s="594"/>
      <c r="GL22" s="78"/>
    </row>
    <row r="23" spans="1:194" s="70" customFormat="1" ht="21.75" customHeight="1" x14ac:dyDescent="0.25">
      <c r="A23" s="65" t="s">
        <v>56</v>
      </c>
      <c r="B23" s="66" t="s">
        <v>56</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66</v>
      </c>
      <c r="B25" s="648" t="s">
        <v>107</v>
      </c>
      <c r="C25" s="75" t="s">
        <v>108</v>
      </c>
      <c r="D25" s="77">
        <f t="shared" ref="D25:E27" si="3">I25</f>
        <v>21895402</v>
      </c>
      <c r="E25" s="77">
        <f t="shared" si="3"/>
        <v>23324090</v>
      </c>
      <c r="F25" s="595">
        <f>G25+H25</f>
        <v>57106398</v>
      </c>
      <c r="G25" s="595">
        <f>SUM(M25:CY25)</f>
        <v>27983290</v>
      </c>
      <c r="H25" s="76">
        <f>SUM(CZ25:GL25)</f>
        <v>29123108</v>
      </c>
      <c r="I25" s="76">
        <f>SUM(AE25:CY25)</f>
        <v>21895402</v>
      </c>
      <c r="J25" s="76">
        <f>SUM(DR25:GL25)</f>
        <v>23324090</v>
      </c>
      <c r="K25" s="596">
        <f>SUM(M25:AD25)</f>
        <v>6087888</v>
      </c>
      <c r="L25" s="77">
        <f>SUM(CZ25:DQ25)</f>
        <v>5799018</v>
      </c>
      <c r="M25" s="595">
        <v>305120</v>
      </c>
      <c r="N25" s="595">
        <v>303019</v>
      </c>
      <c r="O25" s="595">
        <v>314737</v>
      </c>
      <c r="P25" s="595">
        <v>321299</v>
      </c>
      <c r="Q25" s="595">
        <v>325230</v>
      </c>
      <c r="R25" s="595">
        <v>333023</v>
      </c>
      <c r="S25" s="595">
        <v>343154</v>
      </c>
      <c r="T25" s="595">
        <v>339729</v>
      </c>
      <c r="U25" s="595">
        <v>341966</v>
      </c>
      <c r="V25" s="595">
        <v>351482</v>
      </c>
      <c r="W25" s="595">
        <v>360539</v>
      </c>
      <c r="X25" s="595">
        <v>361688</v>
      </c>
      <c r="Y25" s="595">
        <v>356777</v>
      </c>
      <c r="Z25" s="595">
        <v>354079</v>
      </c>
      <c r="AA25" s="595">
        <v>357199</v>
      </c>
      <c r="AB25" s="595">
        <v>344190</v>
      </c>
      <c r="AC25" s="595">
        <v>336612</v>
      </c>
      <c r="AD25" s="595">
        <v>338045</v>
      </c>
      <c r="AE25" s="595">
        <v>339142</v>
      </c>
      <c r="AF25" s="595">
        <v>339234</v>
      </c>
      <c r="AG25" s="595">
        <v>338398</v>
      </c>
      <c r="AH25" s="595">
        <v>338465</v>
      </c>
      <c r="AI25" s="595">
        <v>345338</v>
      </c>
      <c r="AJ25" s="595">
        <v>358287</v>
      </c>
      <c r="AK25" s="595">
        <v>360304</v>
      </c>
      <c r="AL25" s="595">
        <v>365799</v>
      </c>
      <c r="AM25" s="595">
        <v>360324</v>
      </c>
      <c r="AN25" s="595">
        <v>364086</v>
      </c>
      <c r="AO25" s="595">
        <v>372653</v>
      </c>
      <c r="AP25" s="595">
        <v>372807</v>
      </c>
      <c r="AQ25" s="595">
        <v>383710</v>
      </c>
      <c r="AR25" s="595">
        <v>389563</v>
      </c>
      <c r="AS25" s="595">
        <v>387640</v>
      </c>
      <c r="AT25" s="595">
        <v>384620</v>
      </c>
      <c r="AU25" s="595">
        <v>387905</v>
      </c>
      <c r="AV25" s="595">
        <v>378829</v>
      </c>
      <c r="AW25" s="595">
        <v>378199</v>
      </c>
      <c r="AX25" s="595">
        <v>377186</v>
      </c>
      <c r="AY25" s="595">
        <v>365502</v>
      </c>
      <c r="AZ25" s="595">
        <v>366111</v>
      </c>
      <c r="BA25" s="595">
        <v>365728</v>
      </c>
      <c r="BB25" s="595">
        <v>369097</v>
      </c>
      <c r="BC25" s="595">
        <v>371802</v>
      </c>
      <c r="BD25" s="595">
        <v>357560</v>
      </c>
      <c r="BE25" s="595">
        <v>334069</v>
      </c>
      <c r="BF25" s="595">
        <v>328458</v>
      </c>
      <c r="BG25" s="595">
        <v>335746</v>
      </c>
      <c r="BH25" s="595">
        <v>342585</v>
      </c>
      <c r="BI25" s="595">
        <v>346685</v>
      </c>
      <c r="BJ25" s="595">
        <v>360442</v>
      </c>
      <c r="BK25" s="595">
        <v>373390</v>
      </c>
      <c r="BL25" s="595">
        <v>385375</v>
      </c>
      <c r="BM25" s="595">
        <v>375807</v>
      </c>
      <c r="BN25" s="595">
        <v>383988</v>
      </c>
      <c r="BO25" s="595">
        <v>382566</v>
      </c>
      <c r="BP25" s="595">
        <v>385629</v>
      </c>
      <c r="BQ25" s="595">
        <v>381742</v>
      </c>
      <c r="BR25" s="595">
        <v>381998</v>
      </c>
      <c r="BS25" s="595">
        <v>376164</v>
      </c>
      <c r="BT25" s="595">
        <v>367036</v>
      </c>
      <c r="BU25" s="595">
        <v>357672</v>
      </c>
      <c r="BV25" s="595">
        <v>344928</v>
      </c>
      <c r="BW25" s="595">
        <v>329857</v>
      </c>
      <c r="BX25" s="595">
        <v>319451</v>
      </c>
      <c r="BY25" s="595">
        <v>309724</v>
      </c>
      <c r="BZ25" s="595">
        <v>294558</v>
      </c>
      <c r="CA25" s="595">
        <v>282293</v>
      </c>
      <c r="CB25" s="595">
        <v>268536</v>
      </c>
      <c r="CC25" s="595">
        <v>266443</v>
      </c>
      <c r="CD25" s="595">
        <v>260410</v>
      </c>
      <c r="CE25" s="595">
        <v>249450</v>
      </c>
      <c r="CF25" s="595">
        <v>249080</v>
      </c>
      <c r="CG25" s="595">
        <v>249070</v>
      </c>
      <c r="CH25" s="595">
        <v>252982</v>
      </c>
      <c r="CI25" s="595">
        <v>263625</v>
      </c>
      <c r="CJ25" s="595">
        <v>283090</v>
      </c>
      <c r="CK25" s="595">
        <v>211587</v>
      </c>
      <c r="CL25" s="595">
        <v>200401</v>
      </c>
      <c r="CM25" s="595">
        <v>195036</v>
      </c>
      <c r="CN25" s="595">
        <v>174093</v>
      </c>
      <c r="CO25" s="595">
        <v>149572</v>
      </c>
      <c r="CP25" s="595">
        <v>127665</v>
      </c>
      <c r="CQ25" s="595">
        <v>127183</v>
      </c>
      <c r="CR25" s="595">
        <v>120061</v>
      </c>
      <c r="CS25" s="595">
        <v>109873</v>
      </c>
      <c r="CT25" s="595">
        <v>97456</v>
      </c>
      <c r="CU25" s="595">
        <v>84705</v>
      </c>
      <c r="CV25" s="595">
        <v>73428</v>
      </c>
      <c r="CW25" s="595">
        <v>60864</v>
      </c>
      <c r="CX25" s="595">
        <v>51376</v>
      </c>
      <c r="CY25" s="595">
        <v>170964</v>
      </c>
      <c r="CZ25" s="595">
        <v>291186</v>
      </c>
      <c r="DA25" s="595">
        <v>289546</v>
      </c>
      <c r="DB25" s="595">
        <v>300800</v>
      </c>
      <c r="DC25" s="595">
        <v>305906</v>
      </c>
      <c r="DD25" s="595">
        <v>310539</v>
      </c>
      <c r="DE25" s="595">
        <v>318263</v>
      </c>
      <c r="DF25" s="595">
        <v>326932</v>
      </c>
      <c r="DG25" s="595">
        <v>324633</v>
      </c>
      <c r="DH25" s="595">
        <v>326780</v>
      </c>
      <c r="DI25" s="595">
        <v>334543</v>
      </c>
      <c r="DJ25" s="595">
        <v>344341</v>
      </c>
      <c r="DK25" s="595">
        <v>343967</v>
      </c>
      <c r="DL25" s="595">
        <v>339949</v>
      </c>
      <c r="DM25" s="595">
        <v>337345</v>
      </c>
      <c r="DN25" s="595">
        <v>340474</v>
      </c>
      <c r="DO25" s="595">
        <v>326885</v>
      </c>
      <c r="DP25" s="595">
        <v>319023</v>
      </c>
      <c r="DQ25" s="595">
        <v>317906</v>
      </c>
      <c r="DR25" s="595">
        <v>318297</v>
      </c>
      <c r="DS25" s="595">
        <v>319325</v>
      </c>
      <c r="DT25" s="595">
        <v>325075</v>
      </c>
      <c r="DU25" s="595">
        <v>327194</v>
      </c>
      <c r="DV25" s="595">
        <v>333614</v>
      </c>
      <c r="DW25" s="595">
        <v>350669</v>
      </c>
      <c r="DX25" s="595">
        <v>358581</v>
      </c>
      <c r="DY25" s="595">
        <v>367839</v>
      </c>
      <c r="DZ25" s="595">
        <v>363988</v>
      </c>
      <c r="EA25" s="595">
        <v>374022</v>
      </c>
      <c r="EB25" s="595">
        <v>387522</v>
      </c>
      <c r="EC25" s="595">
        <v>390671</v>
      </c>
      <c r="ED25" s="595">
        <v>404331</v>
      </c>
      <c r="EE25" s="595">
        <v>410921</v>
      </c>
      <c r="EF25" s="595">
        <v>413176</v>
      </c>
      <c r="EG25" s="595">
        <v>411450</v>
      </c>
      <c r="EH25" s="595">
        <v>417983</v>
      </c>
      <c r="EI25" s="595">
        <v>409203</v>
      </c>
      <c r="EJ25" s="595">
        <v>404000</v>
      </c>
      <c r="EK25" s="595">
        <v>401928</v>
      </c>
      <c r="EL25" s="595">
        <v>389436</v>
      </c>
      <c r="EM25" s="595">
        <v>389518</v>
      </c>
      <c r="EN25" s="595">
        <v>386124</v>
      </c>
      <c r="EO25" s="595">
        <v>390735</v>
      </c>
      <c r="EP25" s="595">
        <v>390956</v>
      </c>
      <c r="EQ25" s="595">
        <v>373536</v>
      </c>
      <c r="ER25" s="595">
        <v>346385</v>
      </c>
      <c r="ES25" s="595">
        <v>339293</v>
      </c>
      <c r="ET25" s="595">
        <v>345871</v>
      </c>
      <c r="EU25" s="595">
        <v>353016</v>
      </c>
      <c r="EV25" s="595">
        <v>356906</v>
      </c>
      <c r="EW25" s="595">
        <v>370244</v>
      </c>
      <c r="EX25" s="595">
        <v>384214</v>
      </c>
      <c r="EY25" s="595">
        <v>399644</v>
      </c>
      <c r="EZ25" s="595">
        <v>389031</v>
      </c>
      <c r="FA25" s="595">
        <v>397139</v>
      </c>
      <c r="FB25" s="595">
        <v>395547</v>
      </c>
      <c r="FC25" s="595">
        <v>396676</v>
      </c>
      <c r="FD25" s="595">
        <v>396578</v>
      </c>
      <c r="FE25" s="595">
        <v>396708</v>
      </c>
      <c r="FF25" s="595">
        <v>390539</v>
      </c>
      <c r="FG25" s="595">
        <v>380695</v>
      </c>
      <c r="FH25" s="595">
        <v>371143</v>
      </c>
      <c r="FI25" s="595">
        <v>355407</v>
      </c>
      <c r="FJ25" s="595">
        <v>340408</v>
      </c>
      <c r="FK25" s="595">
        <v>331322</v>
      </c>
      <c r="FL25" s="595">
        <v>321164</v>
      </c>
      <c r="FM25" s="595">
        <v>308551</v>
      </c>
      <c r="FN25" s="595">
        <v>295719</v>
      </c>
      <c r="FO25" s="595">
        <v>284931</v>
      </c>
      <c r="FP25" s="595">
        <v>285437</v>
      </c>
      <c r="FQ25" s="595">
        <v>278929</v>
      </c>
      <c r="FR25" s="595">
        <v>271460</v>
      </c>
      <c r="FS25" s="595">
        <v>271487</v>
      </c>
      <c r="FT25" s="595">
        <v>275610</v>
      </c>
      <c r="FU25" s="595">
        <v>280129</v>
      </c>
      <c r="FV25" s="595">
        <v>294843</v>
      </c>
      <c r="FW25" s="595">
        <v>316380</v>
      </c>
      <c r="FX25" s="595">
        <v>240292</v>
      </c>
      <c r="FY25" s="595">
        <v>230370</v>
      </c>
      <c r="FZ25" s="595">
        <v>225985</v>
      </c>
      <c r="GA25" s="595">
        <v>206546</v>
      </c>
      <c r="GB25" s="595">
        <v>181398</v>
      </c>
      <c r="GC25" s="595">
        <v>159103</v>
      </c>
      <c r="GD25" s="595">
        <v>161482</v>
      </c>
      <c r="GE25" s="595">
        <v>155577</v>
      </c>
      <c r="GF25" s="595">
        <v>145759</v>
      </c>
      <c r="GG25" s="595">
        <v>132931</v>
      </c>
      <c r="GH25" s="595">
        <v>120255</v>
      </c>
      <c r="GI25" s="595">
        <v>107758</v>
      </c>
      <c r="GJ25" s="595">
        <v>93505</v>
      </c>
      <c r="GK25" s="595">
        <v>82264</v>
      </c>
      <c r="GL25" s="595">
        <v>349365</v>
      </c>
    </row>
    <row r="26" spans="1:194" s="8" customFormat="1" ht="15" x14ac:dyDescent="0.25">
      <c r="A26" s="32" t="s">
        <v>66</v>
      </c>
      <c r="B26" s="649" t="s">
        <v>109</v>
      </c>
      <c r="C26" s="33" t="s">
        <v>110</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ht="15" x14ac:dyDescent="0.25">
      <c r="A27" s="38" t="s">
        <v>66</v>
      </c>
      <c r="B27" s="650" t="s">
        <v>111</v>
      </c>
      <c r="C27" s="39" t="s">
        <v>112</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
      <c r="A28" s="44"/>
      <c r="B28" s="651"/>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hidden="1" x14ac:dyDescent="0.2">
      <c r="A29" s="83" t="s">
        <v>93</v>
      </c>
      <c r="B29" s="652" t="s">
        <v>113</v>
      </c>
      <c r="C29" s="72" t="str">
        <f t="shared" ref="C29:C92" si="4">CONCATENATE(A29," - ",B29)</f>
        <v xml:space="preserve">England – CCGs - Barnsley </v>
      </c>
      <c r="D29" s="61">
        <f>I29</f>
        <v>95316</v>
      </c>
      <c r="E29" s="61">
        <f>J29</f>
        <v>100485</v>
      </c>
      <c r="F29" s="597">
        <f>G29+H29</f>
        <v>246482</v>
      </c>
      <c r="G29" s="597">
        <f>SUM(M29:CY29)</f>
        <v>121223</v>
      </c>
      <c r="H29" s="62">
        <f>SUM(CZ29:GL29)</f>
        <v>125259</v>
      </c>
      <c r="I29" s="62">
        <f>SUM(AE29:CY29)</f>
        <v>95316</v>
      </c>
      <c r="J29" s="62">
        <f>SUM(DR29:GL29)</f>
        <v>100485</v>
      </c>
      <c r="K29" s="598">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hidden="1" x14ac:dyDescent="0.2">
      <c r="A30" s="87" t="s">
        <v>93</v>
      </c>
      <c r="B30" s="652" t="s">
        <v>114</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hidden="1" x14ac:dyDescent="0.2">
      <c r="A31" s="87" t="s">
        <v>93</v>
      </c>
      <c r="B31" s="652" t="s">
        <v>115</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hidden="1" x14ac:dyDescent="0.2">
      <c r="A32" s="87" t="s">
        <v>93</v>
      </c>
      <c r="B32" s="652" t="s">
        <v>116</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hidden="1" x14ac:dyDescent="0.2">
      <c r="A33" s="87" t="s">
        <v>93</v>
      </c>
      <c r="B33" s="652" t="s">
        <v>117</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hidden="1" x14ac:dyDescent="0.2">
      <c r="A34" s="87" t="s">
        <v>93</v>
      </c>
      <c r="B34" s="652" t="s">
        <v>118</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hidden="1" x14ac:dyDescent="0.2">
      <c r="A35" s="87" t="s">
        <v>93</v>
      </c>
      <c r="B35" s="652" t="s">
        <v>119</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hidden="1" x14ac:dyDescent="0.2">
      <c r="A36" s="87" t="s">
        <v>93</v>
      </c>
      <c r="B36" s="652" t="s">
        <v>120</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hidden="1" x14ac:dyDescent="0.2">
      <c r="A37" s="87" t="s">
        <v>93</v>
      </c>
      <c r="B37" s="652" t="s">
        <v>121</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hidden="1" x14ac:dyDescent="0.2">
      <c r="A38" s="87" t="s">
        <v>93</v>
      </c>
      <c r="B38" s="652" t="s">
        <v>122</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hidden="1" x14ac:dyDescent="0.2">
      <c r="A39" s="87" t="s">
        <v>93</v>
      </c>
      <c r="B39" s="652" t="s">
        <v>123</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hidden="1" x14ac:dyDescent="0.2">
      <c r="A40" s="87" t="s">
        <v>93</v>
      </c>
      <c r="B40" s="652" t="s">
        <v>124</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hidden="1" x14ac:dyDescent="0.2">
      <c r="A41" s="87" t="s">
        <v>93</v>
      </c>
      <c r="B41" s="652" t="s">
        <v>125</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hidden="1" x14ac:dyDescent="0.2">
      <c r="A42" s="87" t="s">
        <v>93</v>
      </c>
      <c r="B42" s="652" t="s">
        <v>126</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hidden="1" x14ac:dyDescent="0.2">
      <c r="A43" s="87" t="s">
        <v>93</v>
      </c>
      <c r="B43" s="652" t="s">
        <v>127</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hidden="1" x14ac:dyDescent="0.2">
      <c r="A44" s="87" t="s">
        <v>93</v>
      </c>
      <c r="B44" s="652" t="s">
        <v>128</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hidden="1" x14ac:dyDescent="0.2">
      <c r="A45" s="87" t="s">
        <v>93</v>
      </c>
      <c r="B45" s="652" t="s">
        <v>129</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hidden="1" x14ac:dyDescent="0.2">
      <c r="A46" s="87" t="s">
        <v>93</v>
      </c>
      <c r="B46" s="652" t="s">
        <v>130</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hidden="1" x14ac:dyDescent="0.2">
      <c r="A47" s="87" t="s">
        <v>93</v>
      </c>
      <c r="B47" s="652" t="s">
        <v>131</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hidden="1" x14ac:dyDescent="0.2">
      <c r="A48" s="87" t="s">
        <v>93</v>
      </c>
      <c r="B48" s="652" t="s">
        <v>132</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hidden="1" x14ac:dyDescent="0.2">
      <c r="A49" s="87" t="s">
        <v>93</v>
      </c>
      <c r="B49" s="652" t="s">
        <v>133</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hidden="1" x14ac:dyDescent="0.2">
      <c r="A50" s="87" t="s">
        <v>93</v>
      </c>
      <c r="B50" s="652" t="s">
        <v>134</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hidden="1" x14ac:dyDescent="0.2">
      <c r="A51" s="87" t="s">
        <v>93</v>
      </c>
      <c r="B51" s="652" t="s">
        <v>135</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hidden="1" x14ac:dyDescent="0.2">
      <c r="A52" s="87" t="s">
        <v>93</v>
      </c>
      <c r="B52" s="652" t="s">
        <v>136</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hidden="1" x14ac:dyDescent="0.2">
      <c r="A53" s="87" t="s">
        <v>93</v>
      </c>
      <c r="B53" s="652" t="s">
        <v>137</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hidden="1" x14ac:dyDescent="0.2">
      <c r="A54" s="87" t="s">
        <v>93</v>
      </c>
      <c r="B54" s="652" t="s">
        <v>138</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hidden="1" x14ac:dyDescent="0.2">
      <c r="A55" s="87" t="s">
        <v>93</v>
      </c>
      <c r="B55" s="652" t="s">
        <v>139</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hidden="1" x14ac:dyDescent="0.2">
      <c r="A56" s="87" t="s">
        <v>93</v>
      </c>
      <c r="B56" s="652" t="s">
        <v>140</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hidden="1" x14ac:dyDescent="0.2">
      <c r="A57" s="87" t="s">
        <v>93</v>
      </c>
      <c r="B57" s="652" t="s">
        <v>141</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hidden="1" x14ac:dyDescent="0.2">
      <c r="A58" s="87" t="s">
        <v>93</v>
      </c>
      <c r="B58" s="652" t="s">
        <v>142</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hidden="1" x14ac:dyDescent="0.2">
      <c r="A59" s="87" t="s">
        <v>93</v>
      </c>
      <c r="B59" s="652" t="s">
        <v>143</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hidden="1" x14ac:dyDescent="0.2">
      <c r="A60" s="87" t="s">
        <v>93</v>
      </c>
      <c r="B60" s="652" t="s">
        <v>144</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hidden="1" x14ac:dyDescent="0.2">
      <c r="A61" s="87" t="s">
        <v>93</v>
      </c>
      <c r="B61" s="652" t="s">
        <v>145</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hidden="1" x14ac:dyDescent="0.2">
      <c r="A62" s="87" t="s">
        <v>93</v>
      </c>
      <c r="B62" s="652" t="s">
        <v>146</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hidden="1" x14ac:dyDescent="0.2">
      <c r="A63" s="87" t="s">
        <v>93</v>
      </c>
      <c r="B63" s="652" t="s">
        <v>147</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hidden="1" x14ac:dyDescent="0.2">
      <c r="A64" s="87" t="s">
        <v>93</v>
      </c>
      <c r="B64" s="652" t="s">
        <v>148</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hidden="1" x14ac:dyDescent="0.2">
      <c r="A65" s="87" t="s">
        <v>93</v>
      </c>
      <c r="B65" s="652" t="s">
        <v>149</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hidden="1" x14ac:dyDescent="0.2">
      <c r="A66" s="87" t="s">
        <v>93</v>
      </c>
      <c r="B66" s="652" t="s">
        <v>150</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hidden="1" x14ac:dyDescent="0.2">
      <c r="A67" s="87" t="s">
        <v>93</v>
      </c>
      <c r="B67" s="652" t="s">
        <v>151</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hidden="1" x14ac:dyDescent="0.2">
      <c r="A68" s="87" t="s">
        <v>93</v>
      </c>
      <c r="B68" s="652" t="s">
        <v>152</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hidden="1" x14ac:dyDescent="0.2">
      <c r="A69" s="87" t="s">
        <v>93</v>
      </c>
      <c r="B69" s="652" t="s">
        <v>153</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hidden="1" x14ac:dyDescent="0.2">
      <c r="A70" s="87" t="s">
        <v>93</v>
      </c>
      <c r="B70" s="652" t="s">
        <v>154</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hidden="1" x14ac:dyDescent="0.2">
      <c r="A71" s="87" t="s">
        <v>93</v>
      </c>
      <c r="B71" s="652" t="s">
        <v>155</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hidden="1" x14ac:dyDescent="0.2">
      <c r="A72" s="87" t="s">
        <v>93</v>
      </c>
      <c r="B72" s="652" t="s">
        <v>156</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hidden="1" x14ac:dyDescent="0.2">
      <c r="A73" s="87" t="s">
        <v>93</v>
      </c>
      <c r="B73" s="652" t="s">
        <v>157</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hidden="1" x14ac:dyDescent="0.2">
      <c r="A74" s="87" t="s">
        <v>93</v>
      </c>
      <c r="B74" s="652" t="s">
        <v>158</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hidden="1" x14ac:dyDescent="0.2">
      <c r="A75" s="87" t="s">
        <v>93</v>
      </c>
      <c r="B75" s="652" t="s">
        <v>159</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hidden="1" x14ac:dyDescent="0.2">
      <c r="A76" s="87" t="s">
        <v>93</v>
      </c>
      <c r="B76" s="652" t="s">
        <v>160</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hidden="1" x14ac:dyDescent="0.2">
      <c r="A77" s="87" t="s">
        <v>93</v>
      </c>
      <c r="B77" s="652" t="s">
        <v>161</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hidden="1" x14ac:dyDescent="0.2">
      <c r="A78" s="87" t="s">
        <v>93</v>
      </c>
      <c r="B78" s="652" t="s">
        <v>162</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hidden="1" x14ac:dyDescent="0.2">
      <c r="A79" s="87" t="s">
        <v>93</v>
      </c>
      <c r="B79" s="652" t="s">
        <v>163</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hidden="1" x14ac:dyDescent="0.2">
      <c r="A80" s="87" t="s">
        <v>93</v>
      </c>
      <c r="B80" s="652" t="s">
        <v>164</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hidden="1" x14ac:dyDescent="0.2">
      <c r="A81" s="87" t="s">
        <v>93</v>
      </c>
      <c r="B81" s="652" t="s">
        <v>165</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hidden="1" x14ac:dyDescent="0.2">
      <c r="A82" s="87" t="s">
        <v>93</v>
      </c>
      <c r="B82" s="652" t="s">
        <v>166</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hidden="1" x14ac:dyDescent="0.2">
      <c r="A83" s="87" t="s">
        <v>93</v>
      </c>
      <c r="B83" s="652" t="s">
        <v>167</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hidden="1" x14ac:dyDescent="0.2">
      <c r="A84" s="87" t="s">
        <v>93</v>
      </c>
      <c r="B84" s="652" t="s">
        <v>168</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hidden="1" x14ac:dyDescent="0.2">
      <c r="A85" s="87" t="s">
        <v>93</v>
      </c>
      <c r="B85" s="652" t="s">
        <v>169</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hidden="1" x14ac:dyDescent="0.2">
      <c r="A86" s="87" t="s">
        <v>93</v>
      </c>
      <c r="B86" s="652" t="s">
        <v>170</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hidden="1" x14ac:dyDescent="0.2">
      <c r="A87" s="87" t="s">
        <v>93</v>
      </c>
      <c r="B87" s="652" t="s">
        <v>171</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hidden="1" x14ac:dyDescent="0.2">
      <c r="A88" s="87" t="s">
        <v>93</v>
      </c>
      <c r="B88" s="652" t="s">
        <v>172</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hidden="1" x14ac:dyDescent="0.2">
      <c r="A89" s="87" t="s">
        <v>93</v>
      </c>
      <c r="B89" s="652" t="s">
        <v>173</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hidden="1" x14ac:dyDescent="0.2">
      <c r="A90" s="87" t="s">
        <v>93</v>
      </c>
      <c r="B90" s="652" t="s">
        <v>174</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hidden="1" x14ac:dyDescent="0.2">
      <c r="A91" s="87" t="s">
        <v>93</v>
      </c>
      <c r="B91" s="652" t="s">
        <v>175</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hidden="1" x14ac:dyDescent="0.2">
      <c r="A92" s="87" t="s">
        <v>93</v>
      </c>
      <c r="B92" s="652" t="s">
        <v>176</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hidden="1" x14ac:dyDescent="0.2">
      <c r="A93" s="87" t="s">
        <v>93</v>
      </c>
      <c r="B93" s="652" t="s">
        <v>177</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hidden="1" x14ac:dyDescent="0.2">
      <c r="A94" s="87" t="s">
        <v>93</v>
      </c>
      <c r="B94" s="652" t="s">
        <v>178</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hidden="1" x14ac:dyDescent="0.2">
      <c r="A95" s="87" t="s">
        <v>93</v>
      </c>
      <c r="B95" s="652" t="s">
        <v>179</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hidden="1" x14ac:dyDescent="0.2">
      <c r="A96" s="87" t="s">
        <v>93</v>
      </c>
      <c r="B96" s="652" t="s">
        <v>180</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hidden="1" x14ac:dyDescent="0.2">
      <c r="A97" s="87" t="s">
        <v>93</v>
      </c>
      <c r="B97" s="652" t="s">
        <v>181</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hidden="1" x14ac:dyDescent="0.2">
      <c r="A98" s="87" t="s">
        <v>93</v>
      </c>
      <c r="B98" s="652" t="s">
        <v>182</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hidden="1" x14ac:dyDescent="0.2">
      <c r="A99" s="87" t="s">
        <v>93</v>
      </c>
      <c r="B99" s="652" t="s">
        <v>183</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hidden="1" x14ac:dyDescent="0.2">
      <c r="A100" s="87" t="s">
        <v>93</v>
      </c>
      <c r="B100" s="652" t="s">
        <v>184</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hidden="1" x14ac:dyDescent="0.2">
      <c r="A101" s="87" t="s">
        <v>93</v>
      </c>
      <c r="B101" s="652" t="s">
        <v>185</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hidden="1" x14ac:dyDescent="0.2">
      <c r="A102" s="87" t="s">
        <v>93</v>
      </c>
      <c r="B102" s="652" t="s">
        <v>186</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hidden="1" x14ac:dyDescent="0.2">
      <c r="A103" s="87" t="s">
        <v>93</v>
      </c>
      <c r="B103" s="652" t="s">
        <v>187</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hidden="1" x14ac:dyDescent="0.2">
      <c r="A104" s="87" t="s">
        <v>93</v>
      </c>
      <c r="B104" s="652" t="s">
        <v>188</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hidden="1" x14ac:dyDescent="0.2">
      <c r="A105" s="87" t="s">
        <v>93</v>
      </c>
      <c r="B105" s="652" t="s">
        <v>189</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hidden="1" x14ac:dyDescent="0.2">
      <c r="A106" s="87" t="s">
        <v>93</v>
      </c>
      <c r="B106" s="652" t="s">
        <v>190</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hidden="1" x14ac:dyDescent="0.2">
      <c r="A107" s="87" t="s">
        <v>93</v>
      </c>
      <c r="B107" s="652" t="s">
        <v>191</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hidden="1" x14ac:dyDescent="0.2">
      <c r="A108" s="87" t="s">
        <v>93</v>
      </c>
      <c r="B108" s="652" t="s">
        <v>192</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hidden="1" x14ac:dyDescent="0.2">
      <c r="A109" s="87" t="s">
        <v>93</v>
      </c>
      <c r="B109" s="652" t="s">
        <v>193</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hidden="1" x14ac:dyDescent="0.2">
      <c r="A110" s="87" t="s">
        <v>93</v>
      </c>
      <c r="B110" s="652" t="s">
        <v>194</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hidden="1" x14ac:dyDescent="0.2">
      <c r="A111" s="87" t="s">
        <v>93</v>
      </c>
      <c r="B111" s="652" t="s">
        <v>195</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hidden="1" x14ac:dyDescent="0.2">
      <c r="A112" s="87" t="s">
        <v>93</v>
      </c>
      <c r="B112" s="652" t="s">
        <v>196</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hidden="1" x14ac:dyDescent="0.2">
      <c r="A113" s="87" t="s">
        <v>93</v>
      </c>
      <c r="B113" s="652" t="s">
        <v>197</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hidden="1" x14ac:dyDescent="0.2">
      <c r="A114" s="87" t="s">
        <v>93</v>
      </c>
      <c r="B114" s="652" t="s">
        <v>198</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hidden="1" x14ac:dyDescent="0.2">
      <c r="A115" s="87" t="s">
        <v>93</v>
      </c>
      <c r="B115" s="652" t="s">
        <v>199</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hidden="1" x14ac:dyDescent="0.2">
      <c r="A116" s="87" t="s">
        <v>93</v>
      </c>
      <c r="B116" s="652" t="s">
        <v>200</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hidden="1" x14ac:dyDescent="0.2">
      <c r="A117" s="87" t="s">
        <v>93</v>
      </c>
      <c r="B117" s="652" t="s">
        <v>201</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hidden="1" x14ac:dyDescent="0.2">
      <c r="A118" s="87" t="s">
        <v>93</v>
      </c>
      <c r="B118" s="652" t="s">
        <v>202</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hidden="1" x14ac:dyDescent="0.2">
      <c r="A119" s="87" t="s">
        <v>93</v>
      </c>
      <c r="B119" s="652" t="s">
        <v>203</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hidden="1" x14ac:dyDescent="0.2">
      <c r="A120" s="87" t="s">
        <v>93</v>
      </c>
      <c r="B120" s="652" t="s">
        <v>204</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hidden="1" x14ac:dyDescent="0.2">
      <c r="A121" s="87" t="s">
        <v>93</v>
      </c>
      <c r="B121" s="652" t="s">
        <v>205</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hidden="1" x14ac:dyDescent="0.2">
      <c r="A122" s="87" t="s">
        <v>93</v>
      </c>
      <c r="B122" s="652" t="s">
        <v>206</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hidden="1" x14ac:dyDescent="0.2">
      <c r="A123" s="87" t="s">
        <v>93</v>
      </c>
      <c r="B123" s="652" t="s">
        <v>207</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hidden="1" x14ac:dyDescent="0.2">
      <c r="A124" s="87" t="s">
        <v>93</v>
      </c>
      <c r="B124" s="652" t="s">
        <v>208</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hidden="1" x14ac:dyDescent="0.2">
      <c r="A125" s="87" t="s">
        <v>93</v>
      </c>
      <c r="B125" s="652" t="s">
        <v>209</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hidden="1" x14ac:dyDescent="0.2">
      <c r="A126" s="87" t="s">
        <v>93</v>
      </c>
      <c r="B126" s="652" t="s">
        <v>210</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hidden="1" x14ac:dyDescent="0.2">
      <c r="A127" s="87" t="s">
        <v>93</v>
      </c>
      <c r="B127" s="652" t="s">
        <v>211</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hidden="1" x14ac:dyDescent="0.2">
      <c r="A128" s="87" t="s">
        <v>93</v>
      </c>
      <c r="B128" s="652" t="s">
        <v>212</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hidden="1" x14ac:dyDescent="0.2">
      <c r="A129" s="87" t="s">
        <v>93</v>
      </c>
      <c r="B129" s="652" t="s">
        <v>213</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hidden="1" x14ac:dyDescent="0.2">
      <c r="A130" s="87" t="s">
        <v>93</v>
      </c>
      <c r="B130" s="652" t="s">
        <v>214</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hidden="1" x14ac:dyDescent="0.2">
      <c r="A131" s="87" t="s">
        <v>93</v>
      </c>
      <c r="B131" s="652" t="s">
        <v>215</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hidden="1" x14ac:dyDescent="0.2">
      <c r="A132" s="87" t="s">
        <v>93</v>
      </c>
      <c r="B132" s="652" t="s">
        <v>216</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hidden="1" x14ac:dyDescent="0.2">
      <c r="A133" s="87" t="s">
        <v>93</v>
      </c>
      <c r="B133" s="652" t="s">
        <v>217</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hidden="1" x14ac:dyDescent="0.2">
      <c r="A134" s="87" t="s">
        <v>93</v>
      </c>
      <c r="B134" s="652" t="s">
        <v>218</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ht="15" hidden="1" x14ac:dyDescent="0.25">
      <c r="A135" s="113"/>
      <c r="B135" s="653"/>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hidden="1" x14ac:dyDescent="0.2">
      <c r="A136" s="54" t="s">
        <v>72</v>
      </c>
      <c r="B136" s="654" t="s">
        <v>219</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hidden="1" x14ac:dyDescent="0.2">
      <c r="A137" s="54" t="s">
        <v>72</v>
      </c>
      <c r="B137" s="655" t="s">
        <v>220</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hidden="1" x14ac:dyDescent="0.2">
      <c r="A138" s="54" t="s">
        <v>72</v>
      </c>
      <c r="B138" s="655" t="s">
        <v>221</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hidden="1" x14ac:dyDescent="0.2">
      <c r="A139" s="54" t="s">
        <v>72</v>
      </c>
      <c r="B139" s="655" t="s">
        <v>222</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hidden="1" x14ac:dyDescent="0.2">
      <c r="A140" s="54" t="s">
        <v>72</v>
      </c>
      <c r="B140" s="655" t="s">
        <v>223</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hidden="1" x14ac:dyDescent="0.2">
      <c r="A141" s="54" t="s">
        <v>72</v>
      </c>
      <c r="B141" s="655" t="s">
        <v>224</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hidden="1" x14ac:dyDescent="0.2">
      <c r="A142" s="55" t="s">
        <v>72</v>
      </c>
      <c r="B142" s="656" t="s">
        <v>225</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ht="15" hidden="1" x14ac:dyDescent="0.25">
      <c r="A143" s="117"/>
      <c r="B143" s="657"/>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hidden="1" x14ac:dyDescent="0.2">
      <c r="A144" s="59" t="s">
        <v>75</v>
      </c>
      <c r="B144" s="654" t="s">
        <v>226</v>
      </c>
      <c r="C144" s="72" t="str">
        <f>CONCATENATE(A144," - ",B144)</f>
        <v>NI – Health and Social Care Trusts - Belfast Health and Social Care Trust</v>
      </c>
      <c r="D144" s="61">
        <f t="shared" ref="D144:E148" si="33">I144</f>
        <v>138553.97738288154</v>
      </c>
      <c r="E144" s="61">
        <f t="shared" si="33"/>
        <v>149546.65719477332</v>
      </c>
      <c r="F144" s="597">
        <f>G144+H144</f>
        <v>364103.61922965694</v>
      </c>
      <c r="G144" s="597">
        <f>SUM(M144:CY144)</f>
        <v>177508.17393508262</v>
      </c>
      <c r="H144" s="62">
        <f>SUM(CZ144:GL144)</f>
        <v>186595.44529457431</v>
      </c>
      <c r="I144" s="62">
        <f>SUM(AE144:CY144)</f>
        <v>138553.97738288154</v>
      </c>
      <c r="J144" s="62">
        <f>SUM(DR144:GL144)</f>
        <v>149546.65719477332</v>
      </c>
      <c r="K144" s="598">
        <f>SUM(M144:AD144)</f>
        <v>38954.196552201036</v>
      </c>
      <c r="L144" s="61">
        <f>SUM(CZ144:DQ144)</f>
        <v>37048.788099800979</v>
      </c>
      <c r="M144" s="598">
        <v>2017.8952120383037</v>
      </c>
      <c r="N144" s="598">
        <v>2031.4154300095463</v>
      </c>
      <c r="O144" s="598">
        <v>2025.5722779004586</v>
      </c>
      <c r="P144" s="598">
        <v>2036.6363244919048</v>
      </c>
      <c r="Q144" s="598">
        <v>2174.8657606103957</v>
      </c>
      <c r="R144" s="598">
        <v>2139.1275684252282</v>
      </c>
      <c r="S144" s="598">
        <v>2269.8788621098379</v>
      </c>
      <c r="T144" s="598">
        <v>2199.8731034482757</v>
      </c>
      <c r="U144" s="598">
        <v>2214.1918960244648</v>
      </c>
      <c r="V144" s="598">
        <v>2323.0202012443356</v>
      </c>
      <c r="W144" s="598">
        <v>2319.2258355916892</v>
      </c>
      <c r="X144" s="598">
        <v>2302.9974595842955</v>
      </c>
      <c r="Y144" s="598">
        <v>2256.5049293083684</v>
      </c>
      <c r="Z144" s="598">
        <v>2212.0418107754977</v>
      </c>
      <c r="AA144" s="598">
        <v>2229.1199141767324</v>
      </c>
      <c r="AB144" s="598">
        <v>2134.8894582108355</v>
      </c>
      <c r="AC144" s="598">
        <v>2012.6591474539725</v>
      </c>
      <c r="AD144" s="598">
        <v>2054.2813607968933</v>
      </c>
      <c r="AE144" s="598">
        <v>2265.0450211864404</v>
      </c>
      <c r="AF144" s="598">
        <v>2804.7232134687529</v>
      </c>
      <c r="AG144" s="598">
        <v>2878.6458486407055</v>
      </c>
      <c r="AH144" s="598">
        <v>2648.2416475163518</v>
      </c>
      <c r="AI144" s="598">
        <v>2812.8031562871206</v>
      </c>
      <c r="AJ144" s="598">
        <v>2819.1729711141679</v>
      </c>
      <c r="AK144" s="598">
        <v>2731.7522704339053</v>
      </c>
      <c r="AL144" s="598">
        <v>2754.8174718956493</v>
      </c>
      <c r="AM144" s="598">
        <v>2792.2450211225105</v>
      </c>
      <c r="AN144" s="598">
        <v>2709.9772329246935</v>
      </c>
      <c r="AO144" s="598">
        <v>2693.0545391183132</v>
      </c>
      <c r="AP144" s="598">
        <v>2739.741847362131</v>
      </c>
      <c r="AQ144" s="598">
        <v>2738.9105892047796</v>
      </c>
      <c r="AR144" s="598">
        <v>2711.0666008067833</v>
      </c>
      <c r="AS144" s="598">
        <v>2782.8070289619263</v>
      </c>
      <c r="AT144" s="598">
        <v>2691.3420944220152</v>
      </c>
      <c r="AU144" s="598">
        <v>2575.2371291098634</v>
      </c>
      <c r="AV144" s="598">
        <v>2616.3572226656024</v>
      </c>
      <c r="AW144" s="598">
        <v>2585.9089460686691</v>
      </c>
      <c r="AX144" s="598">
        <v>2533.264568094025</v>
      </c>
      <c r="AY144" s="598">
        <v>2413.1614349775782</v>
      </c>
      <c r="AZ144" s="598">
        <v>2431.4496314496314</v>
      </c>
      <c r="BA144" s="598">
        <v>2293.8903732491299</v>
      </c>
      <c r="BB144" s="598">
        <v>2344.819097470061</v>
      </c>
      <c r="BC144" s="598">
        <v>2403.7633319021038</v>
      </c>
      <c r="BD144" s="598">
        <v>2239.8626248466794</v>
      </c>
      <c r="BE144" s="598">
        <v>2047.4737312365976</v>
      </c>
      <c r="BF144" s="598">
        <v>2052.8353243075835</v>
      </c>
      <c r="BG144" s="598">
        <v>1984.3233076189651</v>
      </c>
      <c r="BH144" s="598">
        <v>1967.3126347206103</v>
      </c>
      <c r="BI144" s="598">
        <v>1977.5348837209303</v>
      </c>
      <c r="BJ144" s="598">
        <v>2084.857469993683</v>
      </c>
      <c r="BK144" s="598">
        <v>2131.2999446158715</v>
      </c>
      <c r="BL144" s="598">
        <v>2143.6819436775263</v>
      </c>
      <c r="BM144" s="598">
        <v>2073.8563380281689</v>
      </c>
      <c r="BN144" s="598">
        <v>2300.7910402197972</v>
      </c>
      <c r="BO144" s="598">
        <v>2326.6164287385909</v>
      </c>
      <c r="BP144" s="598">
        <v>2307.9060786106033</v>
      </c>
      <c r="BQ144" s="598">
        <v>2344.6145362640732</v>
      </c>
      <c r="BR144" s="598">
        <v>2368.012116504854</v>
      </c>
      <c r="BS144" s="598">
        <v>2252.978437722139</v>
      </c>
      <c r="BT144" s="598">
        <v>2241.3179516972359</v>
      </c>
      <c r="BU144" s="598">
        <v>2297.6054466954502</v>
      </c>
      <c r="BV144" s="598">
        <v>2198.0522088353414</v>
      </c>
      <c r="BW144" s="598">
        <v>2021.5031326614003</v>
      </c>
      <c r="BX144" s="598">
        <v>2002.5265144540601</v>
      </c>
      <c r="BY144" s="598">
        <v>1890.3538506703198</v>
      </c>
      <c r="BZ144" s="598">
        <v>1822.7951142631994</v>
      </c>
      <c r="CA144" s="598">
        <v>1687.8206664564279</v>
      </c>
      <c r="CB144" s="598">
        <v>1588.8602704443015</v>
      </c>
      <c r="CC144" s="598">
        <v>1552.3684032476319</v>
      </c>
      <c r="CD144" s="598">
        <v>1527.1244533743056</v>
      </c>
      <c r="CE144" s="598">
        <v>1273.9034871433603</v>
      </c>
      <c r="CF144" s="598">
        <v>1290.2680573978055</v>
      </c>
      <c r="CG144" s="598">
        <v>1292.323121170439</v>
      </c>
      <c r="CH144" s="598">
        <v>1203.3575933400607</v>
      </c>
      <c r="CI144" s="598">
        <v>1137.5975561687032</v>
      </c>
      <c r="CJ144" s="598">
        <v>1181.2559576345984</v>
      </c>
      <c r="CK144" s="598">
        <v>1033.272138554217</v>
      </c>
      <c r="CL144" s="598">
        <v>966.99722735674675</v>
      </c>
      <c r="CM144" s="598">
        <v>986.02355350742448</v>
      </c>
      <c r="CN144" s="598">
        <v>974.00968523002427</v>
      </c>
      <c r="CO144" s="598">
        <v>796.9</v>
      </c>
      <c r="CP144" s="598">
        <v>696.19117288466236</v>
      </c>
      <c r="CQ144" s="598">
        <v>621.99595857539782</v>
      </c>
      <c r="CR144" s="598">
        <v>600.77992957746471</v>
      </c>
      <c r="CS144" s="598">
        <v>583.85111740635818</v>
      </c>
      <c r="CT144" s="598">
        <v>522.79582712369597</v>
      </c>
      <c r="CU144" s="598">
        <v>452.41860465116281</v>
      </c>
      <c r="CV144" s="598">
        <v>372.84571129707109</v>
      </c>
      <c r="CW144" s="598">
        <v>312.34061135371184</v>
      </c>
      <c r="CX144" s="598">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hidden="1" x14ac:dyDescent="0.2">
      <c r="A145" s="59" t="s">
        <v>75</v>
      </c>
      <c r="B145" s="655" t="s">
        <v>227</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hidden="1" x14ac:dyDescent="0.2">
      <c r="A146" s="59" t="s">
        <v>75</v>
      </c>
      <c r="B146" s="655" t="s">
        <v>228</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hidden="1" x14ac:dyDescent="0.2">
      <c r="A147" s="59" t="s">
        <v>75</v>
      </c>
      <c r="B147" s="655" t="s">
        <v>229</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hidden="1" x14ac:dyDescent="0.2">
      <c r="A148" s="63" t="s">
        <v>75</v>
      </c>
      <c r="B148" s="656" t="s">
        <v>230</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ht="15" hidden="1" x14ac:dyDescent="0.25">
      <c r="A149" s="117"/>
      <c r="B149" s="657"/>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hidden="1" x14ac:dyDescent="0.2">
      <c r="A150" s="73" t="s">
        <v>70</v>
      </c>
      <c r="B150" s="658" t="s">
        <v>231</v>
      </c>
      <c r="C150" s="72" t="str">
        <f>CONCATENATE(A150," - ",B150)</f>
        <v>NHSE regions - East of England</v>
      </c>
      <c r="D150" s="61">
        <f t="shared" ref="D150:E156" si="35">I150</f>
        <v>2447757</v>
      </c>
      <c r="E150" s="61">
        <f t="shared" si="35"/>
        <v>2602371</v>
      </c>
      <c r="F150" s="597">
        <f t="shared" ref="F150:F156" si="36">G150+H150</f>
        <v>6398497</v>
      </c>
      <c r="G150" s="597">
        <f t="shared" ref="G150:G156" si="37">SUM(M150:CY150)</f>
        <v>3138914</v>
      </c>
      <c r="H150" s="62">
        <f t="shared" ref="H150:H156" si="38">SUM(CZ150:GL150)</f>
        <v>3259583</v>
      </c>
      <c r="I150" s="62">
        <f t="shared" ref="I150:I156" si="39">SUM(AE150:CY150)</f>
        <v>2447757</v>
      </c>
      <c r="J150" s="62">
        <f t="shared" ref="J150:J156" si="40">SUM(DR150:GL150)</f>
        <v>2602371</v>
      </c>
      <c r="K150" s="598">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hidden="1" x14ac:dyDescent="0.2">
      <c r="A151" s="64" t="s">
        <v>70</v>
      </c>
      <c r="B151" s="658" t="s">
        <v>232</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hidden="1" x14ac:dyDescent="0.2">
      <c r="A152" s="64" t="s">
        <v>70</v>
      </c>
      <c r="B152" s="658" t="s">
        <v>233</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hidden="1" x14ac:dyDescent="0.2">
      <c r="A153" s="64" t="s">
        <v>70</v>
      </c>
      <c r="B153" s="658" t="s">
        <v>234</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hidden="1" x14ac:dyDescent="0.2">
      <c r="A154" s="64" t="s">
        <v>70</v>
      </c>
      <c r="B154" s="658" t="s">
        <v>235</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hidden="1" x14ac:dyDescent="0.2">
      <c r="A155" s="64" t="s">
        <v>70</v>
      </c>
      <c r="B155" s="658" t="s">
        <v>236</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
      <c r="A156" s="140" t="s">
        <v>70</v>
      </c>
      <c r="B156" s="658" t="s">
        <v>237</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ht="15" x14ac:dyDescent="0.25">
      <c r="A157" s="118"/>
      <c r="B157" s="659"/>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596"/>
      <c r="AL157" s="596"/>
      <c r="AM157" s="596"/>
      <c r="AN157" s="596"/>
      <c r="AO157" s="596"/>
      <c r="AP157" s="596"/>
      <c r="AQ157" s="596"/>
      <c r="AR157" s="596"/>
      <c r="AS157" s="596"/>
      <c r="AT157" s="596"/>
      <c r="AU157" s="596"/>
      <c r="AV157" s="596"/>
      <c r="AW157" s="596"/>
      <c r="AX157" s="596"/>
      <c r="AY157" s="596"/>
      <c r="AZ157" s="596"/>
      <c r="BA157" s="596"/>
      <c r="BB157" s="596"/>
      <c r="BC157" s="596"/>
      <c r="BD157" s="596"/>
      <c r="BE157" s="596"/>
      <c r="BF157" s="596"/>
      <c r="BG157" s="596"/>
      <c r="BH157" s="596"/>
      <c r="BI157" s="596"/>
      <c r="BJ157" s="596"/>
      <c r="BK157" s="596"/>
      <c r="BL157" s="596"/>
      <c r="BM157" s="596"/>
      <c r="BN157" s="596"/>
      <c r="BO157" s="596"/>
      <c r="BP157" s="596"/>
      <c r="BQ157" s="596"/>
      <c r="BR157" s="596"/>
      <c r="BS157" s="596"/>
      <c r="BT157" s="596"/>
      <c r="BU157" s="596"/>
      <c r="BV157" s="596"/>
      <c r="BW157" s="596"/>
      <c r="BX157" s="596"/>
      <c r="BY157" s="596"/>
      <c r="BZ157" s="596"/>
      <c r="CA157" s="596"/>
      <c r="CB157" s="596"/>
      <c r="CC157" s="596"/>
      <c r="CD157" s="596"/>
      <c r="CE157" s="596"/>
      <c r="CF157" s="596"/>
      <c r="CG157" s="596"/>
      <c r="CH157" s="596"/>
      <c r="CI157" s="596"/>
      <c r="CJ157" s="596"/>
      <c r="CK157" s="596"/>
      <c r="CL157" s="596"/>
      <c r="CM157" s="596"/>
      <c r="CN157" s="596"/>
      <c r="CO157" s="596"/>
      <c r="CP157" s="596"/>
      <c r="CQ157" s="596"/>
      <c r="CR157" s="596"/>
      <c r="CS157" s="596"/>
      <c r="CT157" s="596"/>
      <c r="CU157" s="596"/>
      <c r="CV157" s="596"/>
      <c r="CW157" s="596"/>
      <c r="CX157" s="596"/>
      <c r="CY157" s="77"/>
      <c r="CZ157" s="119"/>
      <c r="DA157" s="596"/>
      <c r="DB157" s="596"/>
      <c r="DC157" s="596"/>
      <c r="DD157" s="596"/>
      <c r="DE157" s="596"/>
      <c r="DF157" s="596"/>
      <c r="DG157" s="596"/>
      <c r="DH157" s="596"/>
      <c r="DI157" s="596"/>
      <c r="DJ157" s="596"/>
      <c r="DK157" s="596"/>
      <c r="DL157" s="596"/>
      <c r="DM157" s="596"/>
      <c r="DN157" s="596"/>
      <c r="DO157" s="596"/>
      <c r="DP157" s="596"/>
      <c r="DQ157" s="596"/>
      <c r="DR157" s="596"/>
      <c r="DS157" s="596"/>
      <c r="DT157" s="596"/>
      <c r="DU157" s="596"/>
      <c r="DV157" s="596"/>
      <c r="DW157" s="596"/>
      <c r="DX157" s="596"/>
      <c r="DY157" s="596"/>
      <c r="DZ157" s="596"/>
      <c r="EA157" s="596"/>
      <c r="EB157" s="596"/>
      <c r="EC157" s="596"/>
      <c r="ED157" s="596"/>
      <c r="EE157" s="596"/>
      <c r="EF157" s="596"/>
      <c r="EG157" s="596"/>
      <c r="EH157" s="596"/>
      <c r="EI157" s="596"/>
      <c r="EJ157" s="596"/>
      <c r="EK157" s="596"/>
      <c r="EL157" s="596"/>
      <c r="EM157" s="596"/>
      <c r="EN157" s="596"/>
      <c r="EO157" s="596"/>
      <c r="EP157" s="596"/>
      <c r="EQ157" s="596"/>
      <c r="ER157" s="596"/>
      <c r="ES157" s="596"/>
      <c r="ET157" s="596"/>
      <c r="EU157" s="596"/>
      <c r="EV157" s="596"/>
      <c r="EW157" s="596"/>
      <c r="EX157" s="596"/>
      <c r="EY157" s="596"/>
      <c r="EZ157" s="596"/>
      <c r="FA157" s="596"/>
      <c r="FB157" s="596"/>
      <c r="FC157" s="596"/>
      <c r="FD157" s="596"/>
      <c r="FE157" s="596"/>
      <c r="FF157" s="596"/>
      <c r="FG157" s="596"/>
      <c r="FH157" s="596"/>
      <c r="FI157" s="596"/>
      <c r="FJ157" s="596"/>
      <c r="FK157" s="596"/>
      <c r="FL157" s="596"/>
      <c r="FM157" s="596"/>
      <c r="FN157" s="596"/>
      <c r="FO157" s="596"/>
      <c r="FP157" s="596"/>
      <c r="FQ157" s="596"/>
      <c r="FR157" s="596"/>
      <c r="FS157" s="596"/>
      <c r="FT157" s="596"/>
      <c r="FU157" s="596"/>
      <c r="FV157" s="596"/>
      <c r="FW157" s="596"/>
      <c r="FX157" s="596"/>
      <c r="FY157" s="596"/>
      <c r="FZ157" s="596"/>
      <c r="GA157" s="596"/>
      <c r="GB157" s="596"/>
      <c r="GC157" s="596"/>
      <c r="GD157" s="596"/>
      <c r="GE157" s="596"/>
      <c r="GF157" s="596"/>
      <c r="GG157" s="596"/>
      <c r="GH157" s="596"/>
      <c r="GI157" s="596"/>
      <c r="GJ157" s="596"/>
      <c r="GK157" s="596"/>
      <c r="GL157" s="77"/>
    </row>
    <row r="158" spans="1:194" s="1" customFormat="1" x14ac:dyDescent="0.2">
      <c r="A158" s="108" t="s">
        <v>62</v>
      </c>
      <c r="B158" s="660" t="s">
        <v>238</v>
      </c>
      <c r="C158" s="599" t="str">
        <f t="shared" si="43"/>
        <v>England ICB - NHS Bath and North East Somerset, Swindon and Wiltshire Integrated Care Board</v>
      </c>
      <c r="D158" s="79">
        <f t="shared" ref="D158:E163" si="45">I158</f>
        <v>372192</v>
      </c>
      <c r="E158" s="79">
        <f t="shared" si="45"/>
        <v>388592</v>
      </c>
      <c r="F158" s="109">
        <f t="shared" ref="F158:F163" si="46">G158+H158</f>
        <v>953852</v>
      </c>
      <c r="G158" s="597">
        <f t="shared" ref="G158:G163" si="47">SUM(M158:CY158)</f>
        <v>470982</v>
      </c>
      <c r="H158" s="62">
        <f t="shared" ref="H158:H163" si="48">SUM(CZ158:GL158)</f>
        <v>482870</v>
      </c>
      <c r="I158" s="597">
        <f t="shared" ref="I158:I163" si="49">SUM(AE158:CY158)</f>
        <v>372192</v>
      </c>
      <c r="J158" s="104">
        <f t="shared" ref="J158:J163" si="50">SUM(DR158:GL158)</f>
        <v>388592</v>
      </c>
      <c r="K158" s="106">
        <f t="shared" ref="K158:K163" si="51">SUM(M158:AD158)</f>
        <v>98790</v>
      </c>
      <c r="L158" s="61">
        <f t="shared" ref="L158:L163" si="52">SUM(CZ158:DQ158)</f>
        <v>94278</v>
      </c>
      <c r="M158" s="106">
        <v>4647</v>
      </c>
      <c r="N158" s="598">
        <v>4706</v>
      </c>
      <c r="O158" s="598">
        <v>4907</v>
      </c>
      <c r="P158" s="598">
        <v>5108</v>
      </c>
      <c r="Q158" s="598">
        <v>5293</v>
      </c>
      <c r="R158" s="598">
        <v>5287</v>
      </c>
      <c r="S158" s="598">
        <v>5628</v>
      </c>
      <c r="T158" s="598">
        <v>5623</v>
      </c>
      <c r="U158" s="598">
        <v>5617</v>
      </c>
      <c r="V158" s="598">
        <v>5799</v>
      </c>
      <c r="W158" s="598">
        <v>6160</v>
      </c>
      <c r="X158" s="598">
        <v>6033</v>
      </c>
      <c r="Y158" s="598">
        <v>5955</v>
      </c>
      <c r="Z158" s="598">
        <v>5803</v>
      </c>
      <c r="AA158" s="598">
        <v>5710</v>
      </c>
      <c r="AB158" s="598">
        <v>5605</v>
      </c>
      <c r="AC158" s="598">
        <v>5496</v>
      </c>
      <c r="AD158" s="598">
        <v>5413</v>
      </c>
      <c r="AE158" s="598">
        <v>5967</v>
      </c>
      <c r="AF158" s="598">
        <v>6678</v>
      </c>
      <c r="AG158" s="598">
        <v>6216</v>
      </c>
      <c r="AH158" s="598">
        <v>5569</v>
      </c>
      <c r="AI158" s="598">
        <v>5932</v>
      </c>
      <c r="AJ158" s="598">
        <v>5961</v>
      </c>
      <c r="AK158" s="598">
        <v>5644</v>
      </c>
      <c r="AL158" s="598">
        <v>5569</v>
      </c>
      <c r="AM158" s="598">
        <v>5603</v>
      </c>
      <c r="AN158" s="598">
        <v>5436</v>
      </c>
      <c r="AO158" s="598">
        <v>5723</v>
      </c>
      <c r="AP158" s="598">
        <v>5509</v>
      </c>
      <c r="AQ158" s="598">
        <v>5906</v>
      </c>
      <c r="AR158" s="598">
        <v>5926</v>
      </c>
      <c r="AS158" s="598">
        <v>5999</v>
      </c>
      <c r="AT158" s="598">
        <v>5968</v>
      </c>
      <c r="AU158" s="598">
        <v>6124</v>
      </c>
      <c r="AV158" s="598">
        <v>6089</v>
      </c>
      <c r="AW158" s="598">
        <v>6037</v>
      </c>
      <c r="AX158" s="598">
        <v>5950</v>
      </c>
      <c r="AY158" s="598">
        <v>6029</v>
      </c>
      <c r="AZ158" s="598">
        <v>5880</v>
      </c>
      <c r="BA158" s="598">
        <v>5821</v>
      </c>
      <c r="BB158" s="598">
        <v>5960</v>
      </c>
      <c r="BC158" s="598">
        <v>6033</v>
      </c>
      <c r="BD158" s="598">
        <v>5922</v>
      </c>
      <c r="BE158" s="598">
        <v>5375</v>
      </c>
      <c r="BF158" s="598">
        <v>5274</v>
      </c>
      <c r="BG158" s="598">
        <v>5437</v>
      </c>
      <c r="BH158" s="598">
        <v>5820</v>
      </c>
      <c r="BI158" s="598">
        <v>5866</v>
      </c>
      <c r="BJ158" s="598">
        <v>6432</v>
      </c>
      <c r="BK158" s="598">
        <v>6631</v>
      </c>
      <c r="BL158" s="598">
        <v>6700</v>
      </c>
      <c r="BM158" s="598">
        <v>6536</v>
      </c>
      <c r="BN158" s="598">
        <v>6527</v>
      </c>
      <c r="BO158" s="598">
        <v>6586</v>
      </c>
      <c r="BP158" s="598">
        <v>6746</v>
      </c>
      <c r="BQ158" s="598">
        <v>6723</v>
      </c>
      <c r="BR158" s="598">
        <v>6887</v>
      </c>
      <c r="BS158" s="598">
        <v>6661</v>
      </c>
      <c r="BT158" s="598">
        <v>6550</v>
      </c>
      <c r="BU158" s="598">
        <v>6440</v>
      </c>
      <c r="BV158" s="598">
        <v>6192</v>
      </c>
      <c r="BW158" s="598">
        <v>5977</v>
      </c>
      <c r="BX158" s="598">
        <v>5691</v>
      </c>
      <c r="BY158" s="598">
        <v>5371</v>
      </c>
      <c r="BZ158" s="598">
        <v>5135</v>
      </c>
      <c r="CA158" s="598">
        <v>4863</v>
      </c>
      <c r="CB158" s="598">
        <v>4730</v>
      </c>
      <c r="CC158" s="598">
        <v>4797</v>
      </c>
      <c r="CD158" s="598">
        <v>4544</v>
      </c>
      <c r="CE158" s="598">
        <v>4485</v>
      </c>
      <c r="CF158" s="598">
        <v>4422</v>
      </c>
      <c r="CG158" s="598">
        <v>4421</v>
      </c>
      <c r="CH158" s="598">
        <v>4529</v>
      </c>
      <c r="CI158" s="598">
        <v>4861</v>
      </c>
      <c r="CJ158" s="598">
        <v>5197</v>
      </c>
      <c r="CK158" s="598">
        <v>3865</v>
      </c>
      <c r="CL158" s="598">
        <v>3773</v>
      </c>
      <c r="CM158" s="598">
        <v>3497</v>
      </c>
      <c r="CN158" s="598">
        <v>3141</v>
      </c>
      <c r="CO158" s="598">
        <v>2804</v>
      </c>
      <c r="CP158" s="598">
        <v>2380</v>
      </c>
      <c r="CQ158" s="598">
        <v>2335</v>
      </c>
      <c r="CR158" s="598">
        <v>2209</v>
      </c>
      <c r="CS158" s="598">
        <v>2008</v>
      </c>
      <c r="CT158" s="598">
        <v>1804</v>
      </c>
      <c r="CU158" s="598">
        <v>1625</v>
      </c>
      <c r="CV158" s="598">
        <v>1368</v>
      </c>
      <c r="CW158" s="598">
        <v>1144</v>
      </c>
      <c r="CX158" s="598">
        <v>1023</v>
      </c>
      <c r="CY158" s="61">
        <v>3359</v>
      </c>
      <c r="CZ158" s="106">
        <v>4395</v>
      </c>
      <c r="DA158" s="598">
        <v>4569</v>
      </c>
      <c r="DB158" s="598">
        <v>4724</v>
      </c>
      <c r="DC158" s="598">
        <v>4830</v>
      </c>
      <c r="DD158" s="598">
        <v>5033</v>
      </c>
      <c r="DE158" s="598">
        <v>5193</v>
      </c>
      <c r="DF158" s="598">
        <v>5362</v>
      </c>
      <c r="DG158" s="598">
        <v>5295</v>
      </c>
      <c r="DH158" s="598">
        <v>5344</v>
      </c>
      <c r="DI158" s="598">
        <v>5565</v>
      </c>
      <c r="DJ158" s="598">
        <v>5551</v>
      </c>
      <c r="DK158" s="598">
        <v>5719</v>
      </c>
      <c r="DL158" s="598">
        <v>5546</v>
      </c>
      <c r="DM158" s="598">
        <v>5549</v>
      </c>
      <c r="DN158" s="598">
        <v>5624</v>
      </c>
      <c r="DO158" s="598">
        <v>5574</v>
      </c>
      <c r="DP158" s="598">
        <v>5184</v>
      </c>
      <c r="DQ158" s="598">
        <v>5221</v>
      </c>
      <c r="DR158" s="598">
        <v>5415</v>
      </c>
      <c r="DS158" s="598">
        <v>5600</v>
      </c>
      <c r="DT158" s="598">
        <v>5189</v>
      </c>
      <c r="DU158" s="598">
        <v>4912</v>
      </c>
      <c r="DV158" s="598">
        <v>5426</v>
      </c>
      <c r="DW158" s="598">
        <v>5137</v>
      </c>
      <c r="DX158" s="598">
        <v>5128</v>
      </c>
      <c r="DY158" s="598">
        <v>5294</v>
      </c>
      <c r="DZ158" s="598">
        <v>5013</v>
      </c>
      <c r="EA158" s="598">
        <v>5302</v>
      </c>
      <c r="EB158" s="598">
        <v>5698</v>
      </c>
      <c r="EC158" s="598">
        <v>5815</v>
      </c>
      <c r="ED158" s="598">
        <v>5939</v>
      </c>
      <c r="EE158" s="598">
        <v>6272</v>
      </c>
      <c r="EF158" s="598">
        <v>6263</v>
      </c>
      <c r="EG158" s="598">
        <v>6313</v>
      </c>
      <c r="EH158" s="598">
        <v>6318</v>
      </c>
      <c r="EI158" s="598">
        <v>6535</v>
      </c>
      <c r="EJ158" s="598">
        <v>6131</v>
      </c>
      <c r="EK158" s="598">
        <v>6244</v>
      </c>
      <c r="EL158" s="598">
        <v>6165</v>
      </c>
      <c r="EM158" s="598">
        <v>5942</v>
      </c>
      <c r="EN158" s="598">
        <v>6211</v>
      </c>
      <c r="EO158" s="598">
        <v>6218</v>
      </c>
      <c r="EP158" s="598">
        <v>6104</v>
      </c>
      <c r="EQ158" s="598">
        <v>5799</v>
      </c>
      <c r="ER158" s="598">
        <v>5574</v>
      </c>
      <c r="ES158" s="598">
        <v>5586</v>
      </c>
      <c r="ET158" s="598">
        <v>5770</v>
      </c>
      <c r="EU158" s="598">
        <v>5831</v>
      </c>
      <c r="EV158" s="598">
        <v>6251</v>
      </c>
      <c r="EW158" s="598">
        <v>6563</v>
      </c>
      <c r="EX158" s="598">
        <v>6923</v>
      </c>
      <c r="EY158" s="598">
        <v>6736</v>
      </c>
      <c r="EZ158" s="598">
        <v>6661</v>
      </c>
      <c r="FA158" s="598">
        <v>6860</v>
      </c>
      <c r="FB158" s="598">
        <v>6795</v>
      </c>
      <c r="FC158" s="598">
        <v>7093</v>
      </c>
      <c r="FD158" s="598">
        <v>7056</v>
      </c>
      <c r="FE158" s="598">
        <v>6890</v>
      </c>
      <c r="FF158" s="598">
        <v>6926</v>
      </c>
      <c r="FG158" s="598">
        <v>6551</v>
      </c>
      <c r="FH158" s="598">
        <v>6513</v>
      </c>
      <c r="FI158" s="598">
        <v>6413</v>
      </c>
      <c r="FJ158" s="598">
        <v>5897</v>
      </c>
      <c r="FK158" s="598">
        <v>5838</v>
      </c>
      <c r="FL158" s="598">
        <v>5643</v>
      </c>
      <c r="FM158" s="598">
        <v>5384</v>
      </c>
      <c r="FN158" s="598">
        <v>5189</v>
      </c>
      <c r="FO158" s="598">
        <v>5034</v>
      </c>
      <c r="FP158" s="598">
        <v>5088</v>
      </c>
      <c r="FQ158" s="598">
        <v>5112</v>
      </c>
      <c r="FR158" s="598">
        <v>4845</v>
      </c>
      <c r="FS158" s="598">
        <v>4831</v>
      </c>
      <c r="FT158" s="598">
        <v>4917</v>
      </c>
      <c r="FU158" s="598">
        <v>5074</v>
      </c>
      <c r="FV158" s="598">
        <v>5409</v>
      </c>
      <c r="FW158" s="598">
        <v>5546</v>
      </c>
      <c r="FX158" s="598">
        <v>4375</v>
      </c>
      <c r="FY158" s="598">
        <v>4296</v>
      </c>
      <c r="FZ158" s="598">
        <v>4189</v>
      </c>
      <c r="GA158" s="598">
        <v>3718</v>
      </c>
      <c r="GB158" s="598">
        <v>3306</v>
      </c>
      <c r="GC158" s="598">
        <v>2846</v>
      </c>
      <c r="GD158" s="598">
        <v>2931</v>
      </c>
      <c r="GE158" s="598">
        <v>2828</v>
      </c>
      <c r="GF158" s="598">
        <v>2632</v>
      </c>
      <c r="GG158" s="598">
        <v>2327</v>
      </c>
      <c r="GH158" s="598">
        <v>2137</v>
      </c>
      <c r="GI158" s="598">
        <v>1982</v>
      </c>
      <c r="GJ158" s="598">
        <v>1693</v>
      </c>
      <c r="GK158" s="598">
        <v>1476</v>
      </c>
      <c r="GL158" s="61">
        <v>6674</v>
      </c>
    </row>
    <row r="159" spans="1:194" s="1" customFormat="1" x14ac:dyDescent="0.2">
      <c r="A159" s="110" t="s">
        <v>62</v>
      </c>
      <c r="B159" s="661" t="s">
        <v>239</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
      <c r="A160" s="110" t="s">
        <v>62</v>
      </c>
      <c r="B160" s="661" t="s">
        <v>240</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
      <c r="A161" s="110" t="s">
        <v>62</v>
      </c>
      <c r="B161" s="661" t="s">
        <v>241</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
      <c r="A162" s="110" t="s">
        <v>62</v>
      </c>
      <c r="B162" s="661" t="s">
        <v>242</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
      <c r="A163" s="110" t="s">
        <v>62</v>
      </c>
      <c r="B163" s="661" t="s">
        <v>243</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
      <c r="A164" s="110" t="s">
        <v>62</v>
      </c>
      <c r="B164" s="661" t="s">
        <v>244</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
      <c r="A165" s="110" t="s">
        <v>62</v>
      </c>
      <c r="B165" s="661" t="s">
        <v>245</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
      <c r="A166" s="110" t="s">
        <v>62</v>
      </c>
      <c r="B166" s="661" t="s">
        <v>246</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
      <c r="A167" s="110" t="s">
        <v>62</v>
      </c>
      <c r="B167" s="661" t="s">
        <v>247</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
      <c r="A168" s="110" t="s">
        <v>62</v>
      </c>
      <c r="B168" s="661" t="s">
        <v>248</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
      <c r="A169" s="110" t="s">
        <v>62</v>
      </c>
      <c r="B169" s="661" t="s">
        <v>249</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
      <c r="A170" s="110" t="s">
        <v>62</v>
      </c>
      <c r="B170" s="661" t="s">
        <v>250</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
      <c r="A171" s="110" t="s">
        <v>62</v>
      </c>
      <c r="B171" s="661" t="s">
        <v>251</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
      <c r="A172" s="110" t="s">
        <v>62</v>
      </c>
      <c r="B172" s="661" t="s">
        <v>252</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
      <c r="A173" s="110" t="s">
        <v>62</v>
      </c>
      <c r="B173" s="661" t="s">
        <v>253</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
      <c r="A174" s="110" t="s">
        <v>62</v>
      </c>
      <c r="B174" s="661" t="s">
        <v>254</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
      <c r="A175" s="110" t="s">
        <v>62</v>
      </c>
      <c r="B175" s="661" t="s">
        <v>255</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
      <c r="A176" s="110" t="s">
        <v>62</v>
      </c>
      <c r="B176" s="661" t="s">
        <v>256</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
      <c r="A177" s="110" t="s">
        <v>62</v>
      </c>
      <c r="B177" s="661" t="s">
        <v>257</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
      <c r="A178" s="110" t="s">
        <v>62</v>
      </c>
      <c r="B178" s="661" t="s">
        <v>258</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
      <c r="A179" s="110" t="s">
        <v>62</v>
      </c>
      <c r="B179" s="661" t="s">
        <v>259</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
      <c r="A180" s="110" t="s">
        <v>62</v>
      </c>
      <c r="B180" s="661" t="s">
        <v>260</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
      <c r="A181" s="110" t="s">
        <v>62</v>
      </c>
      <c r="B181" s="661" t="s">
        <v>261</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
      <c r="A182" s="110" t="s">
        <v>62</v>
      </c>
      <c r="B182" s="661" t="s">
        <v>262</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
      <c r="A183" s="110" t="s">
        <v>62</v>
      </c>
      <c r="B183" s="661" t="s">
        <v>263</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
      <c r="A184" s="110" t="s">
        <v>62</v>
      </c>
      <c r="B184" s="661" t="s">
        <v>264</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
      <c r="A185" s="110" t="s">
        <v>62</v>
      </c>
      <c r="B185" s="661" t="s">
        <v>265</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
      <c r="A186" s="110" t="s">
        <v>62</v>
      </c>
      <c r="B186" s="661" t="s">
        <v>266</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
      <c r="A187" s="110" t="s">
        <v>62</v>
      </c>
      <c r="B187" s="661" t="s">
        <v>267</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
      <c r="A188" s="110" t="s">
        <v>62</v>
      </c>
      <c r="B188" s="661" t="s">
        <v>268</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
      <c r="A189" s="110" t="s">
        <v>62</v>
      </c>
      <c r="B189" s="661" t="s">
        <v>269</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
      <c r="A190" s="110" t="s">
        <v>62</v>
      </c>
      <c r="B190" s="661" t="s">
        <v>270</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
      <c r="A191" s="110" t="s">
        <v>62</v>
      </c>
      <c r="B191" s="661" t="s">
        <v>271</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
      <c r="A192" s="110" t="s">
        <v>62</v>
      </c>
      <c r="B192" s="661" t="s">
        <v>272</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
      <c r="A193" s="110" t="s">
        <v>62</v>
      </c>
      <c r="B193" s="661" t="s">
        <v>273</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
      <c r="A194" s="110" t="s">
        <v>62</v>
      </c>
      <c r="B194" s="661" t="s">
        <v>274</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
      <c r="A195" s="110" t="s">
        <v>62</v>
      </c>
      <c r="B195" s="661" t="s">
        <v>275</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
      <c r="A196" s="110" t="s">
        <v>62</v>
      </c>
      <c r="B196" s="661" t="s">
        <v>276</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
      <c r="A197" s="110" t="s">
        <v>62</v>
      </c>
      <c r="B197" s="661" t="s">
        <v>277</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
      <c r="A198" s="110" t="s">
        <v>62</v>
      </c>
      <c r="B198" s="661" t="s">
        <v>278</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
      <c r="A199" s="110" t="s">
        <v>62</v>
      </c>
      <c r="B199" s="661" t="s">
        <v>279</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ht="15" x14ac:dyDescent="0.25">
      <c r="A200" s="113"/>
      <c r="B200" s="662"/>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2">
      <c r="A201" s="31" t="s">
        <v>91</v>
      </c>
      <c r="B201" s="1" t="s">
        <v>280</v>
      </c>
      <c r="C201" s="72" t="str">
        <f>CONCATENATE(A201," - ",B201)</f>
        <v>LA England - Adur</v>
      </c>
      <c r="D201" s="61">
        <f t="shared" ref="D201:D265" si="73">I201</f>
        <v>24443</v>
      </c>
      <c r="E201" s="61">
        <f t="shared" ref="E201:E265" si="74">J201</f>
        <v>27108</v>
      </c>
      <c r="F201" s="597">
        <f t="shared" ref="F201:F265" si="75">G201+H201</f>
        <v>64688</v>
      </c>
      <c r="G201" s="597">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
      <c r="A202" s="31" t="s">
        <v>91</v>
      </c>
      <c r="B202" s="1" t="s">
        <v>281</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
      <c r="A203" s="31" t="s">
        <v>91</v>
      </c>
      <c r="B203" s="1" t="s">
        <v>282</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
      <c r="A204" s="31" t="s">
        <v>91</v>
      </c>
      <c r="B204" s="1" t="s">
        <v>283</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
      <c r="A205" s="31" t="s">
        <v>91</v>
      </c>
      <c r="B205" s="1" t="s">
        <v>284</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
      <c r="A206" s="31" t="s">
        <v>91</v>
      </c>
      <c r="B206" s="1" t="s">
        <v>285</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
      <c r="A207" s="31" t="s">
        <v>91</v>
      </c>
      <c r="B207" s="1" t="s">
        <v>286</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
      <c r="A208" s="31" t="s">
        <v>91</v>
      </c>
      <c r="B208" s="1" t="s">
        <v>287</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
      <c r="A209" s="31" t="s">
        <v>91</v>
      </c>
      <c r="B209" s="1" t="s">
        <v>288</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
      <c r="A210" s="31" t="s">
        <v>91</v>
      </c>
      <c r="B210" s="1" t="s">
        <v>289</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
      <c r="A211" s="31" t="s">
        <v>91</v>
      </c>
      <c r="B211" s="1" t="s">
        <v>290</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
      <c r="A212" s="31" t="s">
        <v>91</v>
      </c>
      <c r="B212" s="1" t="s">
        <v>291</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
      <c r="A213" s="31" t="s">
        <v>91</v>
      </c>
      <c r="B213" s="1" t="s">
        <v>292</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
      <c r="A214" s="31" t="s">
        <v>91</v>
      </c>
      <c r="B214" s="1" t="s">
        <v>293</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
      <c r="A215" s="31" t="s">
        <v>91</v>
      </c>
      <c r="B215" s="1" t="s">
        <v>294</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
      <c r="A216" s="31" t="s">
        <v>91</v>
      </c>
      <c r="B216" s="1" t="s">
        <v>295</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
      <c r="A217" s="31" t="s">
        <v>91</v>
      </c>
      <c r="B217" s="1" t="s">
        <v>296</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
      <c r="A218" s="31" t="s">
        <v>91</v>
      </c>
      <c r="B218" s="1" t="s">
        <v>297</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
      <c r="A219" s="31" t="s">
        <v>91</v>
      </c>
      <c r="B219" s="1" t="s">
        <v>298</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
      <c r="A220" s="31" t="s">
        <v>91</v>
      </c>
      <c r="B220" s="1" t="s">
        <v>299</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
      <c r="A221" s="31" t="s">
        <v>91</v>
      </c>
      <c r="B221" s="1" t="s">
        <v>300</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
      <c r="A222" s="31" t="s">
        <v>91</v>
      </c>
      <c r="B222" s="1" t="s">
        <v>301</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
      <c r="A223" s="31" t="s">
        <v>91</v>
      </c>
      <c r="B223" s="1" t="s">
        <v>302</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
      <c r="A224" s="31" t="s">
        <v>91</v>
      </c>
      <c r="B224" s="1" t="s">
        <v>303</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
      <c r="A225" s="31" t="s">
        <v>91</v>
      </c>
      <c r="B225" s="1" t="s">
        <v>304</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
      <c r="A226" s="31" t="s">
        <v>91</v>
      </c>
      <c r="B226" s="1" t="s">
        <v>305</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
      <c r="A227" s="31" t="s">
        <v>91</v>
      </c>
      <c r="B227" s="1" t="s">
        <v>306</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
      <c r="A228" s="31" t="s">
        <v>91</v>
      </c>
      <c r="B228" s="1" t="s">
        <v>307</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
      <c r="A229" s="31" t="s">
        <v>91</v>
      </c>
      <c r="B229" s="1" t="s">
        <v>308</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
      <c r="A230" s="31" t="s">
        <v>91</v>
      </c>
      <c r="B230" s="1" t="s">
        <v>309</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
      <c r="A231" s="31" t="s">
        <v>91</v>
      </c>
      <c r="B231" s="1" t="s">
        <v>310</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
      <c r="A232" s="31" t="s">
        <v>91</v>
      </c>
      <c r="B232" s="1" t="s">
        <v>311</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
      <c r="A233" s="31" t="s">
        <v>91</v>
      </c>
      <c r="B233" s="1" t="s">
        <v>312</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
      <c r="A234" s="31" t="s">
        <v>91</v>
      </c>
      <c r="B234" s="1" t="s">
        <v>313</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
      <c r="A235" s="31" t="s">
        <v>91</v>
      </c>
      <c r="B235" s="1" t="s">
        <v>314</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
      <c r="A236" s="31" t="s">
        <v>91</v>
      </c>
      <c r="B236" s="1" t="s">
        <v>315</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
      <c r="A237" s="31" t="s">
        <v>91</v>
      </c>
      <c r="B237" s="1" t="s">
        <v>316</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
      <c r="A238" s="31" t="s">
        <v>91</v>
      </c>
      <c r="B238" s="1" t="s">
        <v>317</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
      <c r="A239" s="31" t="s">
        <v>91</v>
      </c>
      <c r="B239" s="1" t="s">
        <v>318</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
      <c r="A240" s="31" t="s">
        <v>91</v>
      </c>
      <c r="B240" s="1" t="s">
        <v>319</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
      <c r="A241" s="31" t="s">
        <v>91</v>
      </c>
      <c r="B241" s="1" t="s">
        <v>320</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
      <c r="A242" s="31" t="s">
        <v>91</v>
      </c>
      <c r="B242" s="1" t="s">
        <v>321</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
      <c r="A243" s="31" t="s">
        <v>91</v>
      </c>
      <c r="B243" s="1" t="s">
        <v>322</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
      <c r="A244" s="31" t="s">
        <v>91</v>
      </c>
      <c r="B244" s="1" t="s">
        <v>323</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
      <c r="A245" s="31" t="s">
        <v>91</v>
      </c>
      <c r="B245" s="1" t="s">
        <v>324</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
      <c r="A246" s="31" t="s">
        <v>91</v>
      </c>
      <c r="B246" s="1" t="s">
        <v>325</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
      <c r="A247" s="31" t="s">
        <v>91</v>
      </c>
      <c r="B247" s="1" t="s">
        <v>326</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
      <c r="A248" s="31" t="s">
        <v>91</v>
      </c>
      <c r="B248" s="1" t="s">
        <v>327</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
      <c r="A249" s="31" t="s">
        <v>91</v>
      </c>
      <c r="B249" s="1" t="s">
        <v>328</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
      <c r="A250" s="31" t="s">
        <v>91</v>
      </c>
      <c r="B250" s="1" t="s">
        <v>329</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
      <c r="A251" s="31" t="s">
        <v>91</v>
      </c>
      <c r="B251" s="1" t="s">
        <v>330</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
      <c r="A252" s="31" t="s">
        <v>91</v>
      </c>
      <c r="B252" s="1" t="s">
        <v>331</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
      <c r="A253" s="31" t="s">
        <v>91</v>
      </c>
      <c r="B253" s="1" t="s">
        <v>332</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
      <c r="A254" s="31" t="s">
        <v>91</v>
      </c>
      <c r="B254" s="1" t="s">
        <v>333</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
      <c r="A255" s="31" t="s">
        <v>91</v>
      </c>
      <c r="B255" s="1" t="s">
        <v>334</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
      <c r="A256" s="31" t="s">
        <v>91</v>
      </c>
      <c r="B256" s="1" t="s">
        <v>335</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
      <c r="A257" s="31" t="s">
        <v>91</v>
      </c>
      <c r="B257" s="1" t="s">
        <v>336</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
      <c r="A258" s="31" t="s">
        <v>91</v>
      </c>
      <c r="B258" s="1" t="s">
        <v>337</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
      <c r="A259" s="31" t="s">
        <v>91</v>
      </c>
      <c r="B259" s="1" t="s">
        <v>338</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
      <c r="A260" s="31" t="s">
        <v>91</v>
      </c>
      <c r="B260" s="1" t="s">
        <v>339</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
      <c r="A261" s="31" t="s">
        <v>91</v>
      </c>
      <c r="B261" s="1" t="s">
        <v>340</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
      <c r="A262" s="31" t="s">
        <v>91</v>
      </c>
      <c r="B262" s="1" t="s">
        <v>341</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
      <c r="A263" s="31" t="s">
        <v>91</v>
      </c>
      <c r="B263" s="1" t="s">
        <v>342</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
      <c r="A264" s="31" t="s">
        <v>91</v>
      </c>
      <c r="B264" s="1" t="s">
        <v>343</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
      <c r="A265" s="31" t="s">
        <v>91</v>
      </c>
      <c r="B265" s="1" t="s">
        <v>344</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
      <c r="A266" s="31" t="s">
        <v>91</v>
      </c>
      <c r="B266" s="1" t="s">
        <v>345</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
      <c r="A267" s="31" t="s">
        <v>91</v>
      </c>
      <c r="B267" s="1" t="s">
        <v>346</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
      <c r="A268" s="31" t="s">
        <v>91</v>
      </c>
      <c r="B268" s="1" t="s">
        <v>347</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
      <c r="A269" s="31" t="s">
        <v>91</v>
      </c>
      <c r="B269" s="1" t="s">
        <v>348</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
      <c r="A270" s="31" t="s">
        <v>91</v>
      </c>
      <c r="B270" s="1" t="s">
        <v>349</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
      <c r="A271" s="31" t="s">
        <v>91</v>
      </c>
      <c r="B271" s="1" t="s">
        <v>350</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
      <c r="A272" s="31" t="s">
        <v>91</v>
      </c>
      <c r="B272" s="1" t="s">
        <v>351</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
      <c r="A273" s="31" t="s">
        <v>91</v>
      </c>
      <c r="B273" s="1" t="s">
        <v>352</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
      <c r="A274" s="31" t="s">
        <v>91</v>
      </c>
      <c r="B274" s="1" t="s">
        <v>353</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
      <c r="A275" s="31" t="s">
        <v>91</v>
      </c>
      <c r="B275" s="1" t="s">
        <v>354</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
      <c r="A276" s="31" t="s">
        <v>91</v>
      </c>
      <c r="B276" s="1" t="s">
        <v>355</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
      <c r="A277" s="31" t="s">
        <v>91</v>
      </c>
      <c r="B277" s="1" t="s">
        <v>356</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
      <c r="A278" s="31" t="s">
        <v>91</v>
      </c>
      <c r="B278" s="1" t="s">
        <v>357</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
      <c r="A279" s="31" t="s">
        <v>91</v>
      </c>
      <c r="B279" s="1" t="s">
        <v>358</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
      <c r="A280" s="31" t="s">
        <v>91</v>
      </c>
      <c r="B280" s="1" t="s">
        <v>359</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
      <c r="A281" s="31" t="s">
        <v>91</v>
      </c>
      <c r="B281" s="1" t="s">
        <v>360</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
      <c r="A282" s="31" t="s">
        <v>91</v>
      </c>
      <c r="B282" s="1" t="s">
        <v>361</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
      <c r="A283" s="31" t="s">
        <v>91</v>
      </c>
      <c r="B283" s="1" t="s">
        <v>362</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
      <c r="A284" s="31" t="s">
        <v>91</v>
      </c>
      <c r="B284" s="1" t="s">
        <v>363</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
      <c r="A285" s="31" t="s">
        <v>91</v>
      </c>
      <c r="B285" s="1" t="s">
        <v>364</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
      <c r="A286" s="31" t="s">
        <v>91</v>
      </c>
      <c r="B286" s="1" t="s">
        <v>365</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
      <c r="A287" s="31" t="s">
        <v>91</v>
      </c>
      <c r="B287" s="1" t="s">
        <v>366</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
      <c r="A288" s="31" t="s">
        <v>91</v>
      </c>
      <c r="B288" s="1" t="s">
        <v>367</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
      <c r="A289" s="31" t="s">
        <v>91</v>
      </c>
      <c r="B289" s="1" t="s">
        <v>368</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
      <c r="A290" s="31" t="s">
        <v>91</v>
      </c>
      <c r="B290" s="1" t="s">
        <v>369</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
      <c r="A291" s="31" t="s">
        <v>91</v>
      </c>
      <c r="B291" s="1" t="s">
        <v>370</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
      <c r="A292" s="31" t="s">
        <v>91</v>
      </c>
      <c r="B292" s="1" t="s">
        <v>371</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
      <c r="A293" s="31" t="s">
        <v>91</v>
      </c>
      <c r="B293" s="1" t="s">
        <v>372</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
      <c r="A294" s="31" t="s">
        <v>91</v>
      </c>
      <c r="B294" s="1" t="s">
        <v>373</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
      <c r="A295" s="31" t="s">
        <v>91</v>
      </c>
      <c r="B295" s="1" t="s">
        <v>374</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
      <c r="A296" s="31" t="s">
        <v>91</v>
      </c>
      <c r="B296" s="1" t="s">
        <v>375</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
      <c r="A297" s="31" t="s">
        <v>91</v>
      </c>
      <c r="B297" s="1" t="s">
        <v>376</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
      <c r="A298" s="31" t="s">
        <v>91</v>
      </c>
      <c r="B298" s="1" t="s">
        <v>377</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
      <c r="A299" s="31" t="s">
        <v>91</v>
      </c>
      <c r="B299" s="1" t="s">
        <v>378</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
      <c r="A300" s="31" t="s">
        <v>91</v>
      </c>
      <c r="B300" s="1" t="s">
        <v>379</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
      <c r="A301" s="31" t="s">
        <v>91</v>
      </c>
      <c r="B301" s="1" t="s">
        <v>380</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
      <c r="A302" s="31" t="s">
        <v>91</v>
      </c>
      <c r="B302" s="1" t="s">
        <v>381</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
      <c r="A303" s="31" t="s">
        <v>91</v>
      </c>
      <c r="B303" s="1" t="s">
        <v>382</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
      <c r="A304" s="31" t="s">
        <v>91</v>
      </c>
      <c r="B304" s="1" t="s">
        <v>383</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
      <c r="A305" s="31" t="s">
        <v>91</v>
      </c>
      <c r="B305" s="1" t="s">
        <v>384</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
      <c r="A306" s="31" t="s">
        <v>91</v>
      </c>
      <c r="B306" s="1" t="s">
        <v>385</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
      <c r="A307" s="31" t="s">
        <v>91</v>
      </c>
      <c r="B307" s="1" t="s">
        <v>386</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
      <c r="A308" s="31" t="s">
        <v>91</v>
      </c>
      <c r="B308" s="1" t="s">
        <v>387</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
      <c r="A309" s="31" t="s">
        <v>91</v>
      </c>
      <c r="B309" s="1" t="s">
        <v>388</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
      <c r="A310" s="31" t="s">
        <v>91</v>
      </c>
      <c r="B310" s="1" t="s">
        <v>389</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
      <c r="A311" s="31" t="s">
        <v>91</v>
      </c>
      <c r="B311" s="1" t="s">
        <v>390</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
      <c r="A312" s="31" t="s">
        <v>91</v>
      </c>
      <c r="B312" s="1" t="s">
        <v>391</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
      <c r="A313" s="31" t="s">
        <v>91</v>
      </c>
      <c r="B313" s="1" t="s">
        <v>392</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
      <c r="A314" s="31" t="s">
        <v>91</v>
      </c>
      <c r="B314" s="1" t="s">
        <v>393</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
      <c r="A315" s="31" t="s">
        <v>91</v>
      </c>
      <c r="B315" s="1" t="s">
        <v>394</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
      <c r="A316" s="31" t="s">
        <v>91</v>
      </c>
      <c r="B316" s="1" t="s">
        <v>395</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
      <c r="A317" s="31" t="s">
        <v>91</v>
      </c>
      <c r="B317" s="1" t="s">
        <v>396</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
      <c r="A318" s="31" t="s">
        <v>91</v>
      </c>
      <c r="B318" s="1" t="s">
        <v>397</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
      <c r="A319" s="31" t="s">
        <v>91</v>
      </c>
      <c r="B319" s="1" t="s">
        <v>398</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
      <c r="A320" s="31" t="s">
        <v>91</v>
      </c>
      <c r="B320" s="1" t="s">
        <v>399</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
      <c r="A321" s="31" t="s">
        <v>91</v>
      </c>
      <c r="B321" s="1" t="s">
        <v>400</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
      <c r="A322" s="31" t="s">
        <v>91</v>
      </c>
      <c r="B322" s="1" t="s">
        <v>401</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
      <c r="A323" s="31" t="s">
        <v>91</v>
      </c>
      <c r="B323" s="1" t="s">
        <v>402</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
      <c r="A324" s="31" t="s">
        <v>91</v>
      </c>
      <c r="B324" s="1" t="s">
        <v>403</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
      <c r="A325" s="31" t="s">
        <v>91</v>
      </c>
      <c r="B325" s="1" t="s">
        <v>404</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
      <c r="A326" s="31" t="s">
        <v>91</v>
      </c>
      <c r="B326" s="1" t="s">
        <v>405</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
      <c r="A327" s="31" t="s">
        <v>91</v>
      </c>
      <c r="B327" s="1" t="s">
        <v>406</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
      <c r="A328" s="31" t="s">
        <v>91</v>
      </c>
      <c r="B328" s="1" t="s">
        <v>407</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
      <c r="A329" s="31" t="s">
        <v>91</v>
      </c>
      <c r="B329" s="1" t="s">
        <v>408</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
      <c r="A330" s="31" t="s">
        <v>91</v>
      </c>
      <c r="B330" s="1" t="s">
        <v>409</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
      <c r="A331" s="31" t="s">
        <v>91</v>
      </c>
      <c r="B331" s="1" t="s">
        <v>410</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
      <c r="A332" s="31" t="s">
        <v>91</v>
      </c>
      <c r="B332" s="1" t="s">
        <v>411</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
      <c r="A333" s="31" t="s">
        <v>91</v>
      </c>
      <c r="B333" s="1" t="s">
        <v>412</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
      <c r="A334" s="31" t="s">
        <v>91</v>
      </c>
      <c r="B334" s="1" t="s">
        <v>413</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
      <c r="A335" s="31" t="s">
        <v>91</v>
      </c>
      <c r="B335" s="1" t="s">
        <v>414</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
      <c r="A336" s="31" t="s">
        <v>91</v>
      </c>
      <c r="B336" s="1" t="s">
        <v>415</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
      <c r="A337" s="31" t="s">
        <v>91</v>
      </c>
      <c r="B337" s="1" t="s">
        <v>416</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
      <c r="A338" s="31" t="s">
        <v>91</v>
      </c>
      <c r="B338" s="1" t="s">
        <v>417</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
      <c r="A339" s="31" t="s">
        <v>91</v>
      </c>
      <c r="B339" s="1" t="s">
        <v>418</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
      <c r="A340" s="31" t="s">
        <v>91</v>
      </c>
      <c r="B340" s="1" t="s">
        <v>419</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
      <c r="A341" s="31" t="s">
        <v>91</v>
      </c>
      <c r="B341" s="1" t="s">
        <v>420</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
      <c r="A342" s="31" t="s">
        <v>91</v>
      </c>
      <c r="B342" s="1" t="s">
        <v>421</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
      <c r="A343" s="31" t="s">
        <v>91</v>
      </c>
      <c r="B343" s="1" t="s">
        <v>422</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
      <c r="A344" s="31" t="s">
        <v>91</v>
      </c>
      <c r="B344" s="1" t="s">
        <v>423</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
      <c r="A345" s="31" t="s">
        <v>91</v>
      </c>
      <c r="B345" s="1" t="s">
        <v>424</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
      <c r="A346" s="31" t="s">
        <v>91</v>
      </c>
      <c r="B346" s="1" t="s">
        <v>425</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
      <c r="A347" s="31" t="s">
        <v>91</v>
      </c>
      <c r="B347" s="1" t="s">
        <v>426</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
      <c r="A348" s="31" t="s">
        <v>91</v>
      </c>
      <c r="B348" s="1" t="s">
        <v>427</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
      <c r="A349" s="31" t="s">
        <v>91</v>
      </c>
      <c r="B349" s="1" t="s">
        <v>428</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
      <c r="A350" s="31" t="s">
        <v>91</v>
      </c>
      <c r="B350" s="1" t="s">
        <v>429</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
      <c r="A351" s="31" t="s">
        <v>91</v>
      </c>
      <c r="B351" s="1" t="s">
        <v>430</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
      <c r="A352" s="31" t="s">
        <v>91</v>
      </c>
      <c r="B352" s="1" t="s">
        <v>431</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
      <c r="A353" s="31" t="s">
        <v>91</v>
      </c>
      <c r="B353" s="1" t="s">
        <v>432</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
      <c r="A354" s="31" t="s">
        <v>91</v>
      </c>
      <c r="B354" s="1" t="s">
        <v>433</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
      <c r="A355" s="31" t="s">
        <v>91</v>
      </c>
      <c r="B355" s="1" t="s">
        <v>434</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
      <c r="A356" s="31" t="s">
        <v>91</v>
      </c>
      <c r="B356" s="1" t="s">
        <v>435</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
      <c r="A357" s="31" t="s">
        <v>91</v>
      </c>
      <c r="B357" s="1" t="s">
        <v>436</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
      <c r="A358" s="31" t="s">
        <v>91</v>
      </c>
      <c r="B358" s="1" t="s">
        <v>437</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
      <c r="A359" s="31" t="s">
        <v>91</v>
      </c>
      <c r="B359" s="1" t="s">
        <v>438</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
      <c r="A360" s="31" t="s">
        <v>91</v>
      </c>
      <c r="B360" s="1" t="s">
        <v>439</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
      <c r="A361" s="31" t="s">
        <v>91</v>
      </c>
      <c r="B361" s="1" t="s">
        <v>440</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
      <c r="A362" s="31" t="s">
        <v>91</v>
      </c>
      <c r="B362" s="1" t="s">
        <v>441</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
      <c r="A363" s="31" t="s">
        <v>91</v>
      </c>
      <c r="B363" s="1" t="s">
        <v>442</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
      <c r="A364" s="31" t="s">
        <v>91</v>
      </c>
      <c r="B364" s="1" t="s">
        <v>443</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
      <c r="A365" s="31" t="s">
        <v>91</v>
      </c>
      <c r="B365" s="1" t="s">
        <v>444</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
      <c r="A366" s="31" t="s">
        <v>91</v>
      </c>
      <c r="B366" s="1" t="s">
        <v>445</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
      <c r="A367" s="31" t="s">
        <v>91</v>
      </c>
      <c r="B367" s="1" t="s">
        <v>446</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
      <c r="A368" s="31" t="s">
        <v>91</v>
      </c>
      <c r="B368" s="1" t="s">
        <v>447</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
      <c r="A369" s="31" t="s">
        <v>91</v>
      </c>
      <c r="B369" s="1" t="s">
        <v>448</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
      <c r="A370" s="31" t="s">
        <v>91</v>
      </c>
      <c r="B370" s="1" t="s">
        <v>449</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
      <c r="A371" s="31" t="s">
        <v>91</v>
      </c>
      <c r="B371" s="1" t="s">
        <v>450</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
      <c r="A372" s="31" t="s">
        <v>91</v>
      </c>
      <c r="B372" s="1" t="s">
        <v>451</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
      <c r="A373" s="31" t="s">
        <v>91</v>
      </c>
      <c r="B373" s="1" t="s">
        <v>452</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
      <c r="A374" s="31" t="s">
        <v>91</v>
      </c>
      <c r="B374" s="1" t="s">
        <v>453</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
      <c r="A375" s="31" t="s">
        <v>91</v>
      </c>
      <c r="B375" s="1" t="s">
        <v>454</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
      <c r="A376" s="31" t="s">
        <v>91</v>
      </c>
      <c r="B376" s="1" t="s">
        <v>455</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
      <c r="A377" s="31" t="s">
        <v>91</v>
      </c>
      <c r="B377" s="1" t="s">
        <v>456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
      <c r="A378" s="31" t="s">
        <v>91</v>
      </c>
      <c r="B378" s="1" t="s">
        <v>457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
      <c r="A379" s="31" t="s">
        <v>91</v>
      </c>
      <c r="B379" s="1" t="s">
        <v>458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
      <c r="A380" s="31" t="s">
        <v>91</v>
      </c>
      <c r="B380" s="1" t="s">
        <v>459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
      <c r="A381" s="31" t="s">
        <v>91</v>
      </c>
      <c r="B381" s="1" t="s">
        <v>460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
      <c r="A382" s="31" t="s">
        <v>91</v>
      </c>
      <c r="B382" s="1" t="s">
        <v>461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
      <c r="A383" s="31" t="s">
        <v>91</v>
      </c>
      <c r="B383" s="1" t="s">
        <v>462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
      <c r="A384" s="31" t="s">
        <v>91</v>
      </c>
      <c r="B384" s="1" t="s">
        <v>463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
      <c r="A385" s="31" t="s">
        <v>91</v>
      </c>
      <c r="B385" s="1" t="s">
        <v>464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
      <c r="A386" s="31" t="s">
        <v>91</v>
      </c>
      <c r="B386" s="1" t="s">
        <v>465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
      <c r="A387" s="31" t="s">
        <v>91</v>
      </c>
      <c r="B387" s="1" t="s">
        <v>466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
      <c r="A388" s="31" t="s">
        <v>91</v>
      </c>
      <c r="B388" s="1" t="s">
        <v>467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
      <c r="A389" s="31" t="s">
        <v>91</v>
      </c>
      <c r="B389" s="1" t="s">
        <v>468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
      <c r="A390" s="31" t="s">
        <v>91</v>
      </c>
      <c r="B390" s="1" t="s">
        <v>469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
      <c r="A391" s="31" t="s">
        <v>91</v>
      </c>
      <c r="B391" s="1" t="s">
        <v>470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
      <c r="A392" s="31" t="s">
        <v>91</v>
      </c>
      <c r="B392" s="1" t="s">
        <v>471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
      <c r="A393" s="31" t="s">
        <v>91</v>
      </c>
      <c r="B393" s="1" t="s">
        <v>472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
      <c r="A394" s="31" t="s">
        <v>91</v>
      </c>
      <c r="B394" s="1" t="s">
        <v>473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
      <c r="A395" s="31" t="s">
        <v>91</v>
      </c>
      <c r="B395" s="1" t="s">
        <v>474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
      <c r="A396" s="31" t="s">
        <v>91</v>
      </c>
      <c r="B396" s="1" t="s">
        <v>475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
      <c r="A397" s="31" t="s">
        <v>91</v>
      </c>
      <c r="B397" s="1" t="s">
        <v>476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
      <c r="A398" s="31" t="s">
        <v>91</v>
      </c>
      <c r="B398" s="1" t="s">
        <v>477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
      <c r="A399" s="31" t="s">
        <v>91</v>
      </c>
      <c r="B399" s="1" t="s">
        <v>478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
      <c r="A400" s="31" t="s">
        <v>91</v>
      </c>
      <c r="B400" s="1" t="s">
        <v>479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
      <c r="A401" s="31" t="s">
        <v>91</v>
      </c>
      <c r="B401" s="1" t="s">
        <v>480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
      <c r="A402" s="31" t="s">
        <v>91</v>
      </c>
      <c r="B402" s="1" t="s">
        <v>481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
      <c r="A403" s="31" t="s">
        <v>91</v>
      </c>
      <c r="B403" s="1" t="s">
        <v>482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
      <c r="A404" s="31" t="s">
        <v>91</v>
      </c>
      <c r="B404" s="1" t="s">
        <v>483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
      <c r="A405" s="31" t="s">
        <v>91</v>
      </c>
      <c r="B405" s="1" t="s">
        <v>484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
      <c r="A406" s="31" t="s">
        <v>91</v>
      </c>
      <c r="B406" s="1" t="s">
        <v>485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
      <c r="A407" s="31" t="s">
        <v>91</v>
      </c>
      <c r="B407" s="1" t="s">
        <v>486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
      <c r="A408" s="31" t="s">
        <v>91</v>
      </c>
      <c r="B408" s="1" t="s">
        <v>487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
      <c r="A409" s="31" t="s">
        <v>91</v>
      </c>
      <c r="B409" s="1" t="s">
        <v>488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
      <c r="A410" s="31" t="s">
        <v>91</v>
      </c>
      <c r="B410" s="1" t="s">
        <v>489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
      <c r="A411" s="31" t="s">
        <v>91</v>
      </c>
      <c r="B411" s="1" t="s">
        <v>490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
      <c r="A412" s="31" t="s">
        <v>91</v>
      </c>
      <c r="B412" s="1" t="s">
        <v>491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
      <c r="A413" s="31" t="s">
        <v>91</v>
      </c>
      <c r="B413" s="1" t="s">
        <v>492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
      <c r="A414" s="31" t="s">
        <v>91</v>
      </c>
      <c r="B414" s="1" t="s">
        <v>493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
      <c r="A415" s="31" t="s">
        <v>91</v>
      </c>
      <c r="B415" s="1" t="s">
        <v>494</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
      <c r="A416" s="31" t="s">
        <v>91</v>
      </c>
      <c r="B416" s="1" t="s">
        <v>495</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
      <c r="A417" s="31" t="s">
        <v>91</v>
      </c>
      <c r="B417" s="1" t="s">
        <v>496</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
      <c r="A418" s="31" t="s">
        <v>91</v>
      </c>
      <c r="B418" s="1" t="s">
        <v>497</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
      <c r="A419" s="31" t="s">
        <v>91</v>
      </c>
      <c r="B419" s="1" t="s">
        <v>498</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
      <c r="A420" s="31" t="s">
        <v>91</v>
      </c>
      <c r="B420" s="1" t="s">
        <v>499</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
      <c r="A421" s="31" t="s">
        <v>91</v>
      </c>
      <c r="B421" s="1" t="s">
        <v>500</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
      <c r="A422" s="31" t="s">
        <v>91</v>
      </c>
      <c r="B422" s="1" t="s">
        <v>501</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
      <c r="A423" s="31" t="s">
        <v>91</v>
      </c>
      <c r="B423" s="1" t="s">
        <v>502</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
      <c r="A424" s="31" t="s">
        <v>91</v>
      </c>
      <c r="B424" s="1" t="s">
        <v>503</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
      <c r="A425" s="31" t="s">
        <v>91</v>
      </c>
      <c r="B425" s="1" t="s">
        <v>504</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
      <c r="A426" s="31" t="s">
        <v>91</v>
      </c>
      <c r="B426" s="1" t="s">
        <v>505</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
      <c r="A427" s="31" t="s">
        <v>91</v>
      </c>
      <c r="B427" s="1" t="s">
        <v>506</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
      <c r="A428" s="31" t="s">
        <v>91</v>
      </c>
      <c r="B428" s="1" t="s">
        <v>507</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
      <c r="A429" s="31" t="s">
        <v>91</v>
      </c>
      <c r="B429" s="1" t="s">
        <v>508</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
      <c r="A430" s="31" t="s">
        <v>91</v>
      </c>
      <c r="B430" s="1" t="s">
        <v>509</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
      <c r="A431" s="31" t="s">
        <v>91</v>
      </c>
      <c r="B431" s="1" t="s">
        <v>510</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
      <c r="A432" s="31" t="s">
        <v>91</v>
      </c>
      <c r="B432" s="1" t="s">
        <v>511</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
      <c r="A433" s="31" t="s">
        <v>91</v>
      </c>
      <c r="B433" s="1" t="s">
        <v>512</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
      <c r="A434" s="31" t="s">
        <v>91</v>
      </c>
      <c r="B434" s="1" t="s">
        <v>513</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
      <c r="A435" s="31" t="s">
        <v>91</v>
      </c>
      <c r="B435" s="1" t="s">
        <v>514</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
      <c r="A436" s="31" t="s">
        <v>91</v>
      </c>
      <c r="B436" s="1" t="s">
        <v>515</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
      <c r="A437" s="31" t="s">
        <v>91</v>
      </c>
      <c r="B437" s="1" t="s">
        <v>516</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
      <c r="A438" s="31" t="s">
        <v>91</v>
      </c>
      <c r="B438" s="1" t="s">
        <v>517</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
      <c r="A439" s="31" t="s">
        <v>91</v>
      </c>
      <c r="B439" s="1" t="s">
        <v>518</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
      <c r="A440" s="31" t="s">
        <v>91</v>
      </c>
      <c r="B440" s="1" t="s">
        <v>519</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
      <c r="A441" s="31" t="s">
        <v>91</v>
      </c>
      <c r="B441" s="1" t="s">
        <v>520</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
      <c r="A442" s="31" t="s">
        <v>91</v>
      </c>
      <c r="B442" s="1" t="s">
        <v>521</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
      <c r="A443" s="31" t="s">
        <v>91</v>
      </c>
      <c r="B443" s="1" t="s">
        <v>522</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
      <c r="A444" s="31" t="s">
        <v>91</v>
      </c>
      <c r="B444" s="1" t="s">
        <v>523</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
      <c r="A445" s="31" t="s">
        <v>91</v>
      </c>
      <c r="B445" s="1" t="s">
        <v>524</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
      <c r="A446" s="31" t="s">
        <v>91</v>
      </c>
      <c r="B446" s="1" t="s">
        <v>525</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
      <c r="A447" s="31" t="s">
        <v>91</v>
      </c>
      <c r="B447" s="1" t="s">
        <v>526</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
      <c r="A448" s="31" t="s">
        <v>91</v>
      </c>
      <c r="B448" s="1" t="s">
        <v>527</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
      <c r="A449" s="31" t="s">
        <v>91</v>
      </c>
      <c r="B449" s="1" t="s">
        <v>528</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
      <c r="A450" s="31" t="s">
        <v>91</v>
      </c>
      <c r="B450" s="1" t="s">
        <v>529</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
      <c r="A451" s="31" t="s">
        <v>91</v>
      </c>
      <c r="B451" s="1" t="s">
        <v>530</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
      <c r="A452" s="31" t="s">
        <v>91</v>
      </c>
      <c r="B452" s="1" t="s">
        <v>531</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
      <c r="A453" s="31" t="s">
        <v>91</v>
      </c>
      <c r="B453" s="1" t="s">
        <v>532</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
      <c r="A454" s="31" t="s">
        <v>91</v>
      </c>
      <c r="B454" s="1" t="s">
        <v>533</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
      <c r="A455" s="31" t="s">
        <v>91</v>
      </c>
      <c r="B455" s="1" t="s">
        <v>534</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
      <c r="A456" s="31" t="s">
        <v>91</v>
      </c>
      <c r="B456" s="1" t="s">
        <v>535</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
      <c r="A457" s="31" t="s">
        <v>91</v>
      </c>
      <c r="B457" s="1" t="s">
        <v>536</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
      <c r="A458" s="31" t="s">
        <v>91</v>
      </c>
      <c r="B458" s="1" t="s">
        <v>537</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
      <c r="A459" s="31" t="s">
        <v>91</v>
      </c>
      <c r="B459" s="1" t="s">
        <v>538</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
      <c r="A460" s="31" t="s">
        <v>91</v>
      </c>
      <c r="B460" s="1" t="s">
        <v>539</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
      <c r="A461" s="31" t="s">
        <v>91</v>
      </c>
      <c r="B461" s="1" t="s">
        <v>540</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
      <c r="A462" s="31" t="s">
        <v>91</v>
      </c>
      <c r="B462" s="1" t="s">
        <v>541</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
      <c r="A463" s="31" t="s">
        <v>91</v>
      </c>
      <c r="B463" s="1" t="s">
        <v>542</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
      <c r="A464" s="31" t="s">
        <v>91</v>
      </c>
      <c r="B464" s="1" t="s">
        <v>543</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
      <c r="A465" s="31" t="s">
        <v>91</v>
      </c>
      <c r="B465" s="1" t="s">
        <v>544</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
      <c r="A466" s="31" t="s">
        <v>91</v>
      </c>
      <c r="B466" s="1" t="s">
        <v>545</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
      <c r="A467" s="31" t="s">
        <v>91</v>
      </c>
      <c r="B467" s="1" t="s">
        <v>546</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
      <c r="A468" s="31" t="s">
        <v>91</v>
      </c>
      <c r="B468" s="1" t="s">
        <v>547</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
      <c r="A469" s="31" t="s">
        <v>91</v>
      </c>
      <c r="B469" s="1" t="s">
        <v>548</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
      <c r="A470" s="31" t="s">
        <v>91</v>
      </c>
      <c r="B470" s="1" t="s">
        <v>549</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
      <c r="A471" s="31" t="s">
        <v>91</v>
      </c>
      <c r="B471" s="1" t="s">
        <v>550</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
      <c r="A472" s="31" t="s">
        <v>91</v>
      </c>
      <c r="B472" s="1" t="s">
        <v>551</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
      <c r="A473" s="31" t="s">
        <v>91</v>
      </c>
      <c r="B473" s="1" t="s">
        <v>552</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
      <c r="A474" s="31" t="s">
        <v>91</v>
      </c>
      <c r="B474" s="1" t="s">
        <v>553</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
      <c r="A475" s="31" t="s">
        <v>91</v>
      </c>
      <c r="B475" s="1" t="s">
        <v>554</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
      <c r="A476" s="31" t="s">
        <v>91</v>
      </c>
      <c r="B476" s="1" t="s">
        <v>555</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
      <c r="A477" s="31" t="s">
        <v>91</v>
      </c>
      <c r="B477" s="1" t="s">
        <v>556</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
      <c r="A478" s="31" t="s">
        <v>91</v>
      </c>
      <c r="B478" s="1" t="s">
        <v>557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
      <c r="A479" s="31" t="s">
        <v>91</v>
      </c>
      <c r="B479" s="1" t="s">
        <v>558</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
      <c r="A480" s="31" t="s">
        <v>91</v>
      </c>
      <c r="B480" s="1" t="s">
        <v>559</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
      <c r="A481" s="31" t="s">
        <v>91</v>
      </c>
      <c r="B481" s="1" t="s">
        <v>560</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
      <c r="A482" s="31" t="s">
        <v>91</v>
      </c>
      <c r="B482" s="1" t="s">
        <v>561</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
      <c r="A483" s="31" t="s">
        <v>91</v>
      </c>
      <c r="B483" s="1" t="s">
        <v>562</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
      <c r="A484" s="31" t="s">
        <v>91</v>
      </c>
      <c r="B484" s="1" t="s">
        <v>563</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
      <c r="A485" s="31" t="s">
        <v>91</v>
      </c>
      <c r="B485" s="1" t="s">
        <v>564</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
      <c r="A486" s="31" t="s">
        <v>91</v>
      </c>
      <c r="B486" s="1" t="s">
        <v>565</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
      <c r="A487" s="31" t="s">
        <v>91</v>
      </c>
      <c r="B487" s="1" t="s">
        <v>566</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
      <c r="A488" s="31" t="s">
        <v>91</v>
      </c>
      <c r="B488" s="1" t="s">
        <v>567</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
      <c r="A489" s="31" t="s">
        <v>91</v>
      </c>
      <c r="B489" s="1" t="s">
        <v>568</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
      <c r="A490" s="31" t="s">
        <v>91</v>
      </c>
      <c r="B490" s="1" t="s">
        <v>569</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
      <c r="A491" s="31" t="s">
        <v>91</v>
      </c>
      <c r="B491" s="1" t="s">
        <v>570</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
      <c r="A492" s="31" t="s">
        <v>91</v>
      </c>
      <c r="B492" s="1" t="s">
        <v>571</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
      <c r="A493" s="31" t="s">
        <v>91</v>
      </c>
      <c r="B493" s="1" t="s">
        <v>572</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
      <c r="A494" s="31" t="s">
        <v>91</v>
      </c>
      <c r="B494" s="1" t="s">
        <v>573</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
      <c r="A495" s="31" t="s">
        <v>91</v>
      </c>
      <c r="B495" s="1" t="s">
        <v>574</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
      <c r="A496" s="31" t="s">
        <v>91</v>
      </c>
      <c r="B496" s="1" t="s">
        <v>575</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ht="15" x14ac:dyDescent="0.25">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2">
      <c r="A498" s="31" t="s">
        <v>576</v>
      </c>
      <c r="B498" s="1" t="s">
        <v>577</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647">
        <v>391</v>
      </c>
      <c r="N498" s="647">
        <v>334</v>
      </c>
      <c r="O498" s="647">
        <v>374</v>
      </c>
      <c r="P498" s="647">
        <v>393</v>
      </c>
      <c r="Q498" s="647">
        <v>365</v>
      </c>
      <c r="R498" s="647">
        <v>333</v>
      </c>
      <c r="S498" s="647">
        <v>365</v>
      </c>
      <c r="T498" s="647">
        <v>388</v>
      </c>
      <c r="U498" s="647">
        <v>394</v>
      </c>
      <c r="V498" s="647">
        <v>392</v>
      </c>
      <c r="W498" s="647">
        <v>375</v>
      </c>
      <c r="X498" s="647">
        <v>423</v>
      </c>
      <c r="Y498" s="647">
        <v>403</v>
      </c>
      <c r="Z498" s="647">
        <v>425</v>
      </c>
      <c r="AA498" s="647">
        <v>394</v>
      </c>
      <c r="AB498" s="647">
        <v>319</v>
      </c>
      <c r="AC498" s="647">
        <v>337</v>
      </c>
      <c r="AD498" s="647">
        <v>363</v>
      </c>
      <c r="AE498" s="647">
        <v>363</v>
      </c>
      <c r="AF498" s="647">
        <v>317</v>
      </c>
      <c r="AG498" s="647">
        <v>288</v>
      </c>
      <c r="AH498" s="647">
        <v>332</v>
      </c>
      <c r="AI498" s="647">
        <v>374</v>
      </c>
      <c r="AJ498" s="647">
        <v>338</v>
      </c>
      <c r="AK498" s="647">
        <v>389</v>
      </c>
      <c r="AL498" s="647">
        <v>412</v>
      </c>
      <c r="AM498" s="647">
        <v>367</v>
      </c>
      <c r="AN498" s="647">
        <v>361</v>
      </c>
      <c r="AO498" s="647">
        <v>441</v>
      </c>
      <c r="AP498" s="647">
        <v>438</v>
      </c>
      <c r="AQ498" s="647">
        <v>468</v>
      </c>
      <c r="AR498" s="647">
        <v>465</v>
      </c>
      <c r="AS498" s="647">
        <v>442</v>
      </c>
      <c r="AT498" s="647">
        <v>467</v>
      </c>
      <c r="AU498" s="647">
        <v>398</v>
      </c>
      <c r="AV498" s="647">
        <v>423</v>
      </c>
      <c r="AW498" s="647">
        <v>418</v>
      </c>
      <c r="AX498" s="647">
        <v>449</v>
      </c>
      <c r="AY498" s="647">
        <v>389</v>
      </c>
      <c r="AZ498" s="647">
        <v>409</v>
      </c>
      <c r="BA498" s="647">
        <v>365</v>
      </c>
      <c r="BB498" s="647">
        <v>396</v>
      </c>
      <c r="BC498" s="647">
        <v>373</v>
      </c>
      <c r="BD498" s="647">
        <v>369</v>
      </c>
      <c r="BE498" s="647">
        <v>348</v>
      </c>
      <c r="BF498" s="647">
        <v>299</v>
      </c>
      <c r="BG498" s="647">
        <v>345</v>
      </c>
      <c r="BH498" s="647">
        <v>417</v>
      </c>
      <c r="BI498" s="647">
        <v>386</v>
      </c>
      <c r="BJ498" s="647">
        <v>430</v>
      </c>
      <c r="BK498" s="647">
        <v>495</v>
      </c>
      <c r="BL498" s="647">
        <v>469</v>
      </c>
      <c r="BM498" s="647">
        <v>471</v>
      </c>
      <c r="BN498" s="647">
        <v>521</v>
      </c>
      <c r="BO498" s="647">
        <v>498</v>
      </c>
      <c r="BP498" s="647">
        <v>491</v>
      </c>
      <c r="BQ498" s="647">
        <v>525</v>
      </c>
      <c r="BR498" s="647">
        <v>529</v>
      </c>
      <c r="BS498" s="647">
        <v>512</v>
      </c>
      <c r="BT498" s="647">
        <v>493</v>
      </c>
      <c r="BU498" s="647">
        <v>503</v>
      </c>
      <c r="BV498" s="647">
        <v>432</v>
      </c>
      <c r="BW498" s="647">
        <v>445</v>
      </c>
      <c r="BX498" s="647">
        <v>434</v>
      </c>
      <c r="BY498" s="647">
        <v>364</v>
      </c>
      <c r="BZ498" s="647">
        <v>441</v>
      </c>
      <c r="CA498" s="647">
        <v>389</v>
      </c>
      <c r="CB498" s="647">
        <v>372</v>
      </c>
      <c r="CC498" s="647">
        <v>364</v>
      </c>
      <c r="CD498" s="647">
        <v>375</v>
      </c>
      <c r="CE498" s="647">
        <v>341</v>
      </c>
      <c r="CF498" s="647">
        <v>358</v>
      </c>
      <c r="CG498" s="647">
        <v>351</v>
      </c>
      <c r="CH498" s="647">
        <v>359</v>
      </c>
      <c r="CI498" s="647">
        <v>343</v>
      </c>
      <c r="CJ498" s="647">
        <v>401</v>
      </c>
      <c r="CK498" s="647">
        <v>297</v>
      </c>
      <c r="CL498" s="647">
        <v>262</v>
      </c>
      <c r="CM498" s="647">
        <v>235</v>
      </c>
      <c r="CN498" s="647">
        <v>261</v>
      </c>
      <c r="CO498" s="647">
        <v>210</v>
      </c>
      <c r="CP498" s="647">
        <v>179</v>
      </c>
      <c r="CQ498" s="647">
        <v>155</v>
      </c>
      <c r="CR498" s="647">
        <v>164</v>
      </c>
      <c r="CS498" s="647">
        <v>135</v>
      </c>
      <c r="CT498" s="647">
        <v>101</v>
      </c>
      <c r="CU498" s="647">
        <v>100</v>
      </c>
      <c r="CV498" s="647">
        <v>87</v>
      </c>
      <c r="CW498" s="647">
        <v>55</v>
      </c>
      <c r="CX498" s="647">
        <v>58</v>
      </c>
      <c r="CY498" s="647">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
      <c r="A499" s="31" t="s">
        <v>79</v>
      </c>
      <c r="B499" s="1" t="s">
        <v>578</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647">
        <v>731</v>
      </c>
      <c r="N499" s="647">
        <v>689</v>
      </c>
      <c r="O499" s="647">
        <v>714</v>
      </c>
      <c r="P499" s="647">
        <v>751</v>
      </c>
      <c r="Q499" s="647">
        <v>788</v>
      </c>
      <c r="R499" s="647">
        <v>823</v>
      </c>
      <c r="S499" s="647">
        <v>811</v>
      </c>
      <c r="T499" s="647">
        <v>852</v>
      </c>
      <c r="U499" s="647">
        <v>862</v>
      </c>
      <c r="V499" s="647">
        <v>879</v>
      </c>
      <c r="W499" s="647">
        <v>884</v>
      </c>
      <c r="X499" s="647">
        <v>978</v>
      </c>
      <c r="Y499" s="647">
        <v>895</v>
      </c>
      <c r="Z499" s="647">
        <v>924</v>
      </c>
      <c r="AA499" s="647">
        <v>890</v>
      </c>
      <c r="AB499" s="647">
        <v>868</v>
      </c>
      <c r="AC499" s="647">
        <v>836</v>
      </c>
      <c r="AD499" s="647">
        <v>905</v>
      </c>
      <c r="AE499" s="647">
        <v>777</v>
      </c>
      <c r="AF499" s="647">
        <v>641</v>
      </c>
      <c r="AG499" s="647">
        <v>674</v>
      </c>
      <c r="AH499" s="647">
        <v>686</v>
      </c>
      <c r="AI499" s="647">
        <v>727</v>
      </c>
      <c r="AJ499" s="647">
        <v>840</v>
      </c>
      <c r="AK499" s="647">
        <v>858</v>
      </c>
      <c r="AL499" s="647">
        <v>945</v>
      </c>
      <c r="AM499" s="647">
        <v>890</v>
      </c>
      <c r="AN499" s="647">
        <v>816</v>
      </c>
      <c r="AO499" s="647">
        <v>944</v>
      </c>
      <c r="AP499" s="647">
        <v>857</v>
      </c>
      <c r="AQ499" s="647">
        <v>968</v>
      </c>
      <c r="AR499" s="647">
        <v>910</v>
      </c>
      <c r="AS499" s="647">
        <v>982</v>
      </c>
      <c r="AT499" s="647">
        <v>986</v>
      </c>
      <c r="AU499" s="647">
        <v>996</v>
      </c>
      <c r="AV499" s="647">
        <v>984</v>
      </c>
      <c r="AW499" s="647">
        <v>944</v>
      </c>
      <c r="AX499" s="647">
        <v>937</v>
      </c>
      <c r="AY499" s="647">
        <v>874</v>
      </c>
      <c r="AZ499" s="647">
        <v>882</v>
      </c>
      <c r="BA499" s="647">
        <v>860</v>
      </c>
      <c r="BB499" s="647">
        <v>916</v>
      </c>
      <c r="BC499" s="647">
        <v>935</v>
      </c>
      <c r="BD499" s="647">
        <v>885</v>
      </c>
      <c r="BE499" s="647">
        <v>798</v>
      </c>
      <c r="BF499" s="647">
        <v>764</v>
      </c>
      <c r="BG499" s="647">
        <v>821</v>
      </c>
      <c r="BH499" s="647">
        <v>816</v>
      </c>
      <c r="BI499" s="647">
        <v>884</v>
      </c>
      <c r="BJ499" s="647">
        <v>901</v>
      </c>
      <c r="BK499" s="647">
        <v>1009</v>
      </c>
      <c r="BL499" s="647">
        <v>1091</v>
      </c>
      <c r="BM499" s="647">
        <v>977</v>
      </c>
      <c r="BN499" s="647">
        <v>1017</v>
      </c>
      <c r="BO499" s="647">
        <v>1078</v>
      </c>
      <c r="BP499" s="647">
        <v>1056</v>
      </c>
      <c r="BQ499" s="647">
        <v>1081</v>
      </c>
      <c r="BR499" s="647">
        <v>1062</v>
      </c>
      <c r="BS499" s="647">
        <v>1067</v>
      </c>
      <c r="BT499" s="647">
        <v>1000</v>
      </c>
      <c r="BU499" s="647">
        <v>1035</v>
      </c>
      <c r="BV499" s="647">
        <v>984</v>
      </c>
      <c r="BW499" s="647">
        <v>918</v>
      </c>
      <c r="BX499" s="647">
        <v>903</v>
      </c>
      <c r="BY499" s="647">
        <v>907</v>
      </c>
      <c r="BZ499" s="647">
        <v>835</v>
      </c>
      <c r="CA499" s="647">
        <v>831</v>
      </c>
      <c r="CB499" s="647">
        <v>766</v>
      </c>
      <c r="CC499" s="647">
        <v>742</v>
      </c>
      <c r="CD499" s="647">
        <v>776</v>
      </c>
      <c r="CE499" s="647">
        <v>736</v>
      </c>
      <c r="CF499" s="647">
        <v>767</v>
      </c>
      <c r="CG499" s="647">
        <v>726</v>
      </c>
      <c r="CH499" s="647">
        <v>780</v>
      </c>
      <c r="CI499" s="647">
        <v>754</v>
      </c>
      <c r="CJ499" s="647">
        <v>809</v>
      </c>
      <c r="CK499" s="647">
        <v>632</v>
      </c>
      <c r="CL499" s="647">
        <v>617</v>
      </c>
      <c r="CM499" s="647">
        <v>572</v>
      </c>
      <c r="CN499" s="647">
        <v>506</v>
      </c>
      <c r="CO499" s="647">
        <v>443</v>
      </c>
      <c r="CP499" s="647">
        <v>449</v>
      </c>
      <c r="CQ499" s="647">
        <v>367</v>
      </c>
      <c r="CR499" s="647">
        <v>336</v>
      </c>
      <c r="CS499" s="647">
        <v>314</v>
      </c>
      <c r="CT499" s="647">
        <v>257</v>
      </c>
      <c r="CU499" s="647">
        <v>226</v>
      </c>
      <c r="CV499" s="647">
        <v>223</v>
      </c>
      <c r="CW499" s="647">
        <v>154</v>
      </c>
      <c r="CX499" s="647">
        <v>144</v>
      </c>
      <c r="CY499" s="647">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
      <c r="A500" s="31" t="s">
        <v>79</v>
      </c>
      <c r="B500" s="1" t="s">
        <v>579</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647">
        <v>834</v>
      </c>
      <c r="N500" s="647">
        <v>824</v>
      </c>
      <c r="O500" s="647">
        <v>908</v>
      </c>
      <c r="P500" s="647">
        <v>935</v>
      </c>
      <c r="Q500" s="647">
        <v>1007</v>
      </c>
      <c r="R500" s="647">
        <v>996</v>
      </c>
      <c r="S500" s="647">
        <v>1029</v>
      </c>
      <c r="T500" s="647">
        <v>1072</v>
      </c>
      <c r="U500" s="647">
        <v>1068</v>
      </c>
      <c r="V500" s="647">
        <v>1056</v>
      </c>
      <c r="W500" s="647">
        <v>1069</v>
      </c>
      <c r="X500" s="647">
        <v>1095</v>
      </c>
      <c r="Y500" s="647">
        <v>1148</v>
      </c>
      <c r="Z500" s="647">
        <v>1126</v>
      </c>
      <c r="AA500" s="647">
        <v>1141</v>
      </c>
      <c r="AB500" s="647">
        <v>1053</v>
      </c>
      <c r="AC500" s="647">
        <v>1026</v>
      </c>
      <c r="AD500" s="647">
        <v>1028</v>
      </c>
      <c r="AE500" s="647">
        <v>1108</v>
      </c>
      <c r="AF500" s="647">
        <v>875</v>
      </c>
      <c r="AG500" s="647">
        <v>817</v>
      </c>
      <c r="AH500" s="647">
        <v>888</v>
      </c>
      <c r="AI500" s="647">
        <v>942</v>
      </c>
      <c r="AJ500" s="647">
        <v>891</v>
      </c>
      <c r="AK500" s="647">
        <v>901</v>
      </c>
      <c r="AL500" s="647">
        <v>1103</v>
      </c>
      <c r="AM500" s="647">
        <v>1005</v>
      </c>
      <c r="AN500" s="647">
        <v>987</v>
      </c>
      <c r="AO500" s="647">
        <v>1032</v>
      </c>
      <c r="AP500" s="647">
        <v>1030</v>
      </c>
      <c r="AQ500" s="647">
        <v>1074</v>
      </c>
      <c r="AR500" s="647">
        <v>1182</v>
      </c>
      <c r="AS500" s="647">
        <v>1115</v>
      </c>
      <c r="AT500" s="647">
        <v>1132</v>
      </c>
      <c r="AU500" s="647">
        <v>1167</v>
      </c>
      <c r="AV500" s="647">
        <v>1071</v>
      </c>
      <c r="AW500" s="647">
        <v>1140</v>
      </c>
      <c r="AX500" s="647">
        <v>1077</v>
      </c>
      <c r="AY500" s="647">
        <v>1079</v>
      </c>
      <c r="AZ500" s="647">
        <v>1060</v>
      </c>
      <c r="BA500" s="647">
        <v>1012</v>
      </c>
      <c r="BB500" s="647">
        <v>1070</v>
      </c>
      <c r="BC500" s="647">
        <v>1085</v>
      </c>
      <c r="BD500" s="647">
        <v>1002</v>
      </c>
      <c r="BE500" s="647">
        <v>958</v>
      </c>
      <c r="BF500" s="647">
        <v>997</v>
      </c>
      <c r="BG500" s="647">
        <v>992</v>
      </c>
      <c r="BH500" s="647">
        <v>988</v>
      </c>
      <c r="BI500" s="647">
        <v>1077</v>
      </c>
      <c r="BJ500" s="647">
        <v>1113</v>
      </c>
      <c r="BK500" s="647">
        <v>1157</v>
      </c>
      <c r="BL500" s="647">
        <v>1232</v>
      </c>
      <c r="BM500" s="647">
        <v>1129</v>
      </c>
      <c r="BN500" s="647">
        <v>1299</v>
      </c>
      <c r="BO500" s="647">
        <v>1259</v>
      </c>
      <c r="BP500" s="647">
        <v>1214</v>
      </c>
      <c r="BQ500" s="647">
        <v>1265</v>
      </c>
      <c r="BR500" s="647">
        <v>1277</v>
      </c>
      <c r="BS500" s="647">
        <v>1255</v>
      </c>
      <c r="BT500" s="647">
        <v>1273</v>
      </c>
      <c r="BU500" s="647">
        <v>1181</v>
      </c>
      <c r="BV500" s="647">
        <v>1146</v>
      </c>
      <c r="BW500" s="647">
        <v>1118</v>
      </c>
      <c r="BX500" s="647">
        <v>1064</v>
      </c>
      <c r="BY500" s="647">
        <v>1058</v>
      </c>
      <c r="BZ500" s="647">
        <v>1029</v>
      </c>
      <c r="CA500" s="647">
        <v>925</v>
      </c>
      <c r="CB500" s="647">
        <v>870</v>
      </c>
      <c r="CC500" s="647">
        <v>989</v>
      </c>
      <c r="CD500" s="647">
        <v>948</v>
      </c>
      <c r="CE500" s="647">
        <v>880</v>
      </c>
      <c r="CF500" s="647">
        <v>910</v>
      </c>
      <c r="CG500" s="647">
        <v>938</v>
      </c>
      <c r="CH500" s="647">
        <v>837</v>
      </c>
      <c r="CI500" s="647">
        <v>970</v>
      </c>
      <c r="CJ500" s="647">
        <v>989</v>
      </c>
      <c r="CK500" s="647">
        <v>740</v>
      </c>
      <c r="CL500" s="647">
        <v>691</v>
      </c>
      <c r="CM500" s="647">
        <v>645</v>
      </c>
      <c r="CN500" s="647">
        <v>570</v>
      </c>
      <c r="CO500" s="647">
        <v>578</v>
      </c>
      <c r="CP500" s="647">
        <v>442</v>
      </c>
      <c r="CQ500" s="647">
        <v>426</v>
      </c>
      <c r="CR500" s="647">
        <v>410</v>
      </c>
      <c r="CS500" s="647">
        <v>355</v>
      </c>
      <c r="CT500" s="647">
        <v>296</v>
      </c>
      <c r="CU500" s="647">
        <v>259</v>
      </c>
      <c r="CV500" s="647">
        <v>215</v>
      </c>
      <c r="CW500" s="647">
        <v>176</v>
      </c>
      <c r="CX500" s="647">
        <v>150</v>
      </c>
      <c r="CY500" s="647">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
      <c r="A501" s="31" t="s">
        <v>79</v>
      </c>
      <c r="B501" s="1" t="s">
        <v>580</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647">
        <v>1950</v>
      </c>
      <c r="N501" s="647">
        <v>1875</v>
      </c>
      <c r="O501" s="647">
        <v>1880</v>
      </c>
      <c r="P501" s="647">
        <v>1977</v>
      </c>
      <c r="Q501" s="647">
        <v>2035</v>
      </c>
      <c r="R501" s="647">
        <v>2099</v>
      </c>
      <c r="S501" s="647">
        <v>2234</v>
      </c>
      <c r="T501" s="647">
        <v>2194</v>
      </c>
      <c r="U501" s="647">
        <v>2213</v>
      </c>
      <c r="V501" s="647">
        <v>2181</v>
      </c>
      <c r="W501" s="647">
        <v>2303</v>
      </c>
      <c r="X501" s="647">
        <v>2380</v>
      </c>
      <c r="Y501" s="647">
        <v>2271</v>
      </c>
      <c r="Z501" s="647">
        <v>2188</v>
      </c>
      <c r="AA501" s="647">
        <v>2173</v>
      </c>
      <c r="AB501" s="647">
        <v>2117</v>
      </c>
      <c r="AC501" s="647">
        <v>2130</v>
      </c>
      <c r="AD501" s="647">
        <v>2130</v>
      </c>
      <c r="AE501" s="647">
        <v>2327</v>
      </c>
      <c r="AF501" s="647">
        <v>4164</v>
      </c>
      <c r="AG501" s="647">
        <v>4565</v>
      </c>
      <c r="AH501" s="647">
        <v>4249</v>
      </c>
      <c r="AI501" s="647">
        <v>3797</v>
      </c>
      <c r="AJ501" s="647">
        <v>3628</v>
      </c>
      <c r="AK501" s="647">
        <v>3513</v>
      </c>
      <c r="AL501" s="647">
        <v>3439</v>
      </c>
      <c r="AM501" s="647">
        <v>3420</v>
      </c>
      <c r="AN501" s="647">
        <v>3228</v>
      </c>
      <c r="AO501" s="647">
        <v>3077</v>
      </c>
      <c r="AP501" s="647">
        <v>2999</v>
      </c>
      <c r="AQ501" s="647">
        <v>2824</v>
      </c>
      <c r="AR501" s="647">
        <v>2846</v>
      </c>
      <c r="AS501" s="647">
        <v>2776</v>
      </c>
      <c r="AT501" s="647">
        <v>2588</v>
      </c>
      <c r="AU501" s="647">
        <v>2705</v>
      </c>
      <c r="AV501" s="647">
        <v>2608</v>
      </c>
      <c r="AW501" s="647">
        <v>2669</v>
      </c>
      <c r="AX501" s="647">
        <v>2467</v>
      </c>
      <c r="AY501" s="647">
        <v>2494</v>
      </c>
      <c r="AZ501" s="647">
        <v>2498</v>
      </c>
      <c r="BA501" s="647">
        <v>2343</v>
      </c>
      <c r="BB501" s="647">
        <v>2361</v>
      </c>
      <c r="BC501" s="647">
        <v>2324</v>
      </c>
      <c r="BD501" s="647">
        <v>2260</v>
      </c>
      <c r="BE501" s="647">
        <v>2022</v>
      </c>
      <c r="BF501" s="647">
        <v>2128</v>
      </c>
      <c r="BG501" s="647">
        <v>2019</v>
      </c>
      <c r="BH501" s="647">
        <v>2027</v>
      </c>
      <c r="BI501" s="647">
        <v>2070</v>
      </c>
      <c r="BJ501" s="647">
        <v>1928</v>
      </c>
      <c r="BK501" s="647">
        <v>1966</v>
      </c>
      <c r="BL501" s="647">
        <v>2100</v>
      </c>
      <c r="BM501" s="647">
        <v>2061</v>
      </c>
      <c r="BN501" s="647">
        <v>2078</v>
      </c>
      <c r="BO501" s="647">
        <v>1992</v>
      </c>
      <c r="BP501" s="647">
        <v>2070</v>
      </c>
      <c r="BQ501" s="647">
        <v>1888</v>
      </c>
      <c r="BR501" s="647">
        <v>2027</v>
      </c>
      <c r="BS501" s="647">
        <v>1976</v>
      </c>
      <c r="BT501" s="647">
        <v>1918</v>
      </c>
      <c r="BU501" s="647">
        <v>1994</v>
      </c>
      <c r="BV501" s="647">
        <v>1814</v>
      </c>
      <c r="BW501" s="647">
        <v>1830</v>
      </c>
      <c r="BX501" s="647">
        <v>1808</v>
      </c>
      <c r="BY501" s="647">
        <v>1654</v>
      </c>
      <c r="BZ501" s="647">
        <v>1666</v>
      </c>
      <c r="CA501" s="647">
        <v>1538</v>
      </c>
      <c r="CB501" s="647">
        <v>1449</v>
      </c>
      <c r="CC501" s="647">
        <v>1467</v>
      </c>
      <c r="CD501" s="647">
        <v>1364</v>
      </c>
      <c r="CE501" s="647">
        <v>1286</v>
      </c>
      <c r="CF501" s="647">
        <v>1359</v>
      </c>
      <c r="CG501" s="647">
        <v>1353</v>
      </c>
      <c r="CH501" s="647">
        <v>1306</v>
      </c>
      <c r="CI501" s="647">
        <v>1244</v>
      </c>
      <c r="CJ501" s="647">
        <v>1342</v>
      </c>
      <c r="CK501" s="647">
        <v>991</v>
      </c>
      <c r="CL501" s="647">
        <v>942</v>
      </c>
      <c r="CM501" s="647">
        <v>905</v>
      </c>
      <c r="CN501" s="647">
        <v>742</v>
      </c>
      <c r="CO501" s="647">
        <v>691</v>
      </c>
      <c r="CP501" s="647">
        <v>611</v>
      </c>
      <c r="CQ501" s="647">
        <v>589</v>
      </c>
      <c r="CR501" s="647">
        <v>538</v>
      </c>
      <c r="CS501" s="647">
        <v>490</v>
      </c>
      <c r="CT501" s="647">
        <v>446</v>
      </c>
      <c r="CU501" s="647">
        <v>394</v>
      </c>
      <c r="CV501" s="647">
        <v>368</v>
      </c>
      <c r="CW501" s="647">
        <v>281</v>
      </c>
      <c r="CX501" s="647">
        <v>249</v>
      </c>
      <c r="CY501" s="647">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
      <c r="A502" s="31" t="s">
        <v>79</v>
      </c>
      <c r="B502" s="1" t="s">
        <v>581</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647">
        <v>856</v>
      </c>
      <c r="N502" s="647">
        <v>866</v>
      </c>
      <c r="O502" s="647">
        <v>854</v>
      </c>
      <c r="P502" s="647">
        <v>934</v>
      </c>
      <c r="Q502" s="647">
        <v>976</v>
      </c>
      <c r="R502" s="647">
        <v>1016</v>
      </c>
      <c r="S502" s="647">
        <v>1068</v>
      </c>
      <c r="T502" s="647">
        <v>1057</v>
      </c>
      <c r="U502" s="647">
        <v>1032</v>
      </c>
      <c r="V502" s="647">
        <v>1077</v>
      </c>
      <c r="W502" s="647">
        <v>1158</v>
      </c>
      <c r="X502" s="647">
        <v>1168</v>
      </c>
      <c r="Y502" s="647">
        <v>1148</v>
      </c>
      <c r="Z502" s="647">
        <v>1099</v>
      </c>
      <c r="AA502" s="647">
        <v>1137</v>
      </c>
      <c r="AB502" s="647">
        <v>1146</v>
      </c>
      <c r="AC502" s="647">
        <v>1150</v>
      </c>
      <c r="AD502" s="647">
        <v>1098</v>
      </c>
      <c r="AE502" s="647">
        <v>1071</v>
      </c>
      <c r="AF502" s="647">
        <v>898</v>
      </c>
      <c r="AG502" s="647">
        <v>829</v>
      </c>
      <c r="AH502" s="647">
        <v>834</v>
      </c>
      <c r="AI502" s="647">
        <v>847</v>
      </c>
      <c r="AJ502" s="647">
        <v>907</v>
      </c>
      <c r="AK502" s="647">
        <v>957</v>
      </c>
      <c r="AL502" s="647">
        <v>1013</v>
      </c>
      <c r="AM502" s="647">
        <v>1000</v>
      </c>
      <c r="AN502" s="647">
        <v>923</v>
      </c>
      <c r="AO502" s="647">
        <v>977</v>
      </c>
      <c r="AP502" s="647">
        <v>975</v>
      </c>
      <c r="AQ502" s="647">
        <v>1005</v>
      </c>
      <c r="AR502" s="647">
        <v>1049</v>
      </c>
      <c r="AS502" s="647">
        <v>1077</v>
      </c>
      <c r="AT502" s="647">
        <v>1035</v>
      </c>
      <c r="AU502" s="647">
        <v>1116</v>
      </c>
      <c r="AV502" s="647">
        <v>1060</v>
      </c>
      <c r="AW502" s="647">
        <v>1050</v>
      </c>
      <c r="AX502" s="647">
        <v>991</v>
      </c>
      <c r="AY502" s="647">
        <v>1021</v>
      </c>
      <c r="AZ502" s="647">
        <v>1015</v>
      </c>
      <c r="BA502" s="647">
        <v>996</v>
      </c>
      <c r="BB502" s="647">
        <v>1033</v>
      </c>
      <c r="BC502" s="647">
        <v>1042</v>
      </c>
      <c r="BD502" s="647">
        <v>1003</v>
      </c>
      <c r="BE502" s="647">
        <v>929</v>
      </c>
      <c r="BF502" s="647">
        <v>918</v>
      </c>
      <c r="BG502" s="647">
        <v>1008</v>
      </c>
      <c r="BH502" s="647">
        <v>1037</v>
      </c>
      <c r="BI502" s="647">
        <v>1074</v>
      </c>
      <c r="BJ502" s="647">
        <v>1130</v>
      </c>
      <c r="BK502" s="647">
        <v>1203</v>
      </c>
      <c r="BL502" s="647">
        <v>1281</v>
      </c>
      <c r="BM502" s="647">
        <v>1243</v>
      </c>
      <c r="BN502" s="647">
        <v>1231</v>
      </c>
      <c r="BO502" s="647">
        <v>1260</v>
      </c>
      <c r="BP502" s="647">
        <v>1356</v>
      </c>
      <c r="BQ502" s="647">
        <v>1372</v>
      </c>
      <c r="BR502" s="647">
        <v>1413</v>
      </c>
      <c r="BS502" s="647">
        <v>1455</v>
      </c>
      <c r="BT502" s="647">
        <v>1317</v>
      </c>
      <c r="BU502" s="647">
        <v>1416</v>
      </c>
      <c r="BV502" s="647">
        <v>1373</v>
      </c>
      <c r="BW502" s="647">
        <v>1349</v>
      </c>
      <c r="BX502" s="647">
        <v>1279</v>
      </c>
      <c r="BY502" s="647">
        <v>1311</v>
      </c>
      <c r="BZ502" s="647">
        <v>1261</v>
      </c>
      <c r="CA502" s="647">
        <v>1172</v>
      </c>
      <c r="CB502" s="647">
        <v>1270</v>
      </c>
      <c r="CC502" s="647">
        <v>1212</v>
      </c>
      <c r="CD502" s="647">
        <v>1197</v>
      </c>
      <c r="CE502" s="647">
        <v>1164</v>
      </c>
      <c r="CF502" s="647">
        <v>1112</v>
      </c>
      <c r="CG502" s="647">
        <v>1141</v>
      </c>
      <c r="CH502" s="647">
        <v>1175</v>
      </c>
      <c r="CI502" s="647">
        <v>1186</v>
      </c>
      <c r="CJ502" s="647">
        <v>1175</v>
      </c>
      <c r="CK502" s="647">
        <v>999</v>
      </c>
      <c r="CL502" s="647">
        <v>920</v>
      </c>
      <c r="CM502" s="647">
        <v>863</v>
      </c>
      <c r="CN502" s="647">
        <v>789</v>
      </c>
      <c r="CO502" s="647">
        <v>736</v>
      </c>
      <c r="CP502" s="647">
        <v>619</v>
      </c>
      <c r="CQ502" s="647">
        <v>561</v>
      </c>
      <c r="CR502" s="647">
        <v>506</v>
      </c>
      <c r="CS502" s="647">
        <v>445</v>
      </c>
      <c r="CT502" s="647">
        <v>454</v>
      </c>
      <c r="CU502" s="647">
        <v>361</v>
      </c>
      <c r="CV502" s="647">
        <v>330</v>
      </c>
      <c r="CW502" s="647">
        <v>265</v>
      </c>
      <c r="CX502" s="647">
        <v>198</v>
      </c>
      <c r="CY502" s="647">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
      <c r="A503" s="31" t="s">
        <v>79</v>
      </c>
      <c r="B503" s="1" t="s">
        <v>582</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647">
        <v>276</v>
      </c>
      <c r="N503" s="647">
        <v>237</v>
      </c>
      <c r="O503" s="647">
        <v>271</v>
      </c>
      <c r="P503" s="647">
        <v>294</v>
      </c>
      <c r="Q503" s="647">
        <v>285</v>
      </c>
      <c r="R503" s="647">
        <v>312</v>
      </c>
      <c r="S503" s="647">
        <v>341</v>
      </c>
      <c r="T503" s="647">
        <v>317</v>
      </c>
      <c r="U503" s="647">
        <v>309</v>
      </c>
      <c r="V503" s="647">
        <v>360</v>
      </c>
      <c r="W503" s="647">
        <v>360</v>
      </c>
      <c r="X503" s="647">
        <v>370</v>
      </c>
      <c r="Y503" s="647">
        <v>368</v>
      </c>
      <c r="Z503" s="647">
        <v>326</v>
      </c>
      <c r="AA503" s="647">
        <v>334</v>
      </c>
      <c r="AB503" s="647">
        <v>346</v>
      </c>
      <c r="AC503" s="647">
        <v>355</v>
      </c>
      <c r="AD503" s="647">
        <v>378</v>
      </c>
      <c r="AE503" s="647">
        <v>435</v>
      </c>
      <c r="AF503" s="647">
        <v>855</v>
      </c>
      <c r="AG503" s="647">
        <v>809</v>
      </c>
      <c r="AH503" s="647">
        <v>767</v>
      </c>
      <c r="AI503" s="647">
        <v>615</v>
      </c>
      <c r="AJ503" s="647">
        <v>548</v>
      </c>
      <c r="AK503" s="647">
        <v>432</v>
      </c>
      <c r="AL503" s="647">
        <v>350</v>
      </c>
      <c r="AM503" s="647">
        <v>336</v>
      </c>
      <c r="AN503" s="647">
        <v>361</v>
      </c>
      <c r="AO503" s="647">
        <v>363</v>
      </c>
      <c r="AP503" s="647">
        <v>307</v>
      </c>
      <c r="AQ503" s="647">
        <v>338</v>
      </c>
      <c r="AR503" s="647">
        <v>347</v>
      </c>
      <c r="AS503" s="647">
        <v>354</v>
      </c>
      <c r="AT503" s="647">
        <v>356</v>
      </c>
      <c r="AU503" s="647">
        <v>352</v>
      </c>
      <c r="AV503" s="647">
        <v>311</v>
      </c>
      <c r="AW503" s="647">
        <v>316</v>
      </c>
      <c r="AX503" s="647">
        <v>334</v>
      </c>
      <c r="AY503" s="647">
        <v>320</v>
      </c>
      <c r="AZ503" s="647">
        <v>335</v>
      </c>
      <c r="BA503" s="647">
        <v>353</v>
      </c>
      <c r="BB503" s="647">
        <v>347</v>
      </c>
      <c r="BC503" s="647">
        <v>316</v>
      </c>
      <c r="BD503" s="647">
        <v>308</v>
      </c>
      <c r="BE503" s="647">
        <v>280</v>
      </c>
      <c r="BF503" s="647">
        <v>309</v>
      </c>
      <c r="BG503" s="647">
        <v>342</v>
      </c>
      <c r="BH503" s="647">
        <v>348</v>
      </c>
      <c r="BI503" s="647">
        <v>356</v>
      </c>
      <c r="BJ503" s="647">
        <v>339</v>
      </c>
      <c r="BK503" s="647">
        <v>402</v>
      </c>
      <c r="BL503" s="647">
        <v>431</v>
      </c>
      <c r="BM503" s="647">
        <v>435</v>
      </c>
      <c r="BN503" s="647">
        <v>504</v>
      </c>
      <c r="BO503" s="647">
        <v>475</v>
      </c>
      <c r="BP503" s="647">
        <v>496</v>
      </c>
      <c r="BQ503" s="647">
        <v>511</v>
      </c>
      <c r="BR503" s="647">
        <v>501</v>
      </c>
      <c r="BS503" s="647">
        <v>541</v>
      </c>
      <c r="BT503" s="647">
        <v>553</v>
      </c>
      <c r="BU503" s="647">
        <v>538</v>
      </c>
      <c r="BV503" s="647">
        <v>517</v>
      </c>
      <c r="BW503" s="647">
        <v>495</v>
      </c>
      <c r="BX503" s="647">
        <v>529</v>
      </c>
      <c r="BY503" s="647">
        <v>518</v>
      </c>
      <c r="BZ503" s="647">
        <v>495</v>
      </c>
      <c r="CA503" s="647">
        <v>519</v>
      </c>
      <c r="CB503" s="647">
        <v>491</v>
      </c>
      <c r="CC503" s="647">
        <v>490</v>
      </c>
      <c r="CD503" s="647">
        <v>448</v>
      </c>
      <c r="CE503" s="647">
        <v>472</v>
      </c>
      <c r="CF503" s="647">
        <v>453</v>
      </c>
      <c r="CG503" s="647">
        <v>454</v>
      </c>
      <c r="CH503" s="647">
        <v>509</v>
      </c>
      <c r="CI503" s="647">
        <v>531</v>
      </c>
      <c r="CJ503" s="647">
        <v>500</v>
      </c>
      <c r="CK503" s="647">
        <v>376</v>
      </c>
      <c r="CL503" s="647">
        <v>376</v>
      </c>
      <c r="CM503" s="647">
        <v>354</v>
      </c>
      <c r="CN503" s="647">
        <v>347</v>
      </c>
      <c r="CO503" s="647">
        <v>289</v>
      </c>
      <c r="CP503" s="647">
        <v>213</v>
      </c>
      <c r="CQ503" s="647">
        <v>241</v>
      </c>
      <c r="CR503" s="647">
        <v>198</v>
      </c>
      <c r="CS503" s="647">
        <v>175</v>
      </c>
      <c r="CT503" s="647">
        <v>168</v>
      </c>
      <c r="CU503" s="647">
        <v>134</v>
      </c>
      <c r="CV503" s="647">
        <v>115</v>
      </c>
      <c r="CW503" s="647">
        <v>97</v>
      </c>
      <c r="CX503" s="647">
        <v>84</v>
      </c>
      <c r="CY503" s="647">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
      <c r="A504" s="31" t="s">
        <v>79</v>
      </c>
      <c r="B504" s="1" t="s">
        <v>583</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647">
        <v>483</v>
      </c>
      <c r="N504" s="647">
        <v>469</v>
      </c>
      <c r="O504" s="647">
        <v>522</v>
      </c>
      <c r="P504" s="647">
        <v>523</v>
      </c>
      <c r="Q504" s="647">
        <v>549</v>
      </c>
      <c r="R504" s="647">
        <v>540</v>
      </c>
      <c r="S504" s="647">
        <v>563</v>
      </c>
      <c r="T504" s="647">
        <v>620</v>
      </c>
      <c r="U504" s="647">
        <v>583</v>
      </c>
      <c r="V504" s="647">
        <v>622</v>
      </c>
      <c r="W504" s="647">
        <v>611</v>
      </c>
      <c r="X504" s="647">
        <v>686</v>
      </c>
      <c r="Y504" s="647">
        <v>621</v>
      </c>
      <c r="Z504" s="647">
        <v>634</v>
      </c>
      <c r="AA504" s="647">
        <v>601</v>
      </c>
      <c r="AB504" s="647">
        <v>642</v>
      </c>
      <c r="AC504" s="647">
        <v>627</v>
      </c>
      <c r="AD504" s="647">
        <v>641</v>
      </c>
      <c r="AE504" s="647">
        <v>613</v>
      </c>
      <c r="AF504" s="647">
        <v>404</v>
      </c>
      <c r="AG504" s="647">
        <v>422</v>
      </c>
      <c r="AH504" s="647">
        <v>441</v>
      </c>
      <c r="AI504" s="647">
        <v>543</v>
      </c>
      <c r="AJ504" s="647">
        <v>525</v>
      </c>
      <c r="AK504" s="647">
        <v>583</v>
      </c>
      <c r="AL504" s="647">
        <v>572</v>
      </c>
      <c r="AM504" s="647">
        <v>471</v>
      </c>
      <c r="AN504" s="647">
        <v>561</v>
      </c>
      <c r="AO504" s="647">
        <v>538</v>
      </c>
      <c r="AP504" s="647">
        <v>526</v>
      </c>
      <c r="AQ504" s="647">
        <v>576</v>
      </c>
      <c r="AR504" s="647">
        <v>623</v>
      </c>
      <c r="AS504" s="647">
        <v>576</v>
      </c>
      <c r="AT504" s="647">
        <v>615</v>
      </c>
      <c r="AU504" s="647">
        <v>597</v>
      </c>
      <c r="AV504" s="647">
        <v>594</v>
      </c>
      <c r="AW504" s="647">
        <v>552</v>
      </c>
      <c r="AX504" s="647">
        <v>589</v>
      </c>
      <c r="AY504" s="647">
        <v>559</v>
      </c>
      <c r="AZ504" s="647">
        <v>543</v>
      </c>
      <c r="BA504" s="647">
        <v>551</v>
      </c>
      <c r="BB504" s="647">
        <v>596</v>
      </c>
      <c r="BC504" s="647">
        <v>626</v>
      </c>
      <c r="BD504" s="647">
        <v>555</v>
      </c>
      <c r="BE504" s="647">
        <v>470</v>
      </c>
      <c r="BF504" s="647">
        <v>555</v>
      </c>
      <c r="BG504" s="647">
        <v>559</v>
      </c>
      <c r="BH504" s="647">
        <v>569</v>
      </c>
      <c r="BI504" s="647">
        <v>603</v>
      </c>
      <c r="BJ504" s="647">
        <v>679</v>
      </c>
      <c r="BK504" s="647">
        <v>788</v>
      </c>
      <c r="BL504" s="647">
        <v>775</v>
      </c>
      <c r="BM504" s="647">
        <v>750</v>
      </c>
      <c r="BN504" s="647">
        <v>805</v>
      </c>
      <c r="BO504" s="647">
        <v>775</v>
      </c>
      <c r="BP504" s="647">
        <v>819</v>
      </c>
      <c r="BQ504" s="647">
        <v>862</v>
      </c>
      <c r="BR504" s="647">
        <v>890</v>
      </c>
      <c r="BS504" s="647">
        <v>870</v>
      </c>
      <c r="BT504" s="647">
        <v>881</v>
      </c>
      <c r="BU504" s="647">
        <v>879</v>
      </c>
      <c r="BV504" s="647">
        <v>894</v>
      </c>
      <c r="BW504" s="647">
        <v>876</v>
      </c>
      <c r="BX504" s="647">
        <v>830</v>
      </c>
      <c r="BY504" s="647">
        <v>792</v>
      </c>
      <c r="BZ504" s="647">
        <v>785</v>
      </c>
      <c r="CA504" s="647">
        <v>740</v>
      </c>
      <c r="CB504" s="647">
        <v>717</v>
      </c>
      <c r="CC504" s="647">
        <v>789</v>
      </c>
      <c r="CD504" s="647">
        <v>744</v>
      </c>
      <c r="CE504" s="647">
        <v>734</v>
      </c>
      <c r="CF504" s="647">
        <v>780</v>
      </c>
      <c r="CG504" s="647">
        <v>723</v>
      </c>
      <c r="CH504" s="647">
        <v>809</v>
      </c>
      <c r="CI504" s="647">
        <v>853</v>
      </c>
      <c r="CJ504" s="647">
        <v>851</v>
      </c>
      <c r="CK504" s="647">
        <v>673</v>
      </c>
      <c r="CL504" s="647">
        <v>628</v>
      </c>
      <c r="CM504" s="647">
        <v>602</v>
      </c>
      <c r="CN504" s="647">
        <v>548</v>
      </c>
      <c r="CO504" s="647">
        <v>479</v>
      </c>
      <c r="CP504" s="647">
        <v>400</v>
      </c>
      <c r="CQ504" s="647">
        <v>367</v>
      </c>
      <c r="CR504" s="647">
        <v>373</v>
      </c>
      <c r="CS504" s="647">
        <v>296</v>
      </c>
      <c r="CT504" s="647">
        <v>289</v>
      </c>
      <c r="CU504" s="647">
        <v>267</v>
      </c>
      <c r="CV504" s="647">
        <v>251</v>
      </c>
      <c r="CW504" s="647">
        <v>195</v>
      </c>
      <c r="CX504" s="647">
        <v>194</v>
      </c>
      <c r="CY504" s="647">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
      <c r="A505" s="31" t="s">
        <v>79</v>
      </c>
      <c r="B505" s="1" t="s">
        <v>584</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647">
        <v>457</v>
      </c>
      <c r="N505" s="647">
        <v>493</v>
      </c>
      <c r="O505" s="647">
        <v>520</v>
      </c>
      <c r="P505" s="647">
        <v>480</v>
      </c>
      <c r="Q505" s="647">
        <v>486</v>
      </c>
      <c r="R505" s="647">
        <v>551</v>
      </c>
      <c r="S505" s="647">
        <v>523</v>
      </c>
      <c r="T505" s="647">
        <v>558</v>
      </c>
      <c r="U505" s="647">
        <v>524</v>
      </c>
      <c r="V505" s="647">
        <v>561</v>
      </c>
      <c r="W505" s="647">
        <v>567</v>
      </c>
      <c r="X505" s="647">
        <v>592</v>
      </c>
      <c r="Y505" s="647">
        <v>615</v>
      </c>
      <c r="Z505" s="647">
        <v>593</v>
      </c>
      <c r="AA505" s="647">
        <v>609</v>
      </c>
      <c r="AB505" s="647">
        <v>587</v>
      </c>
      <c r="AC505" s="647">
        <v>587</v>
      </c>
      <c r="AD505" s="647">
        <v>627</v>
      </c>
      <c r="AE505" s="647">
        <v>551</v>
      </c>
      <c r="AF505" s="647">
        <v>439</v>
      </c>
      <c r="AG505" s="647">
        <v>422</v>
      </c>
      <c r="AH505" s="647">
        <v>434</v>
      </c>
      <c r="AI505" s="647">
        <v>423</v>
      </c>
      <c r="AJ505" s="647">
        <v>470</v>
      </c>
      <c r="AK505" s="647">
        <v>490</v>
      </c>
      <c r="AL505" s="647">
        <v>482</v>
      </c>
      <c r="AM505" s="647">
        <v>514</v>
      </c>
      <c r="AN505" s="647">
        <v>470</v>
      </c>
      <c r="AO505" s="647">
        <v>500</v>
      </c>
      <c r="AP505" s="647">
        <v>483</v>
      </c>
      <c r="AQ505" s="647">
        <v>507</v>
      </c>
      <c r="AR505" s="647">
        <v>516</v>
      </c>
      <c r="AS505" s="647">
        <v>511</v>
      </c>
      <c r="AT505" s="647">
        <v>471</v>
      </c>
      <c r="AU505" s="647">
        <v>530</v>
      </c>
      <c r="AV505" s="647">
        <v>513</v>
      </c>
      <c r="AW505" s="647">
        <v>510</v>
      </c>
      <c r="AX505" s="647">
        <v>477</v>
      </c>
      <c r="AY505" s="647">
        <v>509</v>
      </c>
      <c r="AZ505" s="647">
        <v>424</v>
      </c>
      <c r="BA505" s="647">
        <v>488</v>
      </c>
      <c r="BB505" s="647">
        <v>496</v>
      </c>
      <c r="BC505" s="647">
        <v>500</v>
      </c>
      <c r="BD505" s="647">
        <v>478</v>
      </c>
      <c r="BE505" s="647">
        <v>422</v>
      </c>
      <c r="BF505" s="647">
        <v>464</v>
      </c>
      <c r="BG505" s="647">
        <v>515</v>
      </c>
      <c r="BH505" s="647">
        <v>516</v>
      </c>
      <c r="BI505" s="647">
        <v>525</v>
      </c>
      <c r="BJ505" s="647">
        <v>532</v>
      </c>
      <c r="BK505" s="647">
        <v>646</v>
      </c>
      <c r="BL505" s="647">
        <v>654</v>
      </c>
      <c r="BM505" s="647">
        <v>645</v>
      </c>
      <c r="BN505" s="647">
        <v>662</v>
      </c>
      <c r="BO505" s="647">
        <v>643</v>
      </c>
      <c r="BP505" s="647">
        <v>715</v>
      </c>
      <c r="BQ505" s="647">
        <v>681</v>
      </c>
      <c r="BR505" s="647">
        <v>758</v>
      </c>
      <c r="BS505" s="647">
        <v>746</v>
      </c>
      <c r="BT505" s="647">
        <v>697</v>
      </c>
      <c r="BU505" s="647">
        <v>737</v>
      </c>
      <c r="BV505" s="647">
        <v>654</v>
      </c>
      <c r="BW505" s="647">
        <v>713</v>
      </c>
      <c r="BX505" s="647">
        <v>665</v>
      </c>
      <c r="BY505" s="647">
        <v>635</v>
      </c>
      <c r="BZ505" s="647">
        <v>637</v>
      </c>
      <c r="CA505" s="647">
        <v>603</v>
      </c>
      <c r="CB505" s="647">
        <v>603</v>
      </c>
      <c r="CC505" s="647">
        <v>596</v>
      </c>
      <c r="CD505" s="647">
        <v>599</v>
      </c>
      <c r="CE505" s="647">
        <v>543</v>
      </c>
      <c r="CF505" s="647">
        <v>547</v>
      </c>
      <c r="CG505" s="647">
        <v>614</v>
      </c>
      <c r="CH505" s="647">
        <v>653</v>
      </c>
      <c r="CI505" s="647">
        <v>674</v>
      </c>
      <c r="CJ505" s="647">
        <v>666</v>
      </c>
      <c r="CK505" s="647">
        <v>469</v>
      </c>
      <c r="CL505" s="647">
        <v>446</v>
      </c>
      <c r="CM505" s="647">
        <v>473</v>
      </c>
      <c r="CN505" s="647">
        <v>443</v>
      </c>
      <c r="CO505" s="647">
        <v>359</v>
      </c>
      <c r="CP505" s="647">
        <v>328</v>
      </c>
      <c r="CQ505" s="647">
        <v>290</v>
      </c>
      <c r="CR505" s="647">
        <v>259</v>
      </c>
      <c r="CS505" s="647">
        <v>236</v>
      </c>
      <c r="CT505" s="647">
        <v>224</v>
      </c>
      <c r="CU505" s="647">
        <v>181</v>
      </c>
      <c r="CV505" s="647">
        <v>162</v>
      </c>
      <c r="CW505" s="647">
        <v>127</v>
      </c>
      <c r="CX505" s="647">
        <v>108</v>
      </c>
      <c r="CY505" s="647">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
      <c r="A506" s="31" t="s">
        <v>79</v>
      </c>
      <c r="B506" s="1" t="s">
        <v>585</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647">
        <v>701</v>
      </c>
      <c r="N506" s="647">
        <v>780</v>
      </c>
      <c r="O506" s="647">
        <v>775</v>
      </c>
      <c r="P506" s="647">
        <v>770</v>
      </c>
      <c r="Q506" s="647">
        <v>817</v>
      </c>
      <c r="R506" s="647">
        <v>825</v>
      </c>
      <c r="S506" s="647">
        <v>849</v>
      </c>
      <c r="T506" s="647">
        <v>888</v>
      </c>
      <c r="U506" s="647">
        <v>904</v>
      </c>
      <c r="V506" s="647">
        <v>899</v>
      </c>
      <c r="W506" s="647">
        <v>971</v>
      </c>
      <c r="X506" s="647">
        <v>933</v>
      </c>
      <c r="Y506" s="647">
        <v>1008</v>
      </c>
      <c r="Z506" s="647">
        <v>933</v>
      </c>
      <c r="AA506" s="647">
        <v>1033</v>
      </c>
      <c r="AB506" s="647">
        <v>950</v>
      </c>
      <c r="AC506" s="647">
        <v>903</v>
      </c>
      <c r="AD506" s="647">
        <v>944</v>
      </c>
      <c r="AE506" s="647">
        <v>881</v>
      </c>
      <c r="AF506" s="647">
        <v>661</v>
      </c>
      <c r="AG506" s="647">
        <v>648</v>
      </c>
      <c r="AH506" s="647">
        <v>673</v>
      </c>
      <c r="AI506" s="647">
        <v>728</v>
      </c>
      <c r="AJ506" s="647">
        <v>844</v>
      </c>
      <c r="AK506" s="647">
        <v>853</v>
      </c>
      <c r="AL506" s="647">
        <v>829</v>
      </c>
      <c r="AM506" s="647">
        <v>799</v>
      </c>
      <c r="AN506" s="647">
        <v>822</v>
      </c>
      <c r="AO506" s="647">
        <v>837</v>
      </c>
      <c r="AP506" s="647">
        <v>879</v>
      </c>
      <c r="AQ506" s="647">
        <v>1004</v>
      </c>
      <c r="AR506" s="647">
        <v>928</v>
      </c>
      <c r="AS506" s="647">
        <v>919</v>
      </c>
      <c r="AT506" s="647">
        <v>961</v>
      </c>
      <c r="AU506" s="647">
        <v>970</v>
      </c>
      <c r="AV506" s="647">
        <v>947</v>
      </c>
      <c r="AW506" s="647">
        <v>978</v>
      </c>
      <c r="AX506" s="647">
        <v>903</v>
      </c>
      <c r="AY506" s="647">
        <v>860</v>
      </c>
      <c r="AZ506" s="647">
        <v>889</v>
      </c>
      <c r="BA506" s="647">
        <v>925</v>
      </c>
      <c r="BB506" s="647">
        <v>916</v>
      </c>
      <c r="BC506" s="647">
        <v>930</v>
      </c>
      <c r="BD506" s="647">
        <v>875</v>
      </c>
      <c r="BE506" s="647">
        <v>855</v>
      </c>
      <c r="BF506" s="647">
        <v>802</v>
      </c>
      <c r="BG506" s="647">
        <v>825</v>
      </c>
      <c r="BH506" s="647">
        <v>925</v>
      </c>
      <c r="BI506" s="647">
        <v>970</v>
      </c>
      <c r="BJ506" s="647">
        <v>989</v>
      </c>
      <c r="BK506" s="647">
        <v>1124</v>
      </c>
      <c r="BL506" s="647">
        <v>1159</v>
      </c>
      <c r="BM506" s="647">
        <v>1172</v>
      </c>
      <c r="BN506" s="647">
        <v>1222</v>
      </c>
      <c r="BO506" s="647">
        <v>1193</v>
      </c>
      <c r="BP506" s="647">
        <v>1115</v>
      </c>
      <c r="BQ506" s="647">
        <v>1116</v>
      </c>
      <c r="BR506" s="647">
        <v>1156</v>
      </c>
      <c r="BS506" s="647">
        <v>1196</v>
      </c>
      <c r="BT506" s="647">
        <v>1096</v>
      </c>
      <c r="BU506" s="647">
        <v>1149</v>
      </c>
      <c r="BV506" s="647">
        <v>1060</v>
      </c>
      <c r="BW506" s="647">
        <v>1024</v>
      </c>
      <c r="BX506" s="647">
        <v>1036</v>
      </c>
      <c r="BY506" s="647">
        <v>912</v>
      </c>
      <c r="BZ506" s="647">
        <v>883</v>
      </c>
      <c r="CA506" s="647">
        <v>867</v>
      </c>
      <c r="CB506" s="647">
        <v>793</v>
      </c>
      <c r="CC506" s="647">
        <v>812</v>
      </c>
      <c r="CD506" s="647">
        <v>850</v>
      </c>
      <c r="CE506" s="647">
        <v>761</v>
      </c>
      <c r="CF506" s="647">
        <v>877</v>
      </c>
      <c r="CG506" s="647">
        <v>832</v>
      </c>
      <c r="CH506" s="647">
        <v>891</v>
      </c>
      <c r="CI506" s="647">
        <v>922</v>
      </c>
      <c r="CJ506" s="647">
        <v>1006</v>
      </c>
      <c r="CK506" s="647">
        <v>637</v>
      </c>
      <c r="CL506" s="647">
        <v>646</v>
      </c>
      <c r="CM506" s="647">
        <v>660</v>
      </c>
      <c r="CN506" s="647">
        <v>553</v>
      </c>
      <c r="CO506" s="647">
        <v>481</v>
      </c>
      <c r="CP506" s="647">
        <v>430</v>
      </c>
      <c r="CQ506" s="647">
        <v>426</v>
      </c>
      <c r="CR506" s="647">
        <v>354</v>
      </c>
      <c r="CS506" s="647">
        <v>350</v>
      </c>
      <c r="CT506" s="647">
        <v>287</v>
      </c>
      <c r="CU506" s="647">
        <v>257</v>
      </c>
      <c r="CV506" s="647">
        <v>212</v>
      </c>
      <c r="CW506" s="647">
        <v>170</v>
      </c>
      <c r="CX506" s="647">
        <v>138</v>
      </c>
      <c r="CY506" s="647">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
      <c r="A507" s="31" t="s">
        <v>79</v>
      </c>
      <c r="B507" s="1" t="s">
        <v>586</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647">
        <v>554</v>
      </c>
      <c r="N507" s="647">
        <v>518</v>
      </c>
      <c r="O507" s="647">
        <v>550</v>
      </c>
      <c r="P507" s="647">
        <v>548</v>
      </c>
      <c r="Q507" s="647">
        <v>593</v>
      </c>
      <c r="R507" s="647">
        <v>563</v>
      </c>
      <c r="S507" s="647">
        <v>656</v>
      </c>
      <c r="T507" s="647">
        <v>596</v>
      </c>
      <c r="U507" s="647">
        <v>662</v>
      </c>
      <c r="V507" s="647">
        <v>660</v>
      </c>
      <c r="W507" s="647">
        <v>664</v>
      </c>
      <c r="X507" s="647">
        <v>666</v>
      </c>
      <c r="Y507" s="647">
        <v>714</v>
      </c>
      <c r="Z507" s="647">
        <v>665</v>
      </c>
      <c r="AA507" s="647">
        <v>674</v>
      </c>
      <c r="AB507" s="647">
        <v>671</v>
      </c>
      <c r="AC507" s="647">
        <v>653</v>
      </c>
      <c r="AD507" s="647">
        <v>618</v>
      </c>
      <c r="AE507" s="647">
        <v>660</v>
      </c>
      <c r="AF507" s="647">
        <v>869</v>
      </c>
      <c r="AG507" s="647">
        <v>893</v>
      </c>
      <c r="AH507" s="647">
        <v>930</v>
      </c>
      <c r="AI507" s="647">
        <v>871</v>
      </c>
      <c r="AJ507" s="647">
        <v>777</v>
      </c>
      <c r="AK507" s="647">
        <v>709</v>
      </c>
      <c r="AL507" s="647">
        <v>648</v>
      </c>
      <c r="AM507" s="647">
        <v>637</v>
      </c>
      <c r="AN507" s="647">
        <v>635</v>
      </c>
      <c r="AO507" s="647">
        <v>676</v>
      </c>
      <c r="AP507" s="647">
        <v>659</v>
      </c>
      <c r="AQ507" s="647">
        <v>661</v>
      </c>
      <c r="AR507" s="647">
        <v>643</v>
      </c>
      <c r="AS507" s="647">
        <v>663</v>
      </c>
      <c r="AT507" s="647">
        <v>677</v>
      </c>
      <c r="AU507" s="647">
        <v>680</v>
      </c>
      <c r="AV507" s="647">
        <v>704</v>
      </c>
      <c r="AW507" s="647">
        <v>572</v>
      </c>
      <c r="AX507" s="647">
        <v>595</v>
      </c>
      <c r="AY507" s="647">
        <v>582</v>
      </c>
      <c r="AZ507" s="647">
        <v>586</v>
      </c>
      <c r="BA507" s="647">
        <v>589</v>
      </c>
      <c r="BB507" s="647">
        <v>603</v>
      </c>
      <c r="BC507" s="647">
        <v>613</v>
      </c>
      <c r="BD507" s="647">
        <v>569</v>
      </c>
      <c r="BE507" s="647">
        <v>557</v>
      </c>
      <c r="BF507" s="647">
        <v>575</v>
      </c>
      <c r="BG507" s="647">
        <v>581</v>
      </c>
      <c r="BH507" s="647">
        <v>606</v>
      </c>
      <c r="BI507" s="647">
        <v>678</v>
      </c>
      <c r="BJ507" s="647">
        <v>722</v>
      </c>
      <c r="BK507" s="647">
        <v>767</v>
      </c>
      <c r="BL507" s="647">
        <v>811</v>
      </c>
      <c r="BM507" s="647">
        <v>804</v>
      </c>
      <c r="BN507" s="647">
        <v>775</v>
      </c>
      <c r="BO507" s="647">
        <v>801</v>
      </c>
      <c r="BP507" s="647">
        <v>799</v>
      </c>
      <c r="BQ507" s="647">
        <v>858</v>
      </c>
      <c r="BR507" s="647">
        <v>866</v>
      </c>
      <c r="BS507" s="647">
        <v>874</v>
      </c>
      <c r="BT507" s="647">
        <v>888</v>
      </c>
      <c r="BU507" s="647">
        <v>867</v>
      </c>
      <c r="BV507" s="647">
        <v>849</v>
      </c>
      <c r="BW507" s="647">
        <v>771</v>
      </c>
      <c r="BX507" s="647">
        <v>768</v>
      </c>
      <c r="BY507" s="647">
        <v>811</v>
      </c>
      <c r="BZ507" s="647">
        <v>756</v>
      </c>
      <c r="CA507" s="647">
        <v>711</v>
      </c>
      <c r="CB507" s="647">
        <v>727</v>
      </c>
      <c r="CC507" s="647">
        <v>675</v>
      </c>
      <c r="CD507" s="647">
        <v>709</v>
      </c>
      <c r="CE507" s="647">
        <v>650</v>
      </c>
      <c r="CF507" s="647">
        <v>649</v>
      </c>
      <c r="CG507" s="647">
        <v>649</v>
      </c>
      <c r="CH507" s="647">
        <v>729</v>
      </c>
      <c r="CI507" s="647">
        <v>764</v>
      </c>
      <c r="CJ507" s="647">
        <v>736</v>
      </c>
      <c r="CK507" s="647">
        <v>589</v>
      </c>
      <c r="CL507" s="647">
        <v>522</v>
      </c>
      <c r="CM507" s="647">
        <v>521</v>
      </c>
      <c r="CN507" s="647">
        <v>483</v>
      </c>
      <c r="CO507" s="647">
        <v>379</v>
      </c>
      <c r="CP507" s="647">
        <v>308</v>
      </c>
      <c r="CQ507" s="647">
        <v>331</v>
      </c>
      <c r="CR507" s="647">
        <v>327</v>
      </c>
      <c r="CS507" s="647">
        <v>274</v>
      </c>
      <c r="CT507" s="647">
        <v>248</v>
      </c>
      <c r="CU507" s="647">
        <v>221</v>
      </c>
      <c r="CV507" s="647">
        <v>181</v>
      </c>
      <c r="CW507" s="647">
        <v>162</v>
      </c>
      <c r="CX507" s="647">
        <v>135</v>
      </c>
      <c r="CY507" s="647">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
      <c r="A508" s="31" t="s">
        <v>79</v>
      </c>
      <c r="B508" s="1" t="s">
        <v>587</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647">
        <v>273</v>
      </c>
      <c r="N508" s="647">
        <v>322</v>
      </c>
      <c r="O508" s="647">
        <v>305</v>
      </c>
      <c r="P508" s="647">
        <v>320</v>
      </c>
      <c r="Q508" s="647">
        <v>334</v>
      </c>
      <c r="R508" s="647">
        <v>383</v>
      </c>
      <c r="S508" s="647">
        <v>383</v>
      </c>
      <c r="T508" s="647">
        <v>361</v>
      </c>
      <c r="U508" s="647">
        <v>383</v>
      </c>
      <c r="V508" s="647">
        <v>411</v>
      </c>
      <c r="W508" s="647">
        <v>394</v>
      </c>
      <c r="X508" s="647">
        <v>440</v>
      </c>
      <c r="Y508" s="647">
        <v>405</v>
      </c>
      <c r="Z508" s="647">
        <v>438</v>
      </c>
      <c r="AA508" s="647">
        <v>385</v>
      </c>
      <c r="AB508" s="647">
        <v>392</v>
      </c>
      <c r="AC508" s="647">
        <v>391</v>
      </c>
      <c r="AD508" s="647">
        <v>389</v>
      </c>
      <c r="AE508" s="647">
        <v>348</v>
      </c>
      <c r="AF508" s="647">
        <v>299</v>
      </c>
      <c r="AG508" s="647">
        <v>302</v>
      </c>
      <c r="AH508" s="647">
        <v>273</v>
      </c>
      <c r="AI508" s="647">
        <v>297</v>
      </c>
      <c r="AJ508" s="647">
        <v>367</v>
      </c>
      <c r="AK508" s="647">
        <v>299</v>
      </c>
      <c r="AL508" s="647">
        <v>316</v>
      </c>
      <c r="AM508" s="647">
        <v>341</v>
      </c>
      <c r="AN508" s="647">
        <v>319</v>
      </c>
      <c r="AO508" s="647">
        <v>363</v>
      </c>
      <c r="AP508" s="647">
        <v>338</v>
      </c>
      <c r="AQ508" s="647">
        <v>332</v>
      </c>
      <c r="AR508" s="647">
        <v>349</v>
      </c>
      <c r="AS508" s="647">
        <v>346</v>
      </c>
      <c r="AT508" s="647">
        <v>349</v>
      </c>
      <c r="AU508" s="647">
        <v>381</v>
      </c>
      <c r="AV508" s="647">
        <v>373</v>
      </c>
      <c r="AW508" s="647">
        <v>310</v>
      </c>
      <c r="AX508" s="647">
        <v>347</v>
      </c>
      <c r="AY508" s="647">
        <v>371</v>
      </c>
      <c r="AZ508" s="647">
        <v>328</v>
      </c>
      <c r="BA508" s="647">
        <v>331</v>
      </c>
      <c r="BB508" s="647">
        <v>346</v>
      </c>
      <c r="BC508" s="647">
        <v>345</v>
      </c>
      <c r="BD508" s="647">
        <v>373</v>
      </c>
      <c r="BE508" s="647">
        <v>321</v>
      </c>
      <c r="BF508" s="647">
        <v>306</v>
      </c>
      <c r="BG508" s="647">
        <v>326</v>
      </c>
      <c r="BH508" s="647">
        <v>357</v>
      </c>
      <c r="BI508" s="647">
        <v>373</v>
      </c>
      <c r="BJ508" s="647">
        <v>436</v>
      </c>
      <c r="BK508" s="647">
        <v>448</v>
      </c>
      <c r="BL508" s="647">
        <v>493</v>
      </c>
      <c r="BM508" s="647">
        <v>440</v>
      </c>
      <c r="BN508" s="647">
        <v>466</v>
      </c>
      <c r="BO508" s="647">
        <v>481</v>
      </c>
      <c r="BP508" s="647">
        <v>523</v>
      </c>
      <c r="BQ508" s="647">
        <v>490</v>
      </c>
      <c r="BR508" s="647">
        <v>546</v>
      </c>
      <c r="BS508" s="647">
        <v>515</v>
      </c>
      <c r="BT508" s="647">
        <v>563</v>
      </c>
      <c r="BU508" s="647">
        <v>503</v>
      </c>
      <c r="BV508" s="647">
        <v>511</v>
      </c>
      <c r="BW508" s="647">
        <v>539</v>
      </c>
      <c r="BX508" s="647">
        <v>521</v>
      </c>
      <c r="BY508" s="647">
        <v>482</v>
      </c>
      <c r="BZ508" s="647">
        <v>468</v>
      </c>
      <c r="CA508" s="647">
        <v>489</v>
      </c>
      <c r="CB508" s="647">
        <v>476</v>
      </c>
      <c r="CC508" s="647">
        <v>458</v>
      </c>
      <c r="CD508" s="647">
        <v>460</v>
      </c>
      <c r="CE508" s="647">
        <v>458</v>
      </c>
      <c r="CF508" s="647">
        <v>438</v>
      </c>
      <c r="CG508" s="647">
        <v>468</v>
      </c>
      <c r="CH508" s="647">
        <v>490</v>
      </c>
      <c r="CI508" s="647">
        <v>504</v>
      </c>
      <c r="CJ508" s="647">
        <v>484</v>
      </c>
      <c r="CK508" s="647">
        <v>343</v>
      </c>
      <c r="CL508" s="647">
        <v>365</v>
      </c>
      <c r="CM508" s="647">
        <v>374</v>
      </c>
      <c r="CN508" s="647">
        <v>344</v>
      </c>
      <c r="CO508" s="647">
        <v>273</v>
      </c>
      <c r="CP508" s="647">
        <v>244</v>
      </c>
      <c r="CQ508" s="647">
        <v>233</v>
      </c>
      <c r="CR508" s="647">
        <v>249</v>
      </c>
      <c r="CS508" s="647">
        <v>194</v>
      </c>
      <c r="CT508" s="647">
        <v>174</v>
      </c>
      <c r="CU508" s="647">
        <v>143</v>
      </c>
      <c r="CV508" s="647">
        <v>115</v>
      </c>
      <c r="CW508" s="647">
        <v>82</v>
      </c>
      <c r="CX508" s="647">
        <v>77</v>
      </c>
      <c r="CY508" s="647">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
      <c r="A509" s="31" t="s">
        <v>79</v>
      </c>
      <c r="B509" s="1" t="s">
        <v>588</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647">
        <v>322</v>
      </c>
      <c r="N509" s="647">
        <v>325</v>
      </c>
      <c r="O509" s="647">
        <v>329</v>
      </c>
      <c r="P509" s="647">
        <v>309</v>
      </c>
      <c r="Q509" s="647">
        <v>371</v>
      </c>
      <c r="R509" s="647">
        <v>402</v>
      </c>
      <c r="S509" s="647">
        <v>381</v>
      </c>
      <c r="T509" s="647">
        <v>384</v>
      </c>
      <c r="U509" s="647">
        <v>350</v>
      </c>
      <c r="V509" s="647">
        <v>355</v>
      </c>
      <c r="W509" s="647">
        <v>378</v>
      </c>
      <c r="X509" s="647">
        <v>405</v>
      </c>
      <c r="Y509" s="647">
        <v>360</v>
      </c>
      <c r="Z509" s="647">
        <v>363</v>
      </c>
      <c r="AA509" s="647">
        <v>375</v>
      </c>
      <c r="AB509" s="647">
        <v>379</v>
      </c>
      <c r="AC509" s="647">
        <v>337</v>
      </c>
      <c r="AD509" s="647">
        <v>307</v>
      </c>
      <c r="AE509" s="647">
        <v>319</v>
      </c>
      <c r="AF509" s="647">
        <v>333</v>
      </c>
      <c r="AG509" s="647">
        <v>297</v>
      </c>
      <c r="AH509" s="647">
        <v>289</v>
      </c>
      <c r="AI509" s="647">
        <v>333</v>
      </c>
      <c r="AJ509" s="647">
        <v>329</v>
      </c>
      <c r="AK509" s="647">
        <v>314</v>
      </c>
      <c r="AL509" s="647">
        <v>356</v>
      </c>
      <c r="AM509" s="647">
        <v>342</v>
      </c>
      <c r="AN509" s="647">
        <v>329</v>
      </c>
      <c r="AO509" s="647">
        <v>375</v>
      </c>
      <c r="AP509" s="647">
        <v>373</v>
      </c>
      <c r="AQ509" s="647">
        <v>362</v>
      </c>
      <c r="AR509" s="647">
        <v>382</v>
      </c>
      <c r="AS509" s="647">
        <v>390</v>
      </c>
      <c r="AT509" s="647">
        <v>371</v>
      </c>
      <c r="AU509" s="647">
        <v>386</v>
      </c>
      <c r="AV509" s="647">
        <v>397</v>
      </c>
      <c r="AW509" s="647">
        <v>396</v>
      </c>
      <c r="AX509" s="647">
        <v>417</v>
      </c>
      <c r="AY509" s="647">
        <v>405</v>
      </c>
      <c r="AZ509" s="647">
        <v>353</v>
      </c>
      <c r="BA509" s="647">
        <v>345</v>
      </c>
      <c r="BB509" s="647">
        <v>368</v>
      </c>
      <c r="BC509" s="647">
        <v>386</v>
      </c>
      <c r="BD509" s="647">
        <v>340</v>
      </c>
      <c r="BE509" s="647">
        <v>284</v>
      </c>
      <c r="BF509" s="647">
        <v>280</v>
      </c>
      <c r="BG509" s="647">
        <v>319</v>
      </c>
      <c r="BH509" s="647">
        <v>331</v>
      </c>
      <c r="BI509" s="647">
        <v>303</v>
      </c>
      <c r="BJ509" s="647">
        <v>340</v>
      </c>
      <c r="BK509" s="647">
        <v>362</v>
      </c>
      <c r="BL509" s="647">
        <v>394</v>
      </c>
      <c r="BM509" s="647">
        <v>378</v>
      </c>
      <c r="BN509" s="647">
        <v>423</v>
      </c>
      <c r="BO509" s="647">
        <v>387</v>
      </c>
      <c r="BP509" s="647">
        <v>385</v>
      </c>
      <c r="BQ509" s="647">
        <v>419</v>
      </c>
      <c r="BR509" s="647">
        <v>416</v>
      </c>
      <c r="BS509" s="647">
        <v>421</v>
      </c>
      <c r="BT509" s="647">
        <v>381</v>
      </c>
      <c r="BU509" s="647">
        <v>405</v>
      </c>
      <c r="BV509" s="647">
        <v>379</v>
      </c>
      <c r="BW509" s="647">
        <v>383</v>
      </c>
      <c r="BX509" s="647">
        <v>405</v>
      </c>
      <c r="BY509" s="647">
        <v>393</v>
      </c>
      <c r="BZ509" s="647">
        <v>324</v>
      </c>
      <c r="CA509" s="647">
        <v>306</v>
      </c>
      <c r="CB509" s="647">
        <v>295</v>
      </c>
      <c r="CC509" s="647">
        <v>323</v>
      </c>
      <c r="CD509" s="647">
        <v>301</v>
      </c>
      <c r="CE509" s="647">
        <v>295</v>
      </c>
      <c r="CF509" s="647">
        <v>300</v>
      </c>
      <c r="CG509" s="647">
        <v>276</v>
      </c>
      <c r="CH509" s="647">
        <v>314</v>
      </c>
      <c r="CI509" s="647">
        <v>295</v>
      </c>
      <c r="CJ509" s="647">
        <v>264</v>
      </c>
      <c r="CK509" s="647">
        <v>208</v>
      </c>
      <c r="CL509" s="647">
        <v>225</v>
      </c>
      <c r="CM509" s="647">
        <v>219</v>
      </c>
      <c r="CN509" s="647">
        <v>190</v>
      </c>
      <c r="CO509" s="647">
        <v>177</v>
      </c>
      <c r="CP509" s="647">
        <v>123</v>
      </c>
      <c r="CQ509" s="647">
        <v>131</v>
      </c>
      <c r="CR509" s="647">
        <v>119</v>
      </c>
      <c r="CS509" s="647">
        <v>109</v>
      </c>
      <c r="CT509" s="647">
        <v>95</v>
      </c>
      <c r="CU509" s="647">
        <v>84</v>
      </c>
      <c r="CV509" s="647">
        <v>76</v>
      </c>
      <c r="CW509" s="647">
        <v>50</v>
      </c>
      <c r="CX509" s="647">
        <v>44</v>
      </c>
      <c r="CY509" s="647">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
      <c r="A510" s="31" t="s">
        <v>79</v>
      </c>
      <c r="B510" s="1" t="s">
        <v>589</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647">
        <v>377</v>
      </c>
      <c r="N510" s="647">
        <v>383</v>
      </c>
      <c r="O510" s="647">
        <v>404</v>
      </c>
      <c r="P510" s="647">
        <v>394</v>
      </c>
      <c r="Q510" s="647">
        <v>447</v>
      </c>
      <c r="R510" s="647">
        <v>478</v>
      </c>
      <c r="S510" s="647">
        <v>490</v>
      </c>
      <c r="T510" s="647">
        <v>485</v>
      </c>
      <c r="U510" s="647">
        <v>489</v>
      </c>
      <c r="V510" s="647">
        <v>501</v>
      </c>
      <c r="W510" s="647">
        <v>531</v>
      </c>
      <c r="X510" s="647">
        <v>542</v>
      </c>
      <c r="Y510" s="647">
        <v>515</v>
      </c>
      <c r="Z510" s="647">
        <v>563</v>
      </c>
      <c r="AA510" s="647">
        <v>550</v>
      </c>
      <c r="AB510" s="647">
        <v>559</v>
      </c>
      <c r="AC510" s="647">
        <v>524</v>
      </c>
      <c r="AD510" s="647">
        <v>545</v>
      </c>
      <c r="AE510" s="647">
        <v>490</v>
      </c>
      <c r="AF510" s="647">
        <v>319</v>
      </c>
      <c r="AG510" s="647">
        <v>335</v>
      </c>
      <c r="AH510" s="647">
        <v>372</v>
      </c>
      <c r="AI510" s="647">
        <v>418</v>
      </c>
      <c r="AJ510" s="647">
        <v>441</v>
      </c>
      <c r="AK510" s="647">
        <v>398</v>
      </c>
      <c r="AL510" s="647">
        <v>495</v>
      </c>
      <c r="AM510" s="647">
        <v>449</v>
      </c>
      <c r="AN510" s="647">
        <v>462</v>
      </c>
      <c r="AO510" s="647">
        <v>457</v>
      </c>
      <c r="AP510" s="647">
        <v>442</v>
      </c>
      <c r="AQ510" s="647">
        <v>500</v>
      </c>
      <c r="AR510" s="647">
        <v>537</v>
      </c>
      <c r="AS510" s="647">
        <v>477</v>
      </c>
      <c r="AT510" s="647">
        <v>516</v>
      </c>
      <c r="AU510" s="647">
        <v>453</v>
      </c>
      <c r="AV510" s="647">
        <v>485</v>
      </c>
      <c r="AW510" s="647">
        <v>490</v>
      </c>
      <c r="AX510" s="647">
        <v>484</v>
      </c>
      <c r="AY510" s="647">
        <v>482</v>
      </c>
      <c r="AZ510" s="647">
        <v>486</v>
      </c>
      <c r="BA510" s="647">
        <v>499</v>
      </c>
      <c r="BB510" s="647">
        <v>471</v>
      </c>
      <c r="BC510" s="647">
        <v>509</v>
      </c>
      <c r="BD510" s="647">
        <v>520</v>
      </c>
      <c r="BE510" s="647">
        <v>463</v>
      </c>
      <c r="BF510" s="647">
        <v>519</v>
      </c>
      <c r="BG510" s="647">
        <v>496</v>
      </c>
      <c r="BH510" s="647">
        <v>549</v>
      </c>
      <c r="BI510" s="647">
        <v>538</v>
      </c>
      <c r="BJ510" s="647">
        <v>592</v>
      </c>
      <c r="BK510" s="647">
        <v>667</v>
      </c>
      <c r="BL510" s="647">
        <v>708</v>
      </c>
      <c r="BM510" s="647">
        <v>648</v>
      </c>
      <c r="BN510" s="647">
        <v>693</v>
      </c>
      <c r="BO510" s="647">
        <v>749</v>
      </c>
      <c r="BP510" s="647">
        <v>752</v>
      </c>
      <c r="BQ510" s="647">
        <v>784</v>
      </c>
      <c r="BR510" s="647">
        <v>766</v>
      </c>
      <c r="BS510" s="647">
        <v>756</v>
      </c>
      <c r="BT510" s="647">
        <v>782</v>
      </c>
      <c r="BU510" s="647">
        <v>721</v>
      </c>
      <c r="BV510" s="647">
        <v>717</v>
      </c>
      <c r="BW510" s="647">
        <v>665</v>
      </c>
      <c r="BX510" s="647">
        <v>635</v>
      </c>
      <c r="BY510" s="647">
        <v>685</v>
      </c>
      <c r="BZ510" s="647">
        <v>628</v>
      </c>
      <c r="CA510" s="647">
        <v>575</v>
      </c>
      <c r="CB510" s="647">
        <v>602</v>
      </c>
      <c r="CC510" s="647">
        <v>554</v>
      </c>
      <c r="CD510" s="647">
        <v>603</v>
      </c>
      <c r="CE510" s="647">
        <v>611</v>
      </c>
      <c r="CF510" s="647">
        <v>578</v>
      </c>
      <c r="CG510" s="647">
        <v>625</v>
      </c>
      <c r="CH510" s="647">
        <v>605</v>
      </c>
      <c r="CI510" s="647">
        <v>606</v>
      </c>
      <c r="CJ510" s="647">
        <v>658</v>
      </c>
      <c r="CK510" s="647">
        <v>487</v>
      </c>
      <c r="CL510" s="647">
        <v>470</v>
      </c>
      <c r="CM510" s="647">
        <v>490</v>
      </c>
      <c r="CN510" s="647">
        <v>437</v>
      </c>
      <c r="CO510" s="647">
        <v>368</v>
      </c>
      <c r="CP510" s="647">
        <v>310</v>
      </c>
      <c r="CQ510" s="647">
        <v>342</v>
      </c>
      <c r="CR510" s="647">
        <v>275</v>
      </c>
      <c r="CS510" s="647">
        <v>241</v>
      </c>
      <c r="CT510" s="647">
        <v>224</v>
      </c>
      <c r="CU510" s="647">
        <v>217</v>
      </c>
      <c r="CV510" s="647">
        <v>168</v>
      </c>
      <c r="CW510" s="647">
        <v>170</v>
      </c>
      <c r="CX510" s="647">
        <v>145</v>
      </c>
      <c r="CY510" s="647">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
      <c r="A511" s="31" t="s">
        <v>79</v>
      </c>
      <c r="B511" s="1" t="s">
        <v>590</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647">
        <v>636</v>
      </c>
      <c r="N511" s="647">
        <v>642</v>
      </c>
      <c r="O511" s="647">
        <v>647</v>
      </c>
      <c r="P511" s="647">
        <v>707</v>
      </c>
      <c r="Q511" s="647">
        <v>762</v>
      </c>
      <c r="R511" s="647">
        <v>761</v>
      </c>
      <c r="S511" s="647">
        <v>825</v>
      </c>
      <c r="T511" s="647">
        <v>811</v>
      </c>
      <c r="U511" s="647">
        <v>818</v>
      </c>
      <c r="V511" s="647">
        <v>783</v>
      </c>
      <c r="W511" s="647">
        <v>915</v>
      </c>
      <c r="X511" s="647">
        <v>922</v>
      </c>
      <c r="Y511" s="647">
        <v>869</v>
      </c>
      <c r="Z511" s="647">
        <v>864</v>
      </c>
      <c r="AA511" s="647">
        <v>873</v>
      </c>
      <c r="AB511" s="647">
        <v>854</v>
      </c>
      <c r="AC511" s="647">
        <v>858</v>
      </c>
      <c r="AD511" s="647">
        <v>823</v>
      </c>
      <c r="AE511" s="647">
        <v>958</v>
      </c>
      <c r="AF511" s="647">
        <v>1502</v>
      </c>
      <c r="AG511" s="647">
        <v>878</v>
      </c>
      <c r="AH511" s="647">
        <v>667</v>
      </c>
      <c r="AI511" s="647">
        <v>607</v>
      </c>
      <c r="AJ511" s="647">
        <v>701</v>
      </c>
      <c r="AK511" s="647">
        <v>688</v>
      </c>
      <c r="AL511" s="647">
        <v>776</v>
      </c>
      <c r="AM511" s="647">
        <v>789</v>
      </c>
      <c r="AN511" s="647">
        <v>806</v>
      </c>
      <c r="AO511" s="647">
        <v>797</v>
      </c>
      <c r="AP511" s="647">
        <v>829</v>
      </c>
      <c r="AQ511" s="647">
        <v>904</v>
      </c>
      <c r="AR511" s="647">
        <v>851</v>
      </c>
      <c r="AS511" s="647">
        <v>855</v>
      </c>
      <c r="AT511" s="647">
        <v>855</v>
      </c>
      <c r="AU511" s="647">
        <v>825</v>
      </c>
      <c r="AV511" s="647">
        <v>845</v>
      </c>
      <c r="AW511" s="647">
        <v>903</v>
      </c>
      <c r="AX511" s="647">
        <v>859</v>
      </c>
      <c r="AY511" s="647">
        <v>868</v>
      </c>
      <c r="AZ511" s="647">
        <v>830</v>
      </c>
      <c r="BA511" s="647">
        <v>830</v>
      </c>
      <c r="BB511" s="647">
        <v>850</v>
      </c>
      <c r="BC511" s="647">
        <v>826</v>
      </c>
      <c r="BD511" s="647">
        <v>853</v>
      </c>
      <c r="BE511" s="647">
        <v>809</v>
      </c>
      <c r="BF511" s="647">
        <v>756</v>
      </c>
      <c r="BG511" s="647">
        <v>746</v>
      </c>
      <c r="BH511" s="647">
        <v>825</v>
      </c>
      <c r="BI511" s="647">
        <v>777</v>
      </c>
      <c r="BJ511" s="647">
        <v>849</v>
      </c>
      <c r="BK511" s="647">
        <v>862</v>
      </c>
      <c r="BL511" s="647">
        <v>954</v>
      </c>
      <c r="BM511" s="647">
        <v>904</v>
      </c>
      <c r="BN511" s="647">
        <v>948</v>
      </c>
      <c r="BO511" s="647">
        <v>1003</v>
      </c>
      <c r="BP511" s="647">
        <v>945</v>
      </c>
      <c r="BQ511" s="647">
        <v>984</v>
      </c>
      <c r="BR511" s="647">
        <v>991</v>
      </c>
      <c r="BS511" s="647">
        <v>1043</v>
      </c>
      <c r="BT511" s="647">
        <v>992</v>
      </c>
      <c r="BU511" s="647">
        <v>975</v>
      </c>
      <c r="BV511" s="647">
        <v>943</v>
      </c>
      <c r="BW511" s="647">
        <v>960</v>
      </c>
      <c r="BX511" s="647">
        <v>888</v>
      </c>
      <c r="BY511" s="647">
        <v>1006</v>
      </c>
      <c r="BZ511" s="647">
        <v>870</v>
      </c>
      <c r="CA511" s="647">
        <v>796</v>
      </c>
      <c r="CB511" s="647">
        <v>802</v>
      </c>
      <c r="CC511" s="647">
        <v>793</v>
      </c>
      <c r="CD511" s="647">
        <v>815</v>
      </c>
      <c r="CE511" s="647">
        <v>772</v>
      </c>
      <c r="CF511" s="647">
        <v>725</v>
      </c>
      <c r="CG511" s="647">
        <v>778</v>
      </c>
      <c r="CH511" s="647">
        <v>746</v>
      </c>
      <c r="CI511" s="647">
        <v>847</v>
      </c>
      <c r="CJ511" s="647">
        <v>799</v>
      </c>
      <c r="CK511" s="647">
        <v>579</v>
      </c>
      <c r="CL511" s="647">
        <v>577</v>
      </c>
      <c r="CM511" s="647">
        <v>556</v>
      </c>
      <c r="CN511" s="647">
        <v>505</v>
      </c>
      <c r="CO511" s="647">
        <v>452</v>
      </c>
      <c r="CP511" s="647">
        <v>360</v>
      </c>
      <c r="CQ511" s="647">
        <v>384</v>
      </c>
      <c r="CR511" s="647">
        <v>318</v>
      </c>
      <c r="CS511" s="647">
        <v>294</v>
      </c>
      <c r="CT511" s="647">
        <v>260</v>
      </c>
      <c r="CU511" s="647">
        <v>226</v>
      </c>
      <c r="CV511" s="647">
        <v>183</v>
      </c>
      <c r="CW511" s="647">
        <v>177</v>
      </c>
      <c r="CX511" s="647">
        <v>127</v>
      </c>
      <c r="CY511" s="647">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
      <c r="A512" s="31" t="s">
        <v>79</v>
      </c>
      <c r="B512" s="1" t="s">
        <v>591</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647">
        <v>1002</v>
      </c>
      <c r="N512" s="647">
        <v>958</v>
      </c>
      <c r="O512" s="647">
        <v>993</v>
      </c>
      <c r="P512" s="647">
        <v>1033</v>
      </c>
      <c r="Q512" s="647">
        <v>1002</v>
      </c>
      <c r="R512" s="647">
        <v>1014</v>
      </c>
      <c r="S512" s="647">
        <v>1196</v>
      </c>
      <c r="T512" s="647">
        <v>1083</v>
      </c>
      <c r="U512" s="647">
        <v>1043</v>
      </c>
      <c r="V512" s="647">
        <v>1089</v>
      </c>
      <c r="W512" s="647">
        <v>1039</v>
      </c>
      <c r="X512" s="647">
        <v>1059</v>
      </c>
      <c r="Y512" s="647">
        <v>1048</v>
      </c>
      <c r="Z512" s="647">
        <v>1123</v>
      </c>
      <c r="AA512" s="647">
        <v>1128</v>
      </c>
      <c r="AB512" s="647">
        <v>945</v>
      </c>
      <c r="AC512" s="647">
        <v>940</v>
      </c>
      <c r="AD512" s="647">
        <v>952</v>
      </c>
      <c r="AE512" s="647">
        <v>969</v>
      </c>
      <c r="AF512" s="647">
        <v>782</v>
      </c>
      <c r="AG512" s="647">
        <v>699</v>
      </c>
      <c r="AH512" s="647">
        <v>774</v>
      </c>
      <c r="AI512" s="647">
        <v>881</v>
      </c>
      <c r="AJ512" s="647">
        <v>985</v>
      </c>
      <c r="AK512" s="647">
        <v>959</v>
      </c>
      <c r="AL512" s="647">
        <v>1027</v>
      </c>
      <c r="AM512" s="647">
        <v>1005</v>
      </c>
      <c r="AN512" s="647">
        <v>1020</v>
      </c>
      <c r="AO512" s="647">
        <v>1076</v>
      </c>
      <c r="AP512" s="647">
        <v>1245</v>
      </c>
      <c r="AQ512" s="647">
        <v>1220</v>
      </c>
      <c r="AR512" s="647">
        <v>1265</v>
      </c>
      <c r="AS512" s="647">
        <v>1169</v>
      </c>
      <c r="AT512" s="647">
        <v>1279</v>
      </c>
      <c r="AU512" s="647">
        <v>1332</v>
      </c>
      <c r="AV512" s="647">
        <v>1215</v>
      </c>
      <c r="AW512" s="647">
        <v>1185</v>
      </c>
      <c r="AX512" s="647">
        <v>1259</v>
      </c>
      <c r="AY512" s="647">
        <v>1143</v>
      </c>
      <c r="AZ512" s="647">
        <v>1017</v>
      </c>
      <c r="BA512" s="647">
        <v>1038</v>
      </c>
      <c r="BB512" s="647">
        <v>1044</v>
      </c>
      <c r="BC512" s="647">
        <v>1120</v>
      </c>
      <c r="BD512" s="647">
        <v>1055</v>
      </c>
      <c r="BE512" s="647">
        <v>942</v>
      </c>
      <c r="BF512" s="647">
        <v>907</v>
      </c>
      <c r="BG512" s="647">
        <v>917</v>
      </c>
      <c r="BH512" s="647">
        <v>953</v>
      </c>
      <c r="BI512" s="647">
        <v>944</v>
      </c>
      <c r="BJ512" s="647">
        <v>996</v>
      </c>
      <c r="BK512" s="647">
        <v>980</v>
      </c>
      <c r="BL512" s="647">
        <v>1095</v>
      </c>
      <c r="BM512" s="647">
        <v>1067</v>
      </c>
      <c r="BN512" s="647">
        <v>1100</v>
      </c>
      <c r="BO512" s="647">
        <v>948</v>
      </c>
      <c r="BP512" s="647">
        <v>1070</v>
      </c>
      <c r="BQ512" s="647">
        <v>1067</v>
      </c>
      <c r="BR512" s="647">
        <v>1053</v>
      </c>
      <c r="BS512" s="647">
        <v>1041</v>
      </c>
      <c r="BT512" s="647">
        <v>1021</v>
      </c>
      <c r="BU512" s="647">
        <v>935</v>
      </c>
      <c r="BV512" s="647">
        <v>982</v>
      </c>
      <c r="BW512" s="647">
        <v>893</v>
      </c>
      <c r="BX512" s="647">
        <v>964</v>
      </c>
      <c r="BY512" s="647">
        <v>829</v>
      </c>
      <c r="BZ512" s="647">
        <v>800</v>
      </c>
      <c r="CA512" s="647">
        <v>680</v>
      </c>
      <c r="CB512" s="647">
        <v>675</v>
      </c>
      <c r="CC512" s="647">
        <v>724</v>
      </c>
      <c r="CD512" s="647">
        <v>751</v>
      </c>
      <c r="CE512" s="647">
        <v>678</v>
      </c>
      <c r="CF512" s="647">
        <v>607</v>
      </c>
      <c r="CG512" s="647">
        <v>654</v>
      </c>
      <c r="CH512" s="647">
        <v>620</v>
      </c>
      <c r="CI512" s="647">
        <v>701</v>
      </c>
      <c r="CJ512" s="647">
        <v>753</v>
      </c>
      <c r="CK512" s="647">
        <v>517</v>
      </c>
      <c r="CL512" s="647">
        <v>519</v>
      </c>
      <c r="CM512" s="647">
        <v>492</v>
      </c>
      <c r="CN512" s="647">
        <v>470</v>
      </c>
      <c r="CO512" s="647">
        <v>374</v>
      </c>
      <c r="CP512" s="647">
        <v>319</v>
      </c>
      <c r="CQ512" s="647">
        <v>324</v>
      </c>
      <c r="CR512" s="647">
        <v>314</v>
      </c>
      <c r="CS512" s="647">
        <v>256</v>
      </c>
      <c r="CT512" s="647">
        <v>240</v>
      </c>
      <c r="CU512" s="647">
        <v>230</v>
      </c>
      <c r="CV512" s="647">
        <v>172</v>
      </c>
      <c r="CW512" s="647">
        <v>142</v>
      </c>
      <c r="CX512" s="647">
        <v>117</v>
      </c>
      <c r="CY512" s="647">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
      <c r="A513" s="31" t="s">
        <v>79</v>
      </c>
      <c r="B513" s="1" t="s">
        <v>592</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647">
        <v>547</v>
      </c>
      <c r="N513" s="647">
        <v>541</v>
      </c>
      <c r="O513" s="647">
        <v>560</v>
      </c>
      <c r="P513" s="647">
        <v>587</v>
      </c>
      <c r="Q513" s="647">
        <v>646</v>
      </c>
      <c r="R513" s="647">
        <v>630</v>
      </c>
      <c r="S513" s="647">
        <v>657</v>
      </c>
      <c r="T513" s="647">
        <v>695</v>
      </c>
      <c r="U513" s="647">
        <v>700</v>
      </c>
      <c r="V513" s="647">
        <v>693</v>
      </c>
      <c r="W513" s="647">
        <v>704</v>
      </c>
      <c r="X513" s="647">
        <v>745</v>
      </c>
      <c r="Y513" s="647">
        <v>723</v>
      </c>
      <c r="Z513" s="647">
        <v>691</v>
      </c>
      <c r="AA513" s="647">
        <v>785</v>
      </c>
      <c r="AB513" s="647">
        <v>690</v>
      </c>
      <c r="AC513" s="647">
        <v>779</v>
      </c>
      <c r="AD513" s="647">
        <v>726</v>
      </c>
      <c r="AE513" s="647">
        <v>659</v>
      </c>
      <c r="AF513" s="647">
        <v>545</v>
      </c>
      <c r="AG513" s="647">
        <v>505</v>
      </c>
      <c r="AH513" s="647">
        <v>573</v>
      </c>
      <c r="AI513" s="647">
        <v>608</v>
      </c>
      <c r="AJ513" s="647">
        <v>603</v>
      </c>
      <c r="AK513" s="647">
        <v>650</v>
      </c>
      <c r="AL513" s="647">
        <v>681</v>
      </c>
      <c r="AM513" s="647">
        <v>604</v>
      </c>
      <c r="AN513" s="647">
        <v>539</v>
      </c>
      <c r="AO513" s="647">
        <v>615</v>
      </c>
      <c r="AP513" s="647">
        <v>649</v>
      </c>
      <c r="AQ513" s="647">
        <v>715</v>
      </c>
      <c r="AR513" s="647">
        <v>687</v>
      </c>
      <c r="AS513" s="647">
        <v>631</v>
      </c>
      <c r="AT513" s="647">
        <v>601</v>
      </c>
      <c r="AU513" s="647">
        <v>686</v>
      </c>
      <c r="AV513" s="647">
        <v>659</v>
      </c>
      <c r="AW513" s="647">
        <v>623</v>
      </c>
      <c r="AX513" s="647">
        <v>623</v>
      </c>
      <c r="AY513" s="647">
        <v>614</v>
      </c>
      <c r="AZ513" s="647">
        <v>608</v>
      </c>
      <c r="BA513" s="647">
        <v>609</v>
      </c>
      <c r="BB513" s="647">
        <v>629</v>
      </c>
      <c r="BC513" s="647">
        <v>647</v>
      </c>
      <c r="BD513" s="647">
        <v>626</v>
      </c>
      <c r="BE513" s="647">
        <v>583</v>
      </c>
      <c r="BF513" s="647">
        <v>542</v>
      </c>
      <c r="BG513" s="647">
        <v>580</v>
      </c>
      <c r="BH513" s="647">
        <v>603</v>
      </c>
      <c r="BI513" s="647">
        <v>639</v>
      </c>
      <c r="BJ513" s="647">
        <v>703</v>
      </c>
      <c r="BK513" s="647">
        <v>754</v>
      </c>
      <c r="BL513" s="647">
        <v>757</v>
      </c>
      <c r="BM513" s="647">
        <v>818</v>
      </c>
      <c r="BN513" s="647">
        <v>808</v>
      </c>
      <c r="BO513" s="647">
        <v>855</v>
      </c>
      <c r="BP513" s="647">
        <v>905</v>
      </c>
      <c r="BQ513" s="647">
        <v>926</v>
      </c>
      <c r="BR513" s="647">
        <v>915</v>
      </c>
      <c r="BS513" s="647">
        <v>887</v>
      </c>
      <c r="BT513" s="647">
        <v>1009</v>
      </c>
      <c r="BU513" s="647">
        <v>967</v>
      </c>
      <c r="BV513" s="647">
        <v>914</v>
      </c>
      <c r="BW513" s="647">
        <v>904</v>
      </c>
      <c r="BX513" s="647">
        <v>952</v>
      </c>
      <c r="BY513" s="647">
        <v>893</v>
      </c>
      <c r="BZ513" s="647">
        <v>866</v>
      </c>
      <c r="CA513" s="647">
        <v>855</v>
      </c>
      <c r="CB513" s="647">
        <v>857</v>
      </c>
      <c r="CC513" s="647">
        <v>882</v>
      </c>
      <c r="CD513" s="647">
        <v>875</v>
      </c>
      <c r="CE513" s="647">
        <v>807</v>
      </c>
      <c r="CF513" s="647">
        <v>838</v>
      </c>
      <c r="CG513" s="647">
        <v>832</v>
      </c>
      <c r="CH513" s="647">
        <v>800</v>
      </c>
      <c r="CI513" s="647">
        <v>838</v>
      </c>
      <c r="CJ513" s="647">
        <v>882</v>
      </c>
      <c r="CK513" s="647">
        <v>614</v>
      </c>
      <c r="CL513" s="647">
        <v>659</v>
      </c>
      <c r="CM513" s="647">
        <v>627</v>
      </c>
      <c r="CN513" s="647">
        <v>545</v>
      </c>
      <c r="CO513" s="647">
        <v>490</v>
      </c>
      <c r="CP513" s="647">
        <v>469</v>
      </c>
      <c r="CQ513" s="647">
        <v>418</v>
      </c>
      <c r="CR513" s="647">
        <v>376</v>
      </c>
      <c r="CS513" s="647">
        <v>328</v>
      </c>
      <c r="CT513" s="647">
        <v>268</v>
      </c>
      <c r="CU513" s="647">
        <v>254</v>
      </c>
      <c r="CV513" s="647">
        <v>224</v>
      </c>
      <c r="CW513" s="647">
        <v>142</v>
      </c>
      <c r="CX513" s="647">
        <v>181</v>
      </c>
      <c r="CY513" s="647">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
      <c r="A514" s="31" t="s">
        <v>79</v>
      </c>
      <c r="B514" s="1" t="s">
        <v>593</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647">
        <v>542</v>
      </c>
      <c r="N514" s="647">
        <v>558</v>
      </c>
      <c r="O514" s="647">
        <v>557</v>
      </c>
      <c r="P514" s="647">
        <v>623</v>
      </c>
      <c r="Q514" s="647">
        <v>680</v>
      </c>
      <c r="R514" s="647">
        <v>640</v>
      </c>
      <c r="S514" s="647">
        <v>636</v>
      </c>
      <c r="T514" s="647">
        <v>702</v>
      </c>
      <c r="U514" s="647">
        <v>710</v>
      </c>
      <c r="V514" s="647">
        <v>708</v>
      </c>
      <c r="W514" s="647">
        <v>684</v>
      </c>
      <c r="X514" s="647">
        <v>699</v>
      </c>
      <c r="Y514" s="647">
        <v>687</v>
      </c>
      <c r="Z514" s="647">
        <v>724</v>
      </c>
      <c r="AA514" s="647">
        <v>813</v>
      </c>
      <c r="AB514" s="647">
        <v>726</v>
      </c>
      <c r="AC514" s="647">
        <v>720</v>
      </c>
      <c r="AD514" s="647">
        <v>759</v>
      </c>
      <c r="AE514" s="647">
        <v>677</v>
      </c>
      <c r="AF514" s="647">
        <v>546</v>
      </c>
      <c r="AG514" s="647">
        <v>497</v>
      </c>
      <c r="AH514" s="647">
        <v>540</v>
      </c>
      <c r="AI514" s="647">
        <v>576</v>
      </c>
      <c r="AJ514" s="647">
        <v>708</v>
      </c>
      <c r="AK514" s="647">
        <v>659</v>
      </c>
      <c r="AL514" s="647">
        <v>640</v>
      </c>
      <c r="AM514" s="647">
        <v>700</v>
      </c>
      <c r="AN514" s="647">
        <v>643</v>
      </c>
      <c r="AO514" s="647">
        <v>676</v>
      </c>
      <c r="AP514" s="647">
        <v>655</v>
      </c>
      <c r="AQ514" s="647">
        <v>689</v>
      </c>
      <c r="AR514" s="647">
        <v>681</v>
      </c>
      <c r="AS514" s="647">
        <v>678</v>
      </c>
      <c r="AT514" s="647">
        <v>691</v>
      </c>
      <c r="AU514" s="647">
        <v>706</v>
      </c>
      <c r="AV514" s="647">
        <v>621</v>
      </c>
      <c r="AW514" s="647">
        <v>641</v>
      </c>
      <c r="AX514" s="647">
        <v>683</v>
      </c>
      <c r="AY514" s="647">
        <v>629</v>
      </c>
      <c r="AZ514" s="647">
        <v>628</v>
      </c>
      <c r="BA514" s="647">
        <v>668</v>
      </c>
      <c r="BB514" s="647">
        <v>643</v>
      </c>
      <c r="BC514" s="647">
        <v>674</v>
      </c>
      <c r="BD514" s="647">
        <v>652</v>
      </c>
      <c r="BE514" s="647">
        <v>622</v>
      </c>
      <c r="BF514" s="647">
        <v>638</v>
      </c>
      <c r="BG514" s="647">
        <v>646</v>
      </c>
      <c r="BH514" s="647">
        <v>721</v>
      </c>
      <c r="BI514" s="647">
        <v>733</v>
      </c>
      <c r="BJ514" s="647">
        <v>732</v>
      </c>
      <c r="BK514" s="647">
        <v>904</v>
      </c>
      <c r="BL514" s="647">
        <v>916</v>
      </c>
      <c r="BM514" s="647">
        <v>874</v>
      </c>
      <c r="BN514" s="647">
        <v>967</v>
      </c>
      <c r="BO514" s="647">
        <v>918</v>
      </c>
      <c r="BP514" s="647">
        <v>1049</v>
      </c>
      <c r="BQ514" s="647">
        <v>1027</v>
      </c>
      <c r="BR514" s="647">
        <v>1085</v>
      </c>
      <c r="BS514" s="647">
        <v>1055</v>
      </c>
      <c r="BT514" s="647">
        <v>1079</v>
      </c>
      <c r="BU514" s="647">
        <v>1083</v>
      </c>
      <c r="BV514" s="647">
        <v>1072</v>
      </c>
      <c r="BW514" s="647">
        <v>1062</v>
      </c>
      <c r="BX514" s="647">
        <v>1068</v>
      </c>
      <c r="BY514" s="647">
        <v>970</v>
      </c>
      <c r="BZ514" s="647">
        <v>1004</v>
      </c>
      <c r="CA514" s="647">
        <v>1048</v>
      </c>
      <c r="CB514" s="647">
        <v>920</v>
      </c>
      <c r="CC514" s="647">
        <v>981</v>
      </c>
      <c r="CD514" s="647">
        <v>986</v>
      </c>
      <c r="CE514" s="647">
        <v>946</v>
      </c>
      <c r="CF514" s="647">
        <v>909</v>
      </c>
      <c r="CG514" s="647">
        <v>957</v>
      </c>
      <c r="CH514" s="647">
        <v>966</v>
      </c>
      <c r="CI514" s="647">
        <v>1053</v>
      </c>
      <c r="CJ514" s="647">
        <v>1016</v>
      </c>
      <c r="CK514" s="647">
        <v>762</v>
      </c>
      <c r="CL514" s="647">
        <v>697</v>
      </c>
      <c r="CM514" s="647">
        <v>815</v>
      </c>
      <c r="CN514" s="647">
        <v>676</v>
      </c>
      <c r="CO514" s="647">
        <v>565</v>
      </c>
      <c r="CP514" s="647">
        <v>480</v>
      </c>
      <c r="CQ514" s="647">
        <v>484</v>
      </c>
      <c r="CR514" s="647">
        <v>421</v>
      </c>
      <c r="CS514" s="647">
        <v>402</v>
      </c>
      <c r="CT514" s="647">
        <v>348</v>
      </c>
      <c r="CU514" s="647">
        <v>295</v>
      </c>
      <c r="CV514" s="647">
        <v>283</v>
      </c>
      <c r="CW514" s="647">
        <v>234</v>
      </c>
      <c r="CX514" s="647">
        <v>151</v>
      </c>
      <c r="CY514" s="647">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
      <c r="A515" s="31" t="s">
        <v>79</v>
      </c>
      <c r="B515" s="1" t="s">
        <v>594</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647">
        <v>1182</v>
      </c>
      <c r="N515" s="647">
        <v>1192</v>
      </c>
      <c r="O515" s="647">
        <v>1246</v>
      </c>
      <c r="P515" s="647">
        <v>1330</v>
      </c>
      <c r="Q515" s="647">
        <v>1390</v>
      </c>
      <c r="R515" s="647">
        <v>1335</v>
      </c>
      <c r="S515" s="647">
        <v>1349</v>
      </c>
      <c r="T515" s="647">
        <v>1424</v>
      </c>
      <c r="U515" s="647">
        <v>1454</v>
      </c>
      <c r="V515" s="647">
        <v>1448</v>
      </c>
      <c r="W515" s="647">
        <v>1470</v>
      </c>
      <c r="X515" s="647">
        <v>1500</v>
      </c>
      <c r="Y515" s="647">
        <v>1414</v>
      </c>
      <c r="Z515" s="647">
        <v>1599</v>
      </c>
      <c r="AA515" s="647">
        <v>1471</v>
      </c>
      <c r="AB515" s="647">
        <v>1487</v>
      </c>
      <c r="AC515" s="647">
        <v>1400</v>
      </c>
      <c r="AD515" s="647">
        <v>1425</v>
      </c>
      <c r="AE515" s="647">
        <v>1383</v>
      </c>
      <c r="AF515" s="647">
        <v>1430</v>
      </c>
      <c r="AG515" s="647">
        <v>1361</v>
      </c>
      <c r="AH515" s="647">
        <v>1470</v>
      </c>
      <c r="AI515" s="647">
        <v>1333</v>
      </c>
      <c r="AJ515" s="647">
        <v>1508</v>
      </c>
      <c r="AK515" s="647">
        <v>1349</v>
      </c>
      <c r="AL515" s="647">
        <v>1510</v>
      </c>
      <c r="AM515" s="647">
        <v>1397</v>
      </c>
      <c r="AN515" s="647">
        <v>1501</v>
      </c>
      <c r="AO515" s="647">
        <v>1440</v>
      </c>
      <c r="AP515" s="647">
        <v>1561</v>
      </c>
      <c r="AQ515" s="647">
        <v>1531</v>
      </c>
      <c r="AR515" s="647">
        <v>1507</v>
      </c>
      <c r="AS515" s="647">
        <v>1666</v>
      </c>
      <c r="AT515" s="647">
        <v>1646</v>
      </c>
      <c r="AU515" s="647">
        <v>1508</v>
      </c>
      <c r="AV515" s="647">
        <v>1576</v>
      </c>
      <c r="AW515" s="647">
        <v>1511</v>
      </c>
      <c r="AX515" s="647">
        <v>1573</v>
      </c>
      <c r="AY515" s="647">
        <v>1526</v>
      </c>
      <c r="AZ515" s="647">
        <v>1487</v>
      </c>
      <c r="BA515" s="647">
        <v>1448</v>
      </c>
      <c r="BB515" s="647">
        <v>1387</v>
      </c>
      <c r="BC515" s="647">
        <v>1473</v>
      </c>
      <c r="BD515" s="647">
        <v>1436</v>
      </c>
      <c r="BE515" s="647">
        <v>1292</v>
      </c>
      <c r="BF515" s="647">
        <v>1234</v>
      </c>
      <c r="BG515" s="647">
        <v>1228</v>
      </c>
      <c r="BH515" s="647">
        <v>1344</v>
      </c>
      <c r="BI515" s="647">
        <v>1265</v>
      </c>
      <c r="BJ515" s="647">
        <v>1525</v>
      </c>
      <c r="BK515" s="647">
        <v>1616</v>
      </c>
      <c r="BL515" s="647">
        <v>1695</v>
      </c>
      <c r="BM515" s="647">
        <v>1558</v>
      </c>
      <c r="BN515" s="647">
        <v>1611</v>
      </c>
      <c r="BO515" s="647">
        <v>1667</v>
      </c>
      <c r="BP515" s="647">
        <v>1659</v>
      </c>
      <c r="BQ515" s="647">
        <v>1692</v>
      </c>
      <c r="BR515" s="647">
        <v>1734</v>
      </c>
      <c r="BS515" s="647">
        <v>1649</v>
      </c>
      <c r="BT515" s="647">
        <v>1594</v>
      </c>
      <c r="BU515" s="647">
        <v>1607</v>
      </c>
      <c r="BV515" s="647">
        <v>1496</v>
      </c>
      <c r="BW515" s="647">
        <v>1364</v>
      </c>
      <c r="BX515" s="647">
        <v>1434</v>
      </c>
      <c r="BY515" s="647">
        <v>1372</v>
      </c>
      <c r="BZ515" s="647">
        <v>1354</v>
      </c>
      <c r="CA515" s="647">
        <v>1261</v>
      </c>
      <c r="CB515" s="647">
        <v>1184</v>
      </c>
      <c r="CC515" s="647">
        <v>1223</v>
      </c>
      <c r="CD515" s="647">
        <v>1163</v>
      </c>
      <c r="CE515" s="647">
        <v>1238</v>
      </c>
      <c r="CF515" s="647">
        <v>1171</v>
      </c>
      <c r="CG515" s="647">
        <v>1232</v>
      </c>
      <c r="CH515" s="647">
        <v>1244</v>
      </c>
      <c r="CI515" s="647">
        <v>1280</v>
      </c>
      <c r="CJ515" s="647">
        <v>1272</v>
      </c>
      <c r="CK515" s="647">
        <v>1071</v>
      </c>
      <c r="CL515" s="647">
        <v>988</v>
      </c>
      <c r="CM515" s="647">
        <v>843</v>
      </c>
      <c r="CN515" s="647">
        <v>708</v>
      </c>
      <c r="CO515" s="647">
        <v>680</v>
      </c>
      <c r="CP515" s="647">
        <v>591</v>
      </c>
      <c r="CQ515" s="647">
        <v>536</v>
      </c>
      <c r="CR515" s="647">
        <v>480</v>
      </c>
      <c r="CS515" s="647">
        <v>454</v>
      </c>
      <c r="CT515" s="647">
        <v>366</v>
      </c>
      <c r="CU515" s="647">
        <v>342</v>
      </c>
      <c r="CV515" s="647">
        <v>288</v>
      </c>
      <c r="CW515" s="647">
        <v>231</v>
      </c>
      <c r="CX515" s="647">
        <v>183</v>
      </c>
      <c r="CY515" s="647">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
      <c r="A516" s="31" t="s">
        <v>79</v>
      </c>
      <c r="B516" s="1" t="s">
        <v>595</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647">
        <v>1134</v>
      </c>
      <c r="N516" s="647">
        <v>1063</v>
      </c>
      <c r="O516" s="647">
        <v>1133</v>
      </c>
      <c r="P516" s="647">
        <v>1224</v>
      </c>
      <c r="Q516" s="647">
        <v>1266</v>
      </c>
      <c r="R516" s="647">
        <v>1252</v>
      </c>
      <c r="S516" s="647">
        <v>1374</v>
      </c>
      <c r="T516" s="647">
        <v>1363</v>
      </c>
      <c r="U516" s="647">
        <v>1342</v>
      </c>
      <c r="V516" s="647">
        <v>1419</v>
      </c>
      <c r="W516" s="647">
        <v>1459</v>
      </c>
      <c r="X516" s="647">
        <v>1510</v>
      </c>
      <c r="Y516" s="647">
        <v>1407</v>
      </c>
      <c r="Z516" s="647">
        <v>1464</v>
      </c>
      <c r="AA516" s="647">
        <v>1527</v>
      </c>
      <c r="AB516" s="647">
        <v>1392</v>
      </c>
      <c r="AC516" s="647">
        <v>1385</v>
      </c>
      <c r="AD516" s="647">
        <v>1426</v>
      </c>
      <c r="AE516" s="647">
        <v>1459</v>
      </c>
      <c r="AF516" s="647">
        <v>1896</v>
      </c>
      <c r="AG516" s="647">
        <v>2522</v>
      </c>
      <c r="AH516" s="647">
        <v>2615</v>
      </c>
      <c r="AI516" s="647">
        <v>2280</v>
      </c>
      <c r="AJ516" s="647">
        <v>1910</v>
      </c>
      <c r="AK516" s="647">
        <v>1501</v>
      </c>
      <c r="AL516" s="647">
        <v>1507</v>
      </c>
      <c r="AM516" s="647">
        <v>1486</v>
      </c>
      <c r="AN516" s="647">
        <v>1351</v>
      </c>
      <c r="AO516" s="647">
        <v>1422</v>
      </c>
      <c r="AP516" s="647">
        <v>1448</v>
      </c>
      <c r="AQ516" s="647">
        <v>1520</v>
      </c>
      <c r="AR516" s="647">
        <v>1551</v>
      </c>
      <c r="AS516" s="647">
        <v>1644</v>
      </c>
      <c r="AT516" s="647">
        <v>1442</v>
      </c>
      <c r="AU516" s="647">
        <v>1501</v>
      </c>
      <c r="AV516" s="647">
        <v>1514</v>
      </c>
      <c r="AW516" s="647">
        <v>1498</v>
      </c>
      <c r="AX516" s="647">
        <v>1597</v>
      </c>
      <c r="AY516" s="647">
        <v>1396</v>
      </c>
      <c r="AZ516" s="647">
        <v>1455</v>
      </c>
      <c r="BA516" s="647">
        <v>1397</v>
      </c>
      <c r="BB516" s="647">
        <v>1417</v>
      </c>
      <c r="BC516" s="647">
        <v>1584</v>
      </c>
      <c r="BD516" s="647">
        <v>1343</v>
      </c>
      <c r="BE516" s="647">
        <v>1273</v>
      </c>
      <c r="BF516" s="647">
        <v>1289</v>
      </c>
      <c r="BG516" s="647">
        <v>1339</v>
      </c>
      <c r="BH516" s="647">
        <v>1379</v>
      </c>
      <c r="BI516" s="647">
        <v>1335</v>
      </c>
      <c r="BJ516" s="647">
        <v>1336</v>
      </c>
      <c r="BK516" s="647">
        <v>1462</v>
      </c>
      <c r="BL516" s="647">
        <v>1510</v>
      </c>
      <c r="BM516" s="647">
        <v>1509</v>
      </c>
      <c r="BN516" s="647">
        <v>1691</v>
      </c>
      <c r="BO516" s="647">
        <v>1552</v>
      </c>
      <c r="BP516" s="647">
        <v>1528</v>
      </c>
      <c r="BQ516" s="647">
        <v>1522</v>
      </c>
      <c r="BR516" s="647">
        <v>1665</v>
      </c>
      <c r="BS516" s="647">
        <v>1640</v>
      </c>
      <c r="BT516" s="647">
        <v>1484</v>
      </c>
      <c r="BU516" s="647">
        <v>1519</v>
      </c>
      <c r="BV516" s="647">
        <v>1456</v>
      </c>
      <c r="BW516" s="647">
        <v>1447</v>
      </c>
      <c r="BX516" s="647">
        <v>1394</v>
      </c>
      <c r="BY516" s="647">
        <v>1349</v>
      </c>
      <c r="BZ516" s="647">
        <v>1273</v>
      </c>
      <c r="CA516" s="647">
        <v>1240</v>
      </c>
      <c r="CB516" s="647">
        <v>1189</v>
      </c>
      <c r="CC516" s="647">
        <v>1181</v>
      </c>
      <c r="CD516" s="647">
        <v>1218</v>
      </c>
      <c r="CE516" s="647">
        <v>1171</v>
      </c>
      <c r="CF516" s="647">
        <v>1093</v>
      </c>
      <c r="CG516" s="647">
        <v>1212</v>
      </c>
      <c r="CH516" s="647">
        <v>1187</v>
      </c>
      <c r="CI516" s="647">
        <v>1233</v>
      </c>
      <c r="CJ516" s="647">
        <v>1340</v>
      </c>
      <c r="CK516" s="647">
        <v>889</v>
      </c>
      <c r="CL516" s="647">
        <v>905</v>
      </c>
      <c r="CM516" s="647">
        <v>899</v>
      </c>
      <c r="CN516" s="647">
        <v>852</v>
      </c>
      <c r="CO516" s="647">
        <v>748</v>
      </c>
      <c r="CP516" s="647">
        <v>612</v>
      </c>
      <c r="CQ516" s="647">
        <v>591</v>
      </c>
      <c r="CR516" s="647">
        <v>524</v>
      </c>
      <c r="CS516" s="647">
        <v>525</v>
      </c>
      <c r="CT516" s="647">
        <v>455</v>
      </c>
      <c r="CU516" s="647">
        <v>393</v>
      </c>
      <c r="CV516" s="647">
        <v>348</v>
      </c>
      <c r="CW516" s="647">
        <v>276</v>
      </c>
      <c r="CX516" s="647">
        <v>244</v>
      </c>
      <c r="CY516" s="647">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
      <c r="A517" s="31" t="s">
        <v>79</v>
      </c>
      <c r="B517" s="1" t="s">
        <v>596</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647">
        <v>514</v>
      </c>
      <c r="N517" s="647">
        <v>466</v>
      </c>
      <c r="O517" s="647">
        <v>537</v>
      </c>
      <c r="P517" s="647">
        <v>540</v>
      </c>
      <c r="Q517" s="647">
        <v>516</v>
      </c>
      <c r="R517" s="647">
        <v>556</v>
      </c>
      <c r="S517" s="647">
        <v>581</v>
      </c>
      <c r="T517" s="647">
        <v>514</v>
      </c>
      <c r="U517" s="647">
        <v>551</v>
      </c>
      <c r="V517" s="647">
        <v>551</v>
      </c>
      <c r="W517" s="647">
        <v>588</v>
      </c>
      <c r="X517" s="647">
        <v>600</v>
      </c>
      <c r="Y517" s="647">
        <v>586</v>
      </c>
      <c r="Z517" s="647">
        <v>625</v>
      </c>
      <c r="AA517" s="647">
        <v>581</v>
      </c>
      <c r="AB517" s="647">
        <v>557</v>
      </c>
      <c r="AC517" s="647">
        <v>592</v>
      </c>
      <c r="AD517" s="647">
        <v>585</v>
      </c>
      <c r="AE517" s="647">
        <v>488</v>
      </c>
      <c r="AF517" s="647">
        <v>425</v>
      </c>
      <c r="AG517" s="647">
        <v>404</v>
      </c>
      <c r="AH517" s="647">
        <v>418</v>
      </c>
      <c r="AI517" s="647">
        <v>438</v>
      </c>
      <c r="AJ517" s="647">
        <v>462</v>
      </c>
      <c r="AK517" s="647">
        <v>507</v>
      </c>
      <c r="AL517" s="647">
        <v>598</v>
      </c>
      <c r="AM517" s="647">
        <v>533</v>
      </c>
      <c r="AN517" s="647">
        <v>576</v>
      </c>
      <c r="AO517" s="647">
        <v>555</v>
      </c>
      <c r="AP517" s="647">
        <v>540</v>
      </c>
      <c r="AQ517" s="647">
        <v>596</v>
      </c>
      <c r="AR517" s="647">
        <v>615</v>
      </c>
      <c r="AS517" s="647">
        <v>622</v>
      </c>
      <c r="AT517" s="647">
        <v>617</v>
      </c>
      <c r="AU517" s="647">
        <v>553</v>
      </c>
      <c r="AV517" s="647">
        <v>586</v>
      </c>
      <c r="AW517" s="647">
        <v>593</v>
      </c>
      <c r="AX517" s="647">
        <v>574</v>
      </c>
      <c r="AY517" s="647">
        <v>532</v>
      </c>
      <c r="AZ517" s="647">
        <v>548</v>
      </c>
      <c r="BA517" s="647">
        <v>555</v>
      </c>
      <c r="BB517" s="647">
        <v>493</v>
      </c>
      <c r="BC517" s="647">
        <v>523</v>
      </c>
      <c r="BD517" s="647">
        <v>539</v>
      </c>
      <c r="BE517" s="647">
        <v>428</v>
      </c>
      <c r="BF517" s="647">
        <v>504</v>
      </c>
      <c r="BG517" s="647">
        <v>432</v>
      </c>
      <c r="BH517" s="647">
        <v>497</v>
      </c>
      <c r="BI517" s="647">
        <v>493</v>
      </c>
      <c r="BJ517" s="647">
        <v>561</v>
      </c>
      <c r="BK517" s="647">
        <v>569</v>
      </c>
      <c r="BL517" s="647">
        <v>636</v>
      </c>
      <c r="BM517" s="647">
        <v>634</v>
      </c>
      <c r="BN517" s="647">
        <v>601</v>
      </c>
      <c r="BO517" s="647">
        <v>597</v>
      </c>
      <c r="BP517" s="647">
        <v>623</v>
      </c>
      <c r="BQ517" s="647">
        <v>631</v>
      </c>
      <c r="BR517" s="647">
        <v>707</v>
      </c>
      <c r="BS517" s="647">
        <v>646</v>
      </c>
      <c r="BT517" s="647">
        <v>672</v>
      </c>
      <c r="BU517" s="647">
        <v>661</v>
      </c>
      <c r="BV517" s="647">
        <v>655</v>
      </c>
      <c r="BW517" s="647">
        <v>574</v>
      </c>
      <c r="BX517" s="647">
        <v>580</v>
      </c>
      <c r="BY517" s="647">
        <v>594</v>
      </c>
      <c r="BZ517" s="647">
        <v>511</v>
      </c>
      <c r="CA517" s="647">
        <v>490</v>
      </c>
      <c r="CB517" s="647">
        <v>470</v>
      </c>
      <c r="CC517" s="647">
        <v>535</v>
      </c>
      <c r="CD517" s="647">
        <v>469</v>
      </c>
      <c r="CE517" s="647">
        <v>488</v>
      </c>
      <c r="CF517" s="647">
        <v>479</v>
      </c>
      <c r="CG517" s="647">
        <v>457</v>
      </c>
      <c r="CH517" s="647">
        <v>484</v>
      </c>
      <c r="CI517" s="647">
        <v>455</v>
      </c>
      <c r="CJ517" s="647">
        <v>541</v>
      </c>
      <c r="CK517" s="647">
        <v>404</v>
      </c>
      <c r="CL517" s="647">
        <v>398</v>
      </c>
      <c r="CM517" s="647">
        <v>348</v>
      </c>
      <c r="CN517" s="647">
        <v>298</v>
      </c>
      <c r="CO517" s="647">
        <v>266</v>
      </c>
      <c r="CP517" s="647">
        <v>246</v>
      </c>
      <c r="CQ517" s="647">
        <v>224</v>
      </c>
      <c r="CR517" s="647">
        <v>223</v>
      </c>
      <c r="CS517" s="647">
        <v>187</v>
      </c>
      <c r="CT517" s="647">
        <v>157</v>
      </c>
      <c r="CU517" s="647">
        <v>143</v>
      </c>
      <c r="CV517" s="647">
        <v>129</v>
      </c>
      <c r="CW517" s="647">
        <v>118</v>
      </c>
      <c r="CX517" s="647">
        <v>110</v>
      </c>
      <c r="CY517" s="647">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
      <c r="A518" s="31" t="s">
        <v>79</v>
      </c>
      <c r="B518" s="1" t="s">
        <v>597</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647">
        <v>642</v>
      </c>
      <c r="N518" s="647">
        <v>670</v>
      </c>
      <c r="O518" s="647">
        <v>666</v>
      </c>
      <c r="P518" s="647">
        <v>745</v>
      </c>
      <c r="Q518" s="647">
        <v>708</v>
      </c>
      <c r="R518" s="647">
        <v>814</v>
      </c>
      <c r="S518" s="647">
        <v>772</v>
      </c>
      <c r="T518" s="647">
        <v>756</v>
      </c>
      <c r="U518" s="647">
        <v>790</v>
      </c>
      <c r="V518" s="647">
        <v>869</v>
      </c>
      <c r="W518" s="647">
        <v>878</v>
      </c>
      <c r="X518" s="647">
        <v>861</v>
      </c>
      <c r="Y518" s="647">
        <v>888</v>
      </c>
      <c r="Z518" s="647">
        <v>889</v>
      </c>
      <c r="AA518" s="647">
        <v>863</v>
      </c>
      <c r="AB518" s="647">
        <v>841</v>
      </c>
      <c r="AC518" s="647">
        <v>775</v>
      </c>
      <c r="AD518" s="647">
        <v>759</v>
      </c>
      <c r="AE518" s="647">
        <v>728</v>
      </c>
      <c r="AF518" s="647">
        <v>587</v>
      </c>
      <c r="AG518" s="647">
        <v>503</v>
      </c>
      <c r="AH518" s="647">
        <v>620</v>
      </c>
      <c r="AI518" s="647">
        <v>676</v>
      </c>
      <c r="AJ518" s="647">
        <v>666</v>
      </c>
      <c r="AK518" s="647">
        <v>621</v>
      </c>
      <c r="AL518" s="647">
        <v>702</v>
      </c>
      <c r="AM518" s="647">
        <v>663</v>
      </c>
      <c r="AN518" s="647">
        <v>711</v>
      </c>
      <c r="AO518" s="647">
        <v>738</v>
      </c>
      <c r="AP518" s="647">
        <v>687</v>
      </c>
      <c r="AQ518" s="647">
        <v>701</v>
      </c>
      <c r="AR518" s="647">
        <v>728</v>
      </c>
      <c r="AS518" s="647">
        <v>706</v>
      </c>
      <c r="AT518" s="647">
        <v>774</v>
      </c>
      <c r="AU518" s="647">
        <v>806</v>
      </c>
      <c r="AV518" s="647">
        <v>800</v>
      </c>
      <c r="AW518" s="647">
        <v>846</v>
      </c>
      <c r="AX518" s="647">
        <v>741</v>
      </c>
      <c r="AY518" s="647">
        <v>762</v>
      </c>
      <c r="AZ518" s="647">
        <v>802</v>
      </c>
      <c r="BA518" s="647">
        <v>818</v>
      </c>
      <c r="BB518" s="647">
        <v>893</v>
      </c>
      <c r="BC518" s="647">
        <v>884</v>
      </c>
      <c r="BD518" s="647">
        <v>832</v>
      </c>
      <c r="BE518" s="647">
        <v>669</v>
      </c>
      <c r="BF518" s="647">
        <v>732</v>
      </c>
      <c r="BG518" s="647">
        <v>722</v>
      </c>
      <c r="BH518" s="647">
        <v>807</v>
      </c>
      <c r="BI518" s="647">
        <v>781</v>
      </c>
      <c r="BJ518" s="647">
        <v>815</v>
      </c>
      <c r="BK518" s="647">
        <v>842</v>
      </c>
      <c r="BL518" s="647">
        <v>880</v>
      </c>
      <c r="BM518" s="647">
        <v>853</v>
      </c>
      <c r="BN518" s="647">
        <v>916</v>
      </c>
      <c r="BO518" s="647">
        <v>871</v>
      </c>
      <c r="BP518" s="647">
        <v>920</v>
      </c>
      <c r="BQ518" s="647">
        <v>867</v>
      </c>
      <c r="BR518" s="647">
        <v>906</v>
      </c>
      <c r="BS518" s="647">
        <v>932</v>
      </c>
      <c r="BT518" s="647">
        <v>907</v>
      </c>
      <c r="BU518" s="647">
        <v>934</v>
      </c>
      <c r="BV518" s="647">
        <v>904</v>
      </c>
      <c r="BW518" s="647">
        <v>828</v>
      </c>
      <c r="BX518" s="647">
        <v>857</v>
      </c>
      <c r="BY518" s="647">
        <v>763</v>
      </c>
      <c r="BZ518" s="647">
        <v>786</v>
      </c>
      <c r="CA518" s="647">
        <v>761</v>
      </c>
      <c r="CB518" s="647">
        <v>745</v>
      </c>
      <c r="CC518" s="647">
        <v>753</v>
      </c>
      <c r="CD518" s="647">
        <v>754</v>
      </c>
      <c r="CE518" s="647">
        <v>696</v>
      </c>
      <c r="CF518" s="647">
        <v>706</v>
      </c>
      <c r="CG518" s="647">
        <v>707</v>
      </c>
      <c r="CH518" s="647">
        <v>714</v>
      </c>
      <c r="CI518" s="647">
        <v>737</v>
      </c>
      <c r="CJ518" s="647">
        <v>775</v>
      </c>
      <c r="CK518" s="647">
        <v>562</v>
      </c>
      <c r="CL518" s="647">
        <v>555</v>
      </c>
      <c r="CM518" s="647">
        <v>563</v>
      </c>
      <c r="CN518" s="647">
        <v>468</v>
      </c>
      <c r="CO518" s="647">
        <v>410</v>
      </c>
      <c r="CP518" s="647">
        <v>391</v>
      </c>
      <c r="CQ518" s="647">
        <v>349</v>
      </c>
      <c r="CR518" s="647">
        <v>336</v>
      </c>
      <c r="CS518" s="647">
        <v>307</v>
      </c>
      <c r="CT518" s="647">
        <v>239</v>
      </c>
      <c r="CU518" s="647">
        <v>231</v>
      </c>
      <c r="CV518" s="647">
        <v>180</v>
      </c>
      <c r="CW518" s="647">
        <v>170</v>
      </c>
      <c r="CX518" s="647">
        <v>135</v>
      </c>
      <c r="CY518" s="647">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
      <c r="A519" s="31" t="s">
        <v>79</v>
      </c>
      <c r="B519" s="1" t="s">
        <v>598</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647">
        <v>673</v>
      </c>
      <c r="N519" s="647">
        <v>647</v>
      </c>
      <c r="O519" s="647">
        <v>740</v>
      </c>
      <c r="P519" s="647">
        <v>723</v>
      </c>
      <c r="Q519" s="647">
        <v>730</v>
      </c>
      <c r="R519" s="647">
        <v>761</v>
      </c>
      <c r="S519" s="647">
        <v>793</v>
      </c>
      <c r="T519" s="647">
        <v>761</v>
      </c>
      <c r="U519" s="647">
        <v>814</v>
      </c>
      <c r="V519" s="647">
        <v>862</v>
      </c>
      <c r="W519" s="647">
        <v>831</v>
      </c>
      <c r="X519" s="647">
        <v>858</v>
      </c>
      <c r="Y519" s="647">
        <v>859</v>
      </c>
      <c r="Z519" s="647">
        <v>879</v>
      </c>
      <c r="AA519" s="647">
        <v>845</v>
      </c>
      <c r="AB519" s="647">
        <v>853</v>
      </c>
      <c r="AC519" s="647">
        <v>831</v>
      </c>
      <c r="AD519" s="647">
        <v>839</v>
      </c>
      <c r="AE519" s="647">
        <v>753</v>
      </c>
      <c r="AF519" s="647">
        <v>630</v>
      </c>
      <c r="AG519" s="647">
        <v>619</v>
      </c>
      <c r="AH519" s="647">
        <v>629</v>
      </c>
      <c r="AI519" s="647">
        <v>670</v>
      </c>
      <c r="AJ519" s="647">
        <v>758</v>
      </c>
      <c r="AK519" s="647">
        <v>790</v>
      </c>
      <c r="AL519" s="647">
        <v>832</v>
      </c>
      <c r="AM519" s="647">
        <v>753</v>
      </c>
      <c r="AN519" s="647">
        <v>823</v>
      </c>
      <c r="AO519" s="647">
        <v>819</v>
      </c>
      <c r="AP519" s="647">
        <v>821</v>
      </c>
      <c r="AQ519" s="647">
        <v>786</v>
      </c>
      <c r="AR519" s="647">
        <v>853</v>
      </c>
      <c r="AS519" s="647">
        <v>859</v>
      </c>
      <c r="AT519" s="647">
        <v>835</v>
      </c>
      <c r="AU519" s="647">
        <v>874</v>
      </c>
      <c r="AV519" s="647">
        <v>850</v>
      </c>
      <c r="AW519" s="647">
        <v>902</v>
      </c>
      <c r="AX519" s="647">
        <v>921</v>
      </c>
      <c r="AY519" s="647">
        <v>825</v>
      </c>
      <c r="AZ519" s="647">
        <v>847</v>
      </c>
      <c r="BA519" s="647">
        <v>842</v>
      </c>
      <c r="BB519" s="647">
        <v>901</v>
      </c>
      <c r="BC519" s="647">
        <v>918</v>
      </c>
      <c r="BD519" s="647">
        <v>874</v>
      </c>
      <c r="BE519" s="647">
        <v>746</v>
      </c>
      <c r="BF519" s="647">
        <v>759</v>
      </c>
      <c r="BG519" s="647">
        <v>795</v>
      </c>
      <c r="BH519" s="647">
        <v>790</v>
      </c>
      <c r="BI519" s="647">
        <v>799</v>
      </c>
      <c r="BJ519" s="647">
        <v>915</v>
      </c>
      <c r="BK519" s="647">
        <v>955</v>
      </c>
      <c r="BL519" s="647">
        <v>1013</v>
      </c>
      <c r="BM519" s="647">
        <v>995</v>
      </c>
      <c r="BN519" s="647">
        <v>1003</v>
      </c>
      <c r="BO519" s="647">
        <v>969</v>
      </c>
      <c r="BP519" s="647">
        <v>960</v>
      </c>
      <c r="BQ519" s="647">
        <v>1007</v>
      </c>
      <c r="BR519" s="647">
        <v>986</v>
      </c>
      <c r="BS519" s="647">
        <v>968</v>
      </c>
      <c r="BT519" s="647">
        <v>965</v>
      </c>
      <c r="BU519" s="647">
        <v>916</v>
      </c>
      <c r="BV519" s="647">
        <v>884</v>
      </c>
      <c r="BW519" s="647">
        <v>833</v>
      </c>
      <c r="BX519" s="647">
        <v>743</v>
      </c>
      <c r="BY519" s="647">
        <v>790</v>
      </c>
      <c r="BZ519" s="647">
        <v>795</v>
      </c>
      <c r="CA519" s="647">
        <v>774</v>
      </c>
      <c r="CB519" s="647">
        <v>688</v>
      </c>
      <c r="CC519" s="647">
        <v>698</v>
      </c>
      <c r="CD519" s="647">
        <v>716</v>
      </c>
      <c r="CE519" s="647">
        <v>688</v>
      </c>
      <c r="CF519" s="647">
        <v>667</v>
      </c>
      <c r="CG519" s="647">
        <v>680</v>
      </c>
      <c r="CH519" s="647">
        <v>708</v>
      </c>
      <c r="CI519" s="647">
        <v>706</v>
      </c>
      <c r="CJ519" s="647">
        <v>754</v>
      </c>
      <c r="CK519" s="647">
        <v>572</v>
      </c>
      <c r="CL519" s="647">
        <v>512</v>
      </c>
      <c r="CM519" s="647">
        <v>519</v>
      </c>
      <c r="CN519" s="647">
        <v>494</v>
      </c>
      <c r="CO519" s="647">
        <v>429</v>
      </c>
      <c r="CP519" s="647">
        <v>357</v>
      </c>
      <c r="CQ519" s="647">
        <v>308</v>
      </c>
      <c r="CR519" s="647">
        <v>275</v>
      </c>
      <c r="CS519" s="647">
        <v>281</v>
      </c>
      <c r="CT519" s="647">
        <v>235</v>
      </c>
      <c r="CU519" s="647">
        <v>217</v>
      </c>
      <c r="CV519" s="647">
        <v>176</v>
      </c>
      <c r="CW519" s="647">
        <v>132</v>
      </c>
      <c r="CX519" s="647">
        <v>132</v>
      </c>
      <c r="CY519" s="647">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ht="15" x14ac:dyDescent="0.25">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2">
      <c r="A521" s="31" t="s">
        <v>83</v>
      </c>
      <c r="B521" s="1" t="s">
        <v>599</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
      <c r="A522" s="31" t="s">
        <v>83</v>
      </c>
      <c r="B522" s="1" t="s">
        <v>600</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
      <c r="A523" s="31" t="s">
        <v>83</v>
      </c>
      <c r="B523" s="1" t="s">
        <v>601</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
      <c r="A524" s="31" t="s">
        <v>83</v>
      </c>
      <c r="B524" s="1" t="s">
        <v>602</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
      <c r="A525" s="31" t="s">
        <v>83</v>
      </c>
      <c r="B525" s="1" t="s">
        <v>603</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
      <c r="A526" s="31" t="s">
        <v>83</v>
      </c>
      <c r="B526" s="1" t="s">
        <v>604</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
      <c r="A527" s="31" t="s">
        <v>83</v>
      </c>
      <c r="B527" s="1" t="s">
        <v>605</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
      <c r="A528" s="31" t="s">
        <v>83</v>
      </c>
      <c r="B528" s="1" t="s">
        <v>606</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
      <c r="A529" s="31" t="s">
        <v>83</v>
      </c>
      <c r="B529" s="1" t="s">
        <v>607</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
      <c r="A530" s="31" t="s">
        <v>83</v>
      </c>
      <c r="B530" s="1" t="s">
        <v>608</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
      <c r="A531" s="31" t="s">
        <v>83</v>
      </c>
      <c r="B531" s="1" t="s">
        <v>609</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ht="15" x14ac:dyDescent="0.25">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2">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ht="15" x14ac:dyDescent="0.25">
      <c r="A535" s="667" t="s">
        <v>610</v>
      </c>
      <c r="B535" s="668"/>
      <c r="C535" s="669"/>
      <c r="D535" s="670"/>
      <c r="E535" s="670"/>
      <c r="F535" s="670"/>
      <c r="G535" s="671"/>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ht="15" x14ac:dyDescent="0.25">
      <c r="C537" s="11"/>
      <c r="D537" s="672" t="s">
        <v>611</v>
      </c>
      <c r="E537" s="673" t="s">
        <v>612</v>
      </c>
      <c r="F537" s="672" t="s">
        <v>613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5" x14ac:dyDescent="0.25">
      <c r="C538" s="11"/>
      <c r="D538" s="674" t="s">
        <v>614</v>
      </c>
      <c r="E538" s="675" t="s">
        <v>615</v>
      </c>
      <c r="F538" s="674" t="s">
        <v>616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5" x14ac:dyDescent="0.25">
      <c r="C539" s="11"/>
      <c r="D539" s="674" t="s">
        <v>617</v>
      </c>
      <c r="E539" s="675" t="s">
        <v>618</v>
      </c>
      <c r="F539" s="674" t="s">
        <v>619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5" x14ac:dyDescent="0.25">
      <c r="C540" s="1" t="s">
        <v>620</v>
      </c>
      <c r="D540" s="676">
        <v>60238038</v>
      </c>
      <c r="E540" s="677"/>
      <c r="F540" s="678"/>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5" x14ac:dyDescent="0.25">
      <c r="C541" s="679" t="s">
        <v>621</v>
      </c>
      <c r="D541" s="680"/>
      <c r="E541" s="681">
        <v>60856434</v>
      </c>
      <c r="F541" s="676">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5" x14ac:dyDescent="0.25">
      <c r="C542" s="679" t="s">
        <v>622</v>
      </c>
      <c r="D542" s="680"/>
      <c r="E542" s="682">
        <f>(E541-D540)/D540</f>
        <v>1.0265872205200309E-2</v>
      </c>
      <c r="F542" s="683">
        <f>(F541-D540)/D540</f>
        <v>2.0553358660187437E-2</v>
      </c>
      <c r="G542" s="684">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5" x14ac:dyDescent="0.25">
      <c r="C543" s="679" t="s">
        <v>623</v>
      </c>
      <c r="D543" s="680"/>
      <c r="E543" s="685"/>
      <c r="F543" s="676">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5" x14ac:dyDescent="0.25">
      <c r="C544" s="679" t="s">
        <v>624</v>
      </c>
      <c r="D544" s="680"/>
      <c r="E544" s="685"/>
      <c r="F544" s="676">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
      <c r="A547" s="663"/>
      <c r="B547" s="664"/>
      <c r="C547" s="21" t="s">
        <v>625</v>
      </c>
      <c r="D547" s="139" t="s">
        <v>626</v>
      </c>
      <c r="E547" s="139" t="s">
        <v>627</v>
      </c>
      <c r="F547" s="139" t="s">
        <v>628</v>
      </c>
      <c r="G547" s="139" t="s">
        <v>629</v>
      </c>
      <c r="H547" s="139" t="s">
        <v>630</v>
      </c>
      <c r="I547" s="139" t="s">
        <v>631</v>
      </c>
      <c r="J547" s="573" t="s">
        <v>632</v>
      </c>
      <c r="K547" s="576" t="s">
        <v>633</v>
      </c>
      <c r="L547" s="358" t="s">
        <v>634</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
      <c r="A548" s="665" t="s">
        <v>635</v>
      </c>
      <c r="C548" s="21" t="s">
        <v>636</v>
      </c>
      <c r="D548" s="802" t="s">
        <v>637</v>
      </c>
      <c r="E548" s="803"/>
      <c r="F548" s="803"/>
      <c r="G548" s="803"/>
      <c r="H548" s="803"/>
      <c r="I548" s="804"/>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
      <c r="A549" s="665" t="s">
        <v>635</v>
      </c>
      <c r="B549" s="11">
        <v>0</v>
      </c>
      <c r="C549" s="138" t="s">
        <v>638</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
      <c r="A550" s="665" t="s">
        <v>635</v>
      </c>
      <c r="B550" s="11">
        <v>1</v>
      </c>
      <c r="C550" s="138" t="s">
        <v>639</v>
      </c>
      <c r="D550" s="142"/>
      <c r="E550" s="142">
        <v>1.0090702843828887</v>
      </c>
      <c r="F550" s="142">
        <v>1.0170393771683619</v>
      </c>
      <c r="G550" s="142">
        <v>1.0238793000184203</v>
      </c>
      <c r="H550" s="142">
        <v>1.0295635385778663</v>
      </c>
      <c r="I550" s="142">
        <v>1.0351195322438309</v>
      </c>
      <c r="J550" s="574">
        <f>(I550-100%)/5</f>
        <v>7.0239064487661821E-3</v>
      </c>
      <c r="K550" s="577">
        <f t="shared" ref="K550:K563" si="144">(I550/100%)^(1/5)-1</f>
        <v>6.9272652964273984E-3</v>
      </c>
      <c r="L550" s="572">
        <v>6.9272652964273984E-3</v>
      </c>
      <c r="M550" s="568"/>
      <c r="N550" s="568"/>
      <c r="O550" s="569"/>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
      <c r="A551" s="665" t="s">
        <v>635</v>
      </c>
      <c r="B551" s="11">
        <v>2</v>
      </c>
      <c r="C551" s="138" t="s">
        <v>640</v>
      </c>
      <c r="D551" s="142"/>
      <c r="E551" s="142">
        <v>0.96173452499784384</v>
      </c>
      <c r="F551" s="142">
        <v>0.949547172001034</v>
      </c>
      <c r="G551" s="142">
        <v>0.93849673400054612</v>
      </c>
      <c r="H551" s="142">
        <v>0.92766778564091124</v>
      </c>
      <c r="I551" s="142">
        <v>0.91680012001884892</v>
      </c>
      <c r="J551" s="574">
        <f t="shared" ref="J551:J563" si="145">(I551-100%)/5</f>
        <v>-1.6639975996230218E-2</v>
      </c>
      <c r="K551" s="577">
        <f t="shared" si="144"/>
        <v>-1.7223117235316776E-2</v>
      </c>
      <c r="L551" s="572">
        <v>-1.7223117235316776E-2</v>
      </c>
      <c r="M551" s="568"/>
      <c r="N551" s="568"/>
      <c r="O551" s="569"/>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
      <c r="A552" s="665" t="s">
        <v>635</v>
      </c>
      <c r="B552" s="11">
        <v>3</v>
      </c>
      <c r="C552" s="138" t="s">
        <v>641</v>
      </c>
      <c r="D552" s="142"/>
      <c r="E552" s="142">
        <v>1.0707061745580608</v>
      </c>
      <c r="F552" s="142">
        <v>1.0961797739954167</v>
      </c>
      <c r="G552" s="142">
        <v>1.1120352164720533</v>
      </c>
      <c r="H552" s="142">
        <v>1.1172916519636134</v>
      </c>
      <c r="I552" s="142">
        <v>1.1228072524832799</v>
      </c>
      <c r="J552" s="574">
        <f t="shared" si="145"/>
        <v>2.4561450496655989E-2</v>
      </c>
      <c r="K552" s="577">
        <f t="shared" si="144"/>
        <v>2.3436830336478032E-2</v>
      </c>
      <c r="L552" s="572">
        <v>2.3436830336478032E-2</v>
      </c>
      <c r="M552" s="568"/>
      <c r="N552" s="568"/>
      <c r="O552" s="569"/>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
      <c r="A553" s="665" t="s">
        <v>635</v>
      </c>
      <c r="B553" s="11">
        <v>4</v>
      </c>
      <c r="C553" s="138" t="s">
        <v>642</v>
      </c>
      <c r="D553" s="142"/>
      <c r="E553" s="142">
        <v>0.99704312080608826</v>
      </c>
      <c r="F553" s="142">
        <v>0.99705853203848904</v>
      </c>
      <c r="G553" s="142">
        <v>0.99472603914083957</v>
      </c>
      <c r="H553" s="142">
        <v>0.9891090180954597</v>
      </c>
      <c r="I553" s="142">
        <v>0.98354979851924307</v>
      </c>
      <c r="J553" s="574">
        <f t="shared" si="145"/>
        <v>-3.2900402961513866E-3</v>
      </c>
      <c r="K553" s="577">
        <f t="shared" si="144"/>
        <v>-3.3119051937137156E-3</v>
      </c>
      <c r="L553" s="572">
        <v>-3.3119051937137156E-3</v>
      </c>
      <c r="M553" s="568"/>
      <c r="N553" s="568"/>
      <c r="O553" s="569"/>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
      <c r="A554" s="665" t="s">
        <v>635</v>
      </c>
      <c r="B554" s="11">
        <v>5</v>
      </c>
      <c r="C554" s="138" t="s">
        <v>643</v>
      </c>
      <c r="D554" s="142"/>
      <c r="E554" s="142">
        <v>0.99263087643060499</v>
      </c>
      <c r="F554" s="142">
        <v>0.99530151668079492</v>
      </c>
      <c r="G554" s="142">
        <v>0.99708461172748208</v>
      </c>
      <c r="H554" s="142">
        <v>0.99857946574262668</v>
      </c>
      <c r="I554" s="142">
        <v>1.0006058081967233</v>
      </c>
      <c r="J554" s="574">
        <f t="shared" si="145"/>
        <v>1.2116163934465796E-4</v>
      </c>
      <c r="K554" s="577">
        <f t="shared" si="144"/>
        <v>1.2113228972654433E-4</v>
      </c>
      <c r="L554" s="572">
        <v>1.2113228972654433E-4</v>
      </c>
      <c r="M554" s="568"/>
      <c r="N554" s="568"/>
      <c r="O554" s="569"/>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
      <c r="A555" s="665" t="s">
        <v>635</v>
      </c>
      <c r="B555" s="11">
        <v>6</v>
      </c>
      <c r="C555" s="566" t="s">
        <v>644</v>
      </c>
      <c r="D555" s="567"/>
      <c r="E555" s="567">
        <v>1.0123419501207302</v>
      </c>
      <c r="F555" s="567">
        <v>1.0224746276334522</v>
      </c>
      <c r="G555" s="567">
        <v>1.0318096590054313</v>
      </c>
      <c r="H555" s="567">
        <v>1.040568100689119</v>
      </c>
      <c r="I555" s="567">
        <v>1.0491476885800255</v>
      </c>
      <c r="J555" s="585">
        <f t="shared" si="145"/>
        <v>9.8295377160050983E-3</v>
      </c>
      <c r="K555" s="586">
        <f t="shared" si="144"/>
        <v>9.641807463928842E-3</v>
      </c>
      <c r="L555" s="666">
        <v>9.6418074639288403E-3</v>
      </c>
      <c r="M555" s="568"/>
      <c r="N555" s="568"/>
      <c r="O555" s="569"/>
      <c r="P555" s="13"/>
      <c r="Q555" s="570"/>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
      <c r="A556" s="665" t="s">
        <v>635</v>
      </c>
      <c r="B556" s="11">
        <v>7</v>
      </c>
      <c r="C556" s="138" t="s">
        <v>645</v>
      </c>
      <c r="D556" s="142"/>
      <c r="E556" s="142">
        <v>1.0234861902526262</v>
      </c>
      <c r="F556" s="142">
        <v>1.0362595252458171</v>
      </c>
      <c r="G556" s="142">
        <v>1.0484007089616401</v>
      </c>
      <c r="H556" s="142">
        <v>1.0594741481215733</v>
      </c>
      <c r="I556" s="142">
        <v>1.0705464348984648</v>
      </c>
      <c r="J556" s="574">
        <f t="shared" si="145"/>
        <v>1.4109286979692959E-2</v>
      </c>
      <c r="K556" s="577">
        <f t="shared" si="144"/>
        <v>1.372720562144969E-2</v>
      </c>
      <c r="L556" s="572">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
      <c r="A557" s="665" t="s">
        <v>635</v>
      </c>
      <c r="B557" s="11">
        <v>8</v>
      </c>
      <c r="C557" s="138" t="s">
        <v>646</v>
      </c>
      <c r="D557" s="142"/>
      <c r="E557" s="142">
        <v>1.0327181385810218</v>
      </c>
      <c r="F557" s="142">
        <v>1.0462000918268668</v>
      </c>
      <c r="G557" s="142">
        <v>1.0579618766687933</v>
      </c>
      <c r="H557" s="142">
        <v>1.0679645783102321</v>
      </c>
      <c r="I557" s="142">
        <v>1.0772361012999514</v>
      </c>
      <c r="J557" s="574">
        <f t="shared" si="145"/>
        <v>1.544722025999028E-2</v>
      </c>
      <c r="K557" s="577">
        <f t="shared" si="144"/>
        <v>1.4990973227517745E-2</v>
      </c>
      <c r="L557" s="572">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
      <c r="A558" s="665" t="s">
        <v>635</v>
      </c>
      <c r="B558" s="11">
        <v>9</v>
      </c>
      <c r="C558" s="138" t="s">
        <v>647</v>
      </c>
      <c r="D558" s="142"/>
      <c r="E558" s="142">
        <v>1.0231841082591016</v>
      </c>
      <c r="F558" s="142">
        <v>1.0358890289056439</v>
      </c>
      <c r="G558" s="142">
        <v>1.0481652070229122</v>
      </c>
      <c r="H558" s="142">
        <v>1.0592891805745575</v>
      </c>
      <c r="I558" s="142">
        <v>1.069681907109314</v>
      </c>
      <c r="J558" s="574">
        <f t="shared" si="145"/>
        <v>1.3936381421862798E-2</v>
      </c>
      <c r="K558" s="577">
        <f t="shared" si="144"/>
        <v>1.3563424108683053E-2</v>
      </c>
      <c r="L558" s="572">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
      <c r="A559" s="665" t="s">
        <v>635</v>
      </c>
      <c r="B559" s="11">
        <v>10</v>
      </c>
      <c r="C559" s="138" t="s">
        <v>648</v>
      </c>
      <c r="D559" s="142"/>
      <c r="E559" s="142">
        <v>1.0341666734322146</v>
      </c>
      <c r="F559" s="142">
        <v>1.0480179725760268</v>
      </c>
      <c r="G559" s="142">
        <v>1.0601012155156095</v>
      </c>
      <c r="H559" s="142">
        <v>1.0702848288878077</v>
      </c>
      <c r="I559" s="142">
        <v>1.0797421461131422</v>
      </c>
      <c r="J559" s="574">
        <f t="shared" si="145"/>
        <v>1.5948429222628447E-2</v>
      </c>
      <c r="K559" s="577">
        <f t="shared" si="144"/>
        <v>1.5462782371323147E-2</v>
      </c>
      <c r="L559" s="572">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
      <c r="A560" s="665" t="s">
        <v>635</v>
      </c>
      <c r="B560" s="11">
        <v>11</v>
      </c>
      <c r="C560" s="138" t="s">
        <v>649</v>
      </c>
      <c r="D560" s="142"/>
      <c r="E560" s="142">
        <v>1.0233409873632719</v>
      </c>
      <c r="F560" s="142">
        <v>1.0360814373748364</v>
      </c>
      <c r="G560" s="142">
        <v>1.0482875093579402</v>
      </c>
      <c r="H560" s="142">
        <v>1.0593852390742311</v>
      </c>
      <c r="I560" s="142">
        <v>1.0701308790705675</v>
      </c>
      <c r="J560" s="574">
        <f t="shared" si="145"/>
        <v>1.4026175814113495E-2</v>
      </c>
      <c r="K560" s="577">
        <f t="shared" si="144"/>
        <v>1.364849335671825E-2</v>
      </c>
      <c r="L560" s="572">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
      <c r="A561" s="665" t="s">
        <v>635</v>
      </c>
      <c r="B561" s="11">
        <v>12</v>
      </c>
      <c r="C561" s="138" t="s">
        <v>650</v>
      </c>
      <c r="D561" s="142"/>
      <c r="E561" s="142">
        <v>1.0334066911438702</v>
      </c>
      <c r="F561" s="142">
        <v>1.0470642108004322</v>
      </c>
      <c r="G561" s="142">
        <v>1.0589787988674986</v>
      </c>
      <c r="H561" s="142">
        <v>1.0690674958412283</v>
      </c>
      <c r="I561" s="142">
        <v>1.0784273350333435</v>
      </c>
      <c r="J561" s="574">
        <f t="shared" si="145"/>
        <v>1.5685467006668709E-2</v>
      </c>
      <c r="K561" s="577">
        <f t="shared" si="144"/>
        <v>1.5215354312122953E-2</v>
      </c>
      <c r="L561" s="572">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
      <c r="A562" s="665" t="s">
        <v>635</v>
      </c>
      <c r="B562" s="11">
        <v>13</v>
      </c>
      <c r="C562" s="138" t="s">
        <v>651</v>
      </c>
      <c r="D562" s="142"/>
      <c r="E562" s="142">
        <v>1.0535754755454367</v>
      </c>
      <c r="F562" s="142">
        <v>1.079128927735721</v>
      </c>
      <c r="G562" s="142">
        <v>1.10377830980113</v>
      </c>
      <c r="H562" s="142">
        <v>1.1267313398994689</v>
      </c>
      <c r="I562" s="142">
        <v>1.1493400902365778</v>
      </c>
      <c r="J562" s="574">
        <f t="shared" si="145"/>
        <v>2.9868018047315557E-2</v>
      </c>
      <c r="K562" s="577">
        <f t="shared" si="144"/>
        <v>2.8228674820024224E-2</v>
      </c>
      <c r="L562" s="572">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
      <c r="A563" s="58"/>
      <c r="B563" s="428">
        <v>14</v>
      </c>
      <c r="C563" s="138" t="s">
        <v>652</v>
      </c>
      <c r="D563" s="142"/>
      <c r="E563" s="142">
        <v>1.0081055095898279</v>
      </c>
      <c r="F563" s="142">
        <v>1.0157451629461605</v>
      </c>
      <c r="G563" s="142">
        <v>1.0222827798035592</v>
      </c>
      <c r="H563" s="142">
        <v>1.0276922014787842</v>
      </c>
      <c r="I563" s="142">
        <v>1.032997413899986</v>
      </c>
      <c r="J563" s="574">
        <f t="shared" si="145"/>
        <v>6.5994827799972008E-3</v>
      </c>
      <c r="K563" s="577">
        <f t="shared" si="144"/>
        <v>6.5140621434043311E-3</v>
      </c>
      <c r="L563" s="572">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
      <c r="B564" s="11">
        <v>15</v>
      </c>
      <c r="C564" s="138"/>
      <c r="D564" s="142"/>
      <c r="E564" s="142"/>
      <c r="F564" s="142"/>
      <c r="G564" s="142"/>
      <c r="H564" s="142"/>
      <c r="I564" s="142"/>
      <c r="J564" s="575" t="s">
        <v>653</v>
      </c>
      <c r="K564" s="6"/>
      <c r="L564" s="357" t="s">
        <v>654</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
      <c r="E565" s="15"/>
      <c r="L565" s="357" t="s">
        <v>655</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
      <c r="E566" s="15"/>
      <c r="L566" s="357" t="s">
        <v>656</v>
      </c>
      <c r="M566" s="13"/>
      <c r="N566" s="13"/>
      <c r="O566" s="13"/>
      <c r="P566" s="13"/>
      <c r="Q566" s="13"/>
      <c r="R566" s="571"/>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
      <c r="C567" s="587" t="s">
        <v>657</v>
      </c>
      <c r="E567" s="15"/>
      <c r="L567" s="357" t="s">
        <v>658</v>
      </c>
      <c r="M567" s="13"/>
      <c r="N567" s="13"/>
      <c r="O567" s="13"/>
      <c r="P567" s="13"/>
      <c r="Q567" s="13"/>
      <c r="R567" s="571"/>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
      <c r="E568" s="15"/>
      <c r="L568" s="357" t="s">
        <v>659</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
      <c r="E569" s="15"/>
      <c r="L569" s="357"/>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
      <c r="C570" s="11"/>
      <c r="L570" s="357" t="s">
        <v>660</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 x14ac:dyDescent="0.25">
      <c r="C571" s="11"/>
      <c r="L571" s="357" t="s">
        <v>661</v>
      </c>
      <c r="M571" s="13"/>
      <c r="N571" s="13"/>
      <c r="O571" s="687"/>
      <c r="P571" s="688" t="s">
        <v>662</v>
      </c>
      <c r="Q571" s="689"/>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5" customHeight="1" x14ac:dyDescent="0.2">
      <c r="C572" s="11"/>
      <c r="M572" s="13"/>
      <c r="N572" s="13"/>
      <c r="O572" s="692" t="s">
        <v>632</v>
      </c>
      <c r="P572" s="692" t="s">
        <v>633</v>
      </c>
      <c r="Q572" s="693" t="s">
        <v>663</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
      <c r="A573" s="663"/>
      <c r="B573" s="664"/>
      <c r="C573" s="138" t="s">
        <v>639</v>
      </c>
      <c r="D573" s="686"/>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574">
        <f>(N573-100%)/10</f>
        <v>6.0996339197137541E-3</v>
      </c>
      <c r="P573" s="577">
        <f>(N573/100%)^(1/10)-1</f>
        <v>5.9384037531065026E-3</v>
      </c>
      <c r="Q573" s="690">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
      <c r="A574" s="665" t="s">
        <v>664</v>
      </c>
      <c r="C574" s="138" t="s">
        <v>640</v>
      </c>
      <c r="D574" s="686"/>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574">
        <f t="shared" ref="O574:O586" si="146">(N574-100%)/10</f>
        <v>-6.0280923298853817E-3</v>
      </c>
      <c r="P574" s="577">
        <f t="shared" ref="P574:P586" si="147">(N574/100%)^(1/10)-1</f>
        <v>-6.1981420710855994E-3</v>
      </c>
      <c r="Q574" s="690">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
      <c r="A575" s="665" t="s">
        <v>664</v>
      </c>
      <c r="C575" s="138" t="s">
        <v>641</v>
      </c>
      <c r="D575" s="686"/>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574">
        <f t="shared" si="146"/>
        <v>1.5087615236704566E-2</v>
      </c>
      <c r="P575" s="577">
        <f t="shared" si="147"/>
        <v>1.4151550808456648E-2</v>
      </c>
      <c r="Q575" s="690">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
      <c r="A576" s="665" t="s">
        <v>664</v>
      </c>
      <c r="C576" s="138" t="s">
        <v>642</v>
      </c>
      <c r="D576" s="686"/>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574">
        <f t="shared" si="146"/>
        <v>8.1374209845206378E-4</v>
      </c>
      <c r="P576" s="577">
        <f t="shared" si="147"/>
        <v>8.1077757246905691E-4</v>
      </c>
      <c r="Q576" s="690">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
      <c r="A577" s="665" t="s">
        <v>664</v>
      </c>
      <c r="C577" s="138" t="s">
        <v>643</v>
      </c>
      <c r="D577" s="686"/>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574">
        <f t="shared" si="146"/>
        <v>2.5619811438394092E-3</v>
      </c>
      <c r="P577" s="577">
        <f t="shared" si="147"/>
        <v>2.5329148145079028E-3</v>
      </c>
      <c r="Q577" s="690">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
      <c r="A578" s="665" t="s">
        <v>664</v>
      </c>
      <c r="C578" s="566" t="s">
        <v>644</v>
      </c>
      <c r="D578" s="567"/>
      <c r="E578" s="567">
        <v>1.0123419501207302</v>
      </c>
      <c r="F578" s="567">
        <v>1.0224746276334522</v>
      </c>
      <c r="G578" s="567">
        <v>1.0318096590054313</v>
      </c>
      <c r="H578" s="567">
        <v>1.040568100689119</v>
      </c>
      <c r="I578" s="567">
        <v>1.0491476885800255</v>
      </c>
      <c r="J578" s="567">
        <v>1.0546473961073131</v>
      </c>
      <c r="K578" s="567">
        <v>1.0600156863772707</v>
      </c>
      <c r="L578" s="567">
        <v>1.0652587749595908</v>
      </c>
      <c r="M578" s="567">
        <v>1.0703773048442411</v>
      </c>
      <c r="N578" s="567">
        <v>1.0753751834317971</v>
      </c>
      <c r="O578" s="585">
        <f t="shared" si="146"/>
        <v>7.5375183431797051E-3</v>
      </c>
      <c r="P578" s="586">
        <f t="shared" si="147"/>
        <v>7.2934292896156272E-3</v>
      </c>
      <c r="Q578" s="586">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
      <c r="A579" s="665" t="s">
        <v>664</v>
      </c>
      <c r="C579" s="138" t="s">
        <v>645</v>
      </c>
      <c r="D579" s="686"/>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574">
        <f t="shared" si="146"/>
        <v>9.7308873986410305E-3</v>
      </c>
      <c r="P579" s="577">
        <f t="shared" si="147"/>
        <v>9.3293197294876951E-3</v>
      </c>
      <c r="Q579" s="690">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
      <c r="A580" s="665" t="s">
        <v>664</v>
      </c>
      <c r="C580" s="138" t="s">
        <v>646</v>
      </c>
      <c r="D580" s="686"/>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574">
        <f t="shared" si="146"/>
        <v>1.0416577441320607E-2</v>
      </c>
      <c r="P580" s="577">
        <f t="shared" si="147"/>
        <v>9.95826625164975E-3</v>
      </c>
      <c r="Q580" s="690">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
      <c r="A581" s="665" t="s">
        <v>664</v>
      </c>
      <c r="C581" s="138" t="s">
        <v>647</v>
      </c>
      <c r="D581" s="686"/>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574">
        <f t="shared" si="146"/>
        <v>9.64227339891921E-3</v>
      </c>
      <c r="P581" s="577">
        <f t="shared" si="147"/>
        <v>9.2477809488915597E-3</v>
      </c>
      <c r="Q581" s="690">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
      <c r="A582" s="665" t="s">
        <v>664</v>
      </c>
      <c r="C582" s="138" t="s">
        <v>648</v>
      </c>
      <c r="D582" s="686"/>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574">
        <f t="shared" si="146"/>
        <v>1.0673446748664817E-2</v>
      </c>
      <c r="P582" s="577">
        <f t="shared" si="147"/>
        <v>1.0192973847719333E-2</v>
      </c>
      <c r="Q582" s="690">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
      <c r="A583" s="665" t="s">
        <v>664</v>
      </c>
      <c r="C583" s="138" t="s">
        <v>649</v>
      </c>
      <c r="D583" s="686"/>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574">
        <f t="shared" si="146"/>
        <v>9.6882929737077683E-3</v>
      </c>
      <c r="P583" s="577">
        <f t="shared" si="147"/>
        <v>9.2901335764377091E-3</v>
      </c>
      <c r="Q583" s="690">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
      <c r="A584" s="665" t="s">
        <v>664</v>
      </c>
      <c r="C584" s="138" t="s">
        <v>650</v>
      </c>
      <c r="D584" s="686"/>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574">
        <f t="shared" si="146"/>
        <v>1.0538678763041154E-2</v>
      </c>
      <c r="P584" s="577">
        <f t="shared" si="147"/>
        <v>1.0069894342066732E-2</v>
      </c>
      <c r="Q584" s="690">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
      <c r="A585" s="665" t="s">
        <v>664</v>
      </c>
      <c r="C585" s="138" t="s">
        <v>651</v>
      </c>
      <c r="D585" s="686"/>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574">
        <f t="shared" si="146"/>
        <v>1.7807228078299507E-2</v>
      </c>
      <c r="P585" s="577">
        <f t="shared" si="147"/>
        <v>1.6522963134986579E-2</v>
      </c>
      <c r="Q585" s="690">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
      <c r="A586" s="58"/>
      <c r="B586" s="428"/>
      <c r="C586" s="138" t="s">
        <v>652</v>
      </c>
      <c r="D586" s="686"/>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574">
        <f t="shared" si="146"/>
        <v>5.8821170316610384E-3</v>
      </c>
      <c r="P586" s="577">
        <f t="shared" si="147"/>
        <v>5.7319838926312983E-3</v>
      </c>
      <c r="Q586" s="690">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
      <c r="C587" s="11"/>
      <c r="E587" s="15"/>
      <c r="M587" s="13"/>
      <c r="N587" s="13"/>
      <c r="O587" s="575" t="s">
        <v>653</v>
      </c>
      <c r="P587" s="575" t="s">
        <v>653</v>
      </c>
      <c r="Q587" s="691"/>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
      <c r="C588" s="11"/>
      <c r="E588" s="15"/>
      <c r="M588" s="13"/>
      <c r="N588" s="13"/>
      <c r="O588" s="575" t="s">
        <v>665</v>
      </c>
      <c r="P588" s="575" t="s">
        <v>665</v>
      </c>
      <c r="Q588" s="691"/>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
      <c r="C589" s="11"/>
      <c r="E589" s="15"/>
      <c r="M589" s="13"/>
      <c r="N589" s="13"/>
      <c r="O589" s="13"/>
      <c r="P589" s="13"/>
      <c r="Q589" s="691" t="s">
        <v>660</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
      <c r="E590" s="15"/>
      <c r="M590" s="13"/>
      <c r="N590" s="13"/>
      <c r="O590" s="13"/>
      <c r="P590" s="13"/>
      <c r="Q590" s="691" t="s">
        <v>661</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X117"/>
  <sheetViews>
    <sheetView showGridLines="0" zoomScale="80" zoomScaleNormal="80" workbookViewId="0">
      <selection activeCell="A29" sqref="A29"/>
    </sheetView>
  </sheetViews>
  <sheetFormatPr defaultRowHeight="15" x14ac:dyDescent="0.25"/>
  <cols>
    <col min="1" max="1" width="2.42578125" customWidth="1"/>
    <col min="2" max="2" width="5.85546875" customWidth="1"/>
    <col min="3" max="3" width="41.140625" customWidth="1"/>
    <col min="4" max="4" width="19.42578125" customWidth="1"/>
    <col min="5" max="5" width="14.5703125" customWidth="1"/>
    <col min="6" max="6" width="13.140625" customWidth="1"/>
    <col min="7" max="11" width="13.42578125" customWidth="1"/>
    <col min="12" max="12" width="16.42578125" customWidth="1"/>
    <col min="13" max="18" width="13.42578125" customWidth="1"/>
    <col min="19" max="19" width="3.42578125" customWidth="1"/>
  </cols>
  <sheetData>
    <row r="1" spans="2:24" ht="30" customHeight="1" x14ac:dyDescent="0.25">
      <c r="B1" s="615" t="s">
        <v>666</v>
      </c>
    </row>
    <row r="2" spans="2:24" ht="30" customHeight="1" x14ac:dyDescent="0.25">
      <c r="B2" s="157" t="s">
        <v>667</v>
      </c>
      <c r="C2" s="157"/>
      <c r="D2" s="156"/>
      <c r="E2" s="173"/>
      <c r="F2" s="156"/>
      <c r="G2" s="156"/>
      <c r="H2" s="156"/>
      <c r="I2" s="156"/>
      <c r="J2" s="156"/>
      <c r="K2" s="156"/>
      <c r="L2" s="156"/>
      <c r="M2" s="156"/>
      <c r="N2" s="156"/>
      <c r="O2" s="156"/>
      <c r="P2" s="156"/>
      <c r="Q2" s="156"/>
      <c r="R2" s="156"/>
      <c r="S2" s="156"/>
      <c r="T2" s="156"/>
      <c r="U2" s="156"/>
      <c r="V2" s="156"/>
      <c r="W2" s="156"/>
      <c r="X2" s="156"/>
    </row>
    <row r="4" spans="2:24" x14ac:dyDescent="0.25">
      <c r="B4" s="158" t="s">
        <v>668</v>
      </c>
      <c r="C4" s="347"/>
      <c r="D4" s="347"/>
      <c r="E4" s="347"/>
      <c r="F4" s="347"/>
      <c r="G4" s="347"/>
      <c r="H4" s="347"/>
      <c r="I4" s="347"/>
      <c r="J4" s="347"/>
      <c r="K4" s="347"/>
      <c r="L4" s="347"/>
      <c r="M4" s="347"/>
      <c r="N4" s="347"/>
      <c r="O4" s="347"/>
      <c r="P4" s="347"/>
      <c r="Q4" s="347"/>
      <c r="R4" s="347"/>
      <c r="S4" s="159"/>
    </row>
    <row r="5" spans="2:24" x14ac:dyDescent="0.25">
      <c r="B5" s="162"/>
      <c r="C5" t="s">
        <v>669</v>
      </c>
      <c r="S5" s="161"/>
    </row>
    <row r="6" spans="2:24" x14ac:dyDescent="0.25">
      <c r="B6" s="162"/>
      <c r="C6" t="s">
        <v>670</v>
      </c>
      <c r="S6" s="161"/>
    </row>
    <row r="7" spans="2:24" x14ac:dyDescent="0.25">
      <c r="B7" s="162"/>
      <c r="C7" t="s">
        <v>671</v>
      </c>
      <c r="S7" s="161"/>
    </row>
    <row r="8" spans="2:24" x14ac:dyDescent="0.25">
      <c r="B8" s="163"/>
      <c r="C8" s="164"/>
      <c r="D8" s="164"/>
      <c r="E8" s="164"/>
      <c r="F8" s="164"/>
      <c r="G8" s="164"/>
      <c r="H8" s="164"/>
      <c r="I8" s="164"/>
      <c r="J8" s="164"/>
      <c r="K8" s="164"/>
      <c r="L8" s="164"/>
      <c r="M8" s="164"/>
      <c r="N8" s="164"/>
      <c r="O8" s="164"/>
      <c r="P8" s="164"/>
      <c r="Q8" s="164"/>
      <c r="R8" s="164"/>
      <c r="S8" s="161"/>
    </row>
    <row r="9" spans="2:24" x14ac:dyDescent="0.25">
      <c r="S9" s="202"/>
    </row>
    <row r="10" spans="2:24" x14ac:dyDescent="0.25">
      <c r="B10" s="158" t="s">
        <v>672</v>
      </c>
      <c r="C10" s="347"/>
      <c r="D10" s="347"/>
      <c r="E10" s="347"/>
      <c r="F10" s="347"/>
      <c r="G10" s="347"/>
      <c r="H10" s="347"/>
      <c r="I10" s="347"/>
      <c r="J10" s="347"/>
      <c r="K10" s="347"/>
      <c r="L10" s="347"/>
      <c r="M10" s="347"/>
      <c r="N10" s="347"/>
      <c r="O10" s="347"/>
      <c r="P10" s="347"/>
      <c r="Q10" s="347"/>
      <c r="R10" s="347"/>
      <c r="S10" s="161"/>
    </row>
    <row r="11" spans="2:24" x14ac:dyDescent="0.25">
      <c r="B11" s="160"/>
      <c r="C11" t="s">
        <v>673</v>
      </c>
      <c r="E11" s="150" t="s">
        <v>66</v>
      </c>
      <c r="S11" s="161"/>
    </row>
    <row r="12" spans="2:24" x14ac:dyDescent="0.25">
      <c r="B12" s="160"/>
      <c r="C12" t="s">
        <v>86</v>
      </c>
      <c r="E12" s="150" t="s">
        <v>107</v>
      </c>
      <c r="G12" s="128">
        <f>'Population selection'!F14</f>
        <v>45219492</v>
      </c>
      <c r="H12" t="str">
        <f>C25&amp;" population based on selection on left using mid-2022 ONS data"</f>
        <v>Adult population population based on selection on left using mid-2022 ONS data</v>
      </c>
      <c r="S12" s="161"/>
    </row>
    <row r="13" spans="2:24" x14ac:dyDescent="0.25">
      <c r="B13" s="160"/>
      <c r="E13" s="697"/>
      <c r="G13" s="155">
        <f>2.05533586601874%</f>
        <v>2.0553358660187402E-2</v>
      </c>
      <c r="H13" t="s">
        <v>674</v>
      </c>
      <c r="S13" s="161"/>
    </row>
    <row r="14" spans="2:24" x14ac:dyDescent="0.25">
      <c r="B14" s="160"/>
      <c r="C14" s="148"/>
      <c r="G14" s="128">
        <f>(100%+G13)*G12</f>
        <v>46148904.437507473</v>
      </c>
      <c r="H14" t="s">
        <v>675</v>
      </c>
      <c r="S14" s="161"/>
    </row>
    <row r="15" spans="2:24" x14ac:dyDescent="0.25">
      <c r="B15" s="162"/>
      <c r="C15" t="s">
        <v>676</v>
      </c>
      <c r="E15" s="240" t="s">
        <v>64</v>
      </c>
      <c r="F15" s="172" t="str">
        <f>IF(E15="yes","","If no, enter current locality population below")</f>
        <v/>
      </c>
      <c r="S15" s="161"/>
    </row>
    <row r="16" spans="2:24" x14ac:dyDescent="0.25">
      <c r="B16" s="162"/>
      <c r="F16" s="172" t="str">
        <f>IF(AND(NOT(ISBLANK(E17)),E15="yes"),"error - change cell above to 'no'","")</f>
        <v/>
      </c>
      <c r="S16" s="161"/>
    </row>
    <row r="17" spans="2:24" x14ac:dyDescent="0.25">
      <c r="B17" s="162"/>
      <c r="C17" t="str">
        <f>"Manually entered current locality population "&amp;IF(E15="no","","(n/a)")</f>
        <v>Manually entered current locality population (n/a)</v>
      </c>
      <c r="E17" s="377"/>
      <c r="F17" s="172" t="str">
        <f>IF(E15="yes","Leave blue cell on left blank if NICE estimate is used","")</f>
        <v>Leave blue cell on left blank if NICE estimate is used</v>
      </c>
      <c r="S17" s="161"/>
    </row>
    <row r="18" spans="2:24" x14ac:dyDescent="0.25">
      <c r="B18" s="162"/>
      <c r="F18" s="172" t="str">
        <f>IF(AND(ISBLANK(E17),E15="no"),"error - enter current locality population above","")</f>
        <v/>
      </c>
      <c r="S18" s="161"/>
    </row>
    <row r="19" spans="2:24" x14ac:dyDescent="0.25">
      <c r="B19" s="162"/>
      <c r="C19" t="s">
        <v>677</v>
      </c>
      <c r="D19" s="153"/>
      <c r="E19" s="155">
        <v>9.6418074639288403E-3</v>
      </c>
      <c r="F19" t="str">
        <f>IF(E19=0.00964180746392884,"Enter local value or delete the NICE assumption if required","Local value")</f>
        <v>Enter local value or delete the NICE assumption if required</v>
      </c>
      <c r="S19" s="161"/>
    </row>
    <row r="20" spans="2:24" x14ac:dyDescent="0.25">
      <c r="B20" s="162"/>
      <c r="C20" t="s">
        <v>678</v>
      </c>
      <c r="D20" s="153"/>
      <c r="E20" s="155">
        <v>0</v>
      </c>
      <c r="F20" t="str">
        <f>IF(E20=0,"Enter local value or delete the NICE assumption if required","Local value")</f>
        <v>Enter local value or delete the NICE assumption if required</v>
      </c>
      <c r="S20" s="161"/>
    </row>
    <row r="21" spans="2:24" x14ac:dyDescent="0.25">
      <c r="B21" s="163"/>
      <c r="C21" s="164"/>
      <c r="D21" s="164"/>
      <c r="E21" s="164"/>
      <c r="F21" s="164"/>
      <c r="G21" s="164"/>
      <c r="H21" s="164"/>
      <c r="I21" s="164"/>
      <c r="J21" s="164"/>
      <c r="K21" s="164"/>
      <c r="L21" s="164"/>
      <c r="M21" s="164"/>
      <c r="N21" s="164"/>
      <c r="O21" s="164"/>
      <c r="P21" s="164"/>
      <c r="Q21" s="164"/>
      <c r="R21" s="164"/>
      <c r="S21" s="165"/>
    </row>
    <row r="23" spans="2:24" x14ac:dyDescent="0.25">
      <c r="B23" s="158" t="s">
        <v>679</v>
      </c>
      <c r="C23" s="347"/>
      <c r="D23" s="347"/>
      <c r="E23" s="347"/>
      <c r="F23" s="347"/>
      <c r="G23" s="347"/>
      <c r="H23" s="347"/>
      <c r="I23" s="347"/>
      <c r="J23" s="347"/>
      <c r="K23" s="347"/>
      <c r="L23" s="347"/>
      <c r="M23" s="347"/>
      <c r="N23" s="347"/>
      <c r="O23" s="347"/>
      <c r="P23" s="347"/>
      <c r="Q23" s="347"/>
      <c r="R23" s="347"/>
      <c r="S23" s="347"/>
      <c r="T23" s="347"/>
      <c r="U23" s="347"/>
      <c r="V23" s="347"/>
      <c r="W23" s="347"/>
      <c r="X23" s="159"/>
    </row>
    <row r="24" spans="2:24" ht="84.95" customHeight="1" x14ac:dyDescent="0.25">
      <c r="B24" s="160"/>
      <c r="F24" s="245" t="s">
        <v>680</v>
      </c>
      <c r="G24" s="167" t="s">
        <v>681</v>
      </c>
      <c r="H24" s="232" t="s">
        <v>682</v>
      </c>
      <c r="I24" s="431"/>
      <c r="J24" s="431"/>
      <c r="K24" s="431"/>
      <c r="L24" s="431"/>
      <c r="M24" s="431"/>
      <c r="N24" s="431"/>
      <c r="O24" s="431"/>
      <c r="P24" s="431"/>
      <c r="Q24" s="431"/>
      <c r="R24" s="431"/>
      <c r="S24" s="431"/>
      <c r="T24" s="431"/>
      <c r="U24" s="431"/>
      <c r="V24" s="431"/>
      <c r="W24" s="431"/>
      <c r="X24" s="233"/>
    </row>
    <row r="25" spans="2:24" x14ac:dyDescent="0.25">
      <c r="B25" s="160"/>
      <c r="C25" s="244" t="s">
        <v>683</v>
      </c>
      <c r="D25" s="247"/>
      <c r="E25" s="170"/>
      <c r="F25" s="128">
        <f>IF(ISBLANK(E17),G14,'Population selection'!F16)</f>
        <v>46148904.437507473</v>
      </c>
      <c r="G25" s="246"/>
      <c r="H25" s="243" t="s">
        <v>684</v>
      </c>
      <c r="I25" s="202"/>
      <c r="J25" s="202"/>
      <c r="K25" s="202"/>
      <c r="L25" s="202"/>
      <c r="M25" s="202"/>
      <c r="N25" s="202"/>
      <c r="O25" s="202"/>
      <c r="P25" s="202"/>
      <c r="Q25" s="202"/>
      <c r="R25" s="202"/>
      <c r="S25" s="202"/>
      <c r="T25" s="202"/>
      <c r="U25" s="202"/>
      <c r="V25" s="202"/>
      <c r="W25" s="202"/>
      <c r="X25" s="170"/>
    </row>
    <row r="26" spans="2:24" x14ac:dyDescent="0.25">
      <c r="B26" s="160"/>
      <c r="C26" s="698" t="s">
        <v>685</v>
      </c>
      <c r="D26" s="248"/>
      <c r="E26" s="170"/>
      <c r="F26" s="212"/>
      <c r="G26" s="128">
        <f>K40</f>
        <v>48417016.421111427</v>
      </c>
      <c r="H26" s="243" t="s">
        <v>684</v>
      </c>
      <c r="I26" s="164"/>
      <c r="J26" s="164"/>
      <c r="K26" s="164"/>
      <c r="L26" s="164"/>
      <c r="M26" s="164"/>
      <c r="N26" s="164"/>
      <c r="O26" s="164"/>
      <c r="P26" s="164"/>
      <c r="Q26" s="164"/>
      <c r="R26" s="164"/>
      <c r="S26" s="164"/>
      <c r="T26" s="164"/>
      <c r="U26" s="164"/>
      <c r="V26" s="164"/>
      <c r="W26" s="164"/>
      <c r="X26" s="165"/>
    </row>
    <row r="27" spans="2:24" ht="15.75" customHeight="1" x14ac:dyDescent="0.25">
      <c r="B27" s="162"/>
      <c r="C27" s="169" t="s">
        <v>686</v>
      </c>
      <c r="D27" s="170"/>
      <c r="E27" s="766"/>
      <c r="F27" s="767">
        <f>F25*E27</f>
        <v>0</v>
      </c>
      <c r="G27" s="767">
        <f>G26*E27</f>
        <v>0</v>
      </c>
      <c r="H27" s="699" t="s">
        <v>687</v>
      </c>
      <c r="I27" s="742"/>
      <c r="J27" s="742"/>
      <c r="K27" s="742"/>
      <c r="L27" s="742"/>
      <c r="M27" s="742"/>
      <c r="N27" s="742"/>
      <c r="O27" s="742"/>
      <c r="P27" s="742"/>
      <c r="Q27" s="742"/>
      <c r="R27" s="742"/>
      <c r="S27" s="742"/>
      <c r="T27" s="742"/>
      <c r="U27" s="742"/>
      <c r="V27" s="742"/>
      <c r="W27" s="742"/>
      <c r="X27" s="743"/>
    </row>
    <row r="28" spans="2:24" ht="15.75" customHeight="1" x14ac:dyDescent="0.25">
      <c r="B28" s="162"/>
      <c r="C28" s="169" t="s">
        <v>688</v>
      </c>
      <c r="D28" s="159"/>
      <c r="E28" s="768">
        <v>2.5000000000000001E-2</v>
      </c>
      <c r="F28" s="767">
        <f>F27*E28</f>
        <v>0</v>
      </c>
      <c r="G28" s="767">
        <f>G27*E28</f>
        <v>0</v>
      </c>
      <c r="H28" s="748" t="s">
        <v>689</v>
      </c>
      <c r="I28" s="749"/>
      <c r="J28" s="202"/>
      <c r="K28" s="202"/>
      <c r="L28" s="202"/>
      <c r="M28" s="202"/>
      <c r="N28" s="202"/>
      <c r="O28" s="202"/>
      <c r="P28" s="202"/>
      <c r="Q28" s="202"/>
      <c r="R28" s="202"/>
      <c r="S28" s="202"/>
      <c r="T28" s="202"/>
      <c r="U28" s="202"/>
      <c r="V28" s="202"/>
      <c r="W28" s="202"/>
      <c r="X28" s="170"/>
    </row>
    <row r="29" spans="2:24" ht="15.75" customHeight="1" x14ac:dyDescent="0.25">
      <c r="B29" s="162"/>
      <c r="C29" s="751" t="s">
        <v>690</v>
      </c>
      <c r="D29" s="170"/>
      <c r="E29" s="769"/>
      <c r="F29" s="750">
        <f>F27-F28</f>
        <v>0</v>
      </c>
      <c r="G29" s="750">
        <f>G27-G28</f>
        <v>0</v>
      </c>
      <c r="H29" s="204"/>
      <c r="I29" s="202"/>
      <c r="J29" s="202"/>
      <c r="K29" s="202"/>
      <c r="L29" s="202"/>
      <c r="M29" s="202"/>
      <c r="N29" s="202"/>
      <c r="O29" s="202"/>
      <c r="P29" s="202"/>
      <c r="Q29" s="202"/>
      <c r="R29" s="202"/>
      <c r="S29" s="202"/>
      <c r="T29" s="202"/>
      <c r="U29" s="202"/>
      <c r="V29" s="202"/>
      <c r="W29" s="202"/>
      <c r="X29" s="170"/>
    </row>
    <row r="30" spans="2:24" ht="15.75" customHeight="1" x14ac:dyDescent="0.25">
      <c r="B30" s="162"/>
      <c r="C30" s="751" t="s">
        <v>691</v>
      </c>
      <c r="D30" s="347"/>
      <c r="E30" s="770"/>
      <c r="F30" s="750">
        <f>E30*F25</f>
        <v>0</v>
      </c>
      <c r="G30" s="750">
        <f>E30*G26</f>
        <v>0</v>
      </c>
      <c r="H30" s="204" t="s">
        <v>687</v>
      </c>
      <c r="I30" s="202"/>
      <c r="J30" s="202"/>
      <c r="K30" s="202"/>
      <c r="L30" s="202"/>
      <c r="M30" s="202"/>
      <c r="N30" s="202"/>
      <c r="O30" s="202"/>
      <c r="P30" s="202"/>
      <c r="Q30" s="202"/>
      <c r="R30" s="202"/>
      <c r="S30" s="202"/>
      <c r="T30" s="202"/>
      <c r="U30" s="202"/>
      <c r="V30" s="202"/>
      <c r="W30" s="202"/>
      <c r="X30" s="170"/>
    </row>
    <row r="31" spans="2:24" x14ac:dyDescent="0.25">
      <c r="B31" s="162"/>
      <c r="C31" s="231" t="s">
        <v>692</v>
      </c>
      <c r="D31" s="202"/>
      <c r="E31" s="771"/>
      <c r="F31" s="750">
        <f>F29</f>
        <v>0</v>
      </c>
      <c r="G31" s="750">
        <f>G29+G30</f>
        <v>0</v>
      </c>
      <c r="H31" s="204"/>
      <c r="I31" s="202"/>
      <c r="J31" s="202"/>
      <c r="K31" s="202"/>
      <c r="L31" s="202"/>
      <c r="M31" s="202"/>
      <c r="N31" s="202"/>
      <c r="O31" s="202"/>
      <c r="P31" s="202"/>
      <c r="Q31" s="202"/>
      <c r="R31" s="202"/>
      <c r="S31" s="202"/>
      <c r="T31" s="202"/>
      <c r="U31" s="202"/>
      <c r="V31" s="202"/>
      <c r="W31" s="202"/>
      <c r="X31" s="170"/>
    </row>
    <row r="33" spans="2:24" x14ac:dyDescent="0.25">
      <c r="B33" s="162"/>
      <c r="C33" t="s">
        <v>693</v>
      </c>
      <c r="F33" s="240" t="s">
        <v>64</v>
      </c>
      <c r="G33" s="378"/>
      <c r="H33" s="195"/>
      <c r="X33" s="161"/>
    </row>
    <row r="35" spans="2:24" x14ac:dyDescent="0.25">
      <c r="B35" s="162"/>
      <c r="C35" t="str">
        <f>"Manually entered current eligible population "&amp;IF(F33="no","","(n/a)")</f>
        <v>Manually entered current eligible population (n/a)</v>
      </c>
      <c r="F35" s="588"/>
      <c r="G35" s="640" t="str">
        <f>IF(F33="yes","Leave blue cell on left blank if NICE estimate is used","local value")</f>
        <v>Leave blue cell on left blank if NICE estimate is used</v>
      </c>
      <c r="X35" s="161"/>
    </row>
    <row r="36" spans="2:24" x14ac:dyDescent="0.25">
      <c r="B36" s="162"/>
      <c r="G36" s="641" t="str">
        <f>IF(AND(F33="yes",F35&gt;0),"error, set the drop down above to be 'no'","")</f>
        <v/>
      </c>
      <c r="X36" s="161"/>
    </row>
    <row r="37" spans="2:24" ht="45" x14ac:dyDescent="0.25">
      <c r="B37" s="162"/>
      <c r="C37" s="164"/>
      <c r="F37" s="241" t="s">
        <v>680</v>
      </c>
      <c r="G37" s="167" t="s">
        <v>694</v>
      </c>
      <c r="H37" s="167" t="s">
        <v>695</v>
      </c>
      <c r="I37" s="242" t="s">
        <v>696</v>
      </c>
      <c r="J37" s="167" t="s">
        <v>697</v>
      </c>
      <c r="K37" s="167" t="s">
        <v>698</v>
      </c>
      <c r="L37" s="642"/>
      <c r="M37" s="642"/>
      <c r="N37" s="642"/>
      <c r="O37" s="642"/>
      <c r="P37" s="642"/>
      <c r="Q37" s="642"/>
      <c r="X37" s="161"/>
    </row>
    <row r="38" spans="2:24" x14ac:dyDescent="0.25">
      <c r="B38" s="162"/>
      <c r="C38" s="243" t="s">
        <v>699</v>
      </c>
      <c r="D38" s="202"/>
      <c r="E38" s="170"/>
      <c r="F38" s="212"/>
      <c r="G38" s="369">
        <f>IF(E19&lt;&gt;"",E19+100%,100%)</f>
        <v>1.0096418074639288</v>
      </c>
      <c r="H38" s="369">
        <f>IF($E$19&lt;&gt;"",G38*(100%+$E$19),100%)</f>
        <v>1.0193765793790293</v>
      </c>
      <c r="I38" s="369">
        <f>IF($E$19&lt;&gt;"",H38*(100%+$E$19),100%)</f>
        <v>1.0292052120906403</v>
      </c>
      <c r="J38" s="369">
        <f>IF($E$19&lt;&gt;"",I38*(100%+$E$19),100%)</f>
        <v>1.0391286105864903</v>
      </c>
      <c r="K38" s="369">
        <f>IF($E$19&lt;&gt;"",J38*(100%+$E$19),100%)</f>
        <v>1.0491476885800251</v>
      </c>
      <c r="L38" t="s">
        <v>700</v>
      </c>
      <c r="M38" s="635"/>
      <c r="N38" s="635"/>
      <c r="O38" s="635"/>
      <c r="P38" s="635"/>
      <c r="Q38" s="635"/>
      <c r="X38" s="161"/>
    </row>
    <row r="39" spans="2:24" x14ac:dyDescent="0.25">
      <c r="B39" s="162"/>
      <c r="C39" s="243" t="s">
        <v>701</v>
      </c>
      <c r="D39" s="202"/>
      <c r="E39" s="170"/>
      <c r="F39" s="212"/>
      <c r="G39" s="369">
        <f>IF(E20&lt;&gt;"",E20+100%,100%)</f>
        <v>1</v>
      </c>
      <c r="H39" s="369">
        <f>IF($E$20&lt;&gt;"",G39*(100%+$E$20),100%)</f>
        <v>1</v>
      </c>
      <c r="I39" s="369">
        <f>IF($E$20&lt;&gt;"",H39*(100%+$E$20),100%)</f>
        <v>1</v>
      </c>
      <c r="J39" s="369">
        <f>IF($E$20&lt;&gt;"",I39*(100%+$E$20),100%)</f>
        <v>1</v>
      </c>
      <c r="K39" s="369">
        <f>IF($E$20&lt;&gt;"",J39*(100%+$E$20),100%)</f>
        <v>1</v>
      </c>
      <c r="L39" t="s">
        <v>700</v>
      </c>
      <c r="M39" s="635"/>
      <c r="N39" s="635"/>
      <c r="O39" s="635"/>
      <c r="P39" s="635"/>
      <c r="Q39" s="635"/>
      <c r="X39" s="161"/>
    </row>
    <row r="40" spans="2:24" x14ac:dyDescent="0.25">
      <c r="B40" s="162"/>
      <c r="C40" s="429" t="str">
        <f>IF('Inputs and eligible population'!E17=0,"Baseline population (inflated by growth(s))","Manually entered locality population (inflated by growth(s))")</f>
        <v>Baseline population (inflated by growth(s))</v>
      </c>
      <c r="D40" s="202"/>
      <c r="E40" s="170"/>
      <c r="F40" s="128">
        <f>IF(ISBLANK(E17),G14,'Population selection'!F16)</f>
        <v>46148904.437507473</v>
      </c>
      <c r="G40" s="128">
        <f>F40*G38</f>
        <v>46593863.28876517</v>
      </c>
      <c r="H40" s="128">
        <f>F40*H38</f>
        <v>47043112.347596072</v>
      </c>
      <c r="I40" s="128">
        <f>F40*I38</f>
        <v>47496692.979355574</v>
      </c>
      <c r="J40" s="128">
        <f>F40*J38</f>
        <v>47954646.948235855</v>
      </c>
      <c r="K40" s="128">
        <f>F40*K38</f>
        <v>48417016.421111427</v>
      </c>
      <c r="M40" s="297"/>
      <c r="N40" s="297"/>
      <c r="O40" s="297"/>
      <c r="P40" s="297"/>
      <c r="Q40" s="297"/>
      <c r="X40" s="161"/>
    </row>
    <row r="41" spans="2:24" x14ac:dyDescent="0.25">
      <c r="B41" s="162"/>
      <c r="C41" s="716" t="s">
        <v>702</v>
      </c>
      <c r="D41" s="202"/>
      <c r="E41" s="170"/>
      <c r="F41" s="186">
        <f>F29</f>
        <v>0</v>
      </c>
      <c r="G41" s="186">
        <f>$F$41*G38*G39</f>
        <v>0</v>
      </c>
      <c r="H41" s="186">
        <f t="shared" ref="H41:K41" si="0">$F$41*H38*H39</f>
        <v>0</v>
      </c>
      <c r="I41" s="186">
        <f t="shared" si="0"/>
        <v>0</v>
      </c>
      <c r="J41" s="186">
        <f t="shared" si="0"/>
        <v>0</v>
      </c>
      <c r="K41" s="186">
        <f t="shared" si="0"/>
        <v>0</v>
      </c>
      <c r="M41" s="297"/>
      <c r="N41" s="297"/>
      <c r="O41" s="297"/>
      <c r="P41" s="297"/>
      <c r="Q41" s="297"/>
      <c r="X41" s="161"/>
    </row>
    <row r="42" spans="2:24" x14ac:dyDescent="0.25">
      <c r="B42" s="162"/>
      <c r="C42" s="716" t="s">
        <v>703</v>
      </c>
      <c r="D42" s="202"/>
      <c r="E42" s="170"/>
      <c r="F42" s="186">
        <f>F30</f>
        <v>0</v>
      </c>
      <c r="G42" s="186">
        <f>$F$42*G38*G39</f>
        <v>0</v>
      </c>
      <c r="H42" s="186">
        <f>$F$42*H38*H39</f>
        <v>0</v>
      </c>
      <c r="I42" s="186">
        <f t="shared" ref="I42:K42" si="1">$F$42*I38*I39</f>
        <v>0</v>
      </c>
      <c r="J42" s="186">
        <f t="shared" si="1"/>
        <v>0</v>
      </c>
      <c r="K42" s="186">
        <f t="shared" si="1"/>
        <v>0</v>
      </c>
      <c r="M42" s="297"/>
      <c r="N42" s="297"/>
      <c r="O42" s="297"/>
      <c r="P42" s="297"/>
      <c r="Q42" s="297"/>
      <c r="X42" s="161"/>
    </row>
    <row r="43" spans="2:24" x14ac:dyDescent="0.25">
      <c r="B43" s="162"/>
      <c r="C43" s="716" t="s">
        <v>704</v>
      </c>
      <c r="D43" s="202"/>
      <c r="E43" s="170"/>
      <c r="F43" s="744">
        <f>(F41+F42)*$E$50*E61</f>
        <v>0</v>
      </c>
      <c r="G43" s="128">
        <f>(G41+G42)*$E$50*F60</f>
        <v>0</v>
      </c>
      <c r="H43" s="128">
        <f t="shared" ref="H43:K43" si="2">(H41+H42)*$E$50*G60</f>
        <v>0</v>
      </c>
      <c r="I43" s="128">
        <f t="shared" si="2"/>
        <v>0</v>
      </c>
      <c r="J43" s="128">
        <f t="shared" si="2"/>
        <v>0</v>
      </c>
      <c r="K43" s="128">
        <f t="shared" si="2"/>
        <v>0</v>
      </c>
      <c r="M43" s="297"/>
      <c r="N43" s="297"/>
      <c r="O43" s="297"/>
      <c r="P43" s="297"/>
      <c r="Q43" s="297"/>
      <c r="X43" s="161"/>
    </row>
    <row r="44" spans="2:24" x14ac:dyDescent="0.25">
      <c r="B44" s="162"/>
      <c r="C44" s="231" t="str">
        <f>IF(ISBLANK(F35),"Eligible population, NICE estimate","Eligible population, local estimate")</f>
        <v>Eligible population, NICE estimate</v>
      </c>
      <c r="D44" s="202"/>
      <c r="E44" s="170"/>
      <c r="F44" s="186">
        <f>IF(ISBLANK(F35),F31,F35)</f>
        <v>0</v>
      </c>
      <c r="G44" s="186">
        <f>G41+G42-G43</f>
        <v>0</v>
      </c>
      <c r="H44" s="186">
        <f t="shared" ref="H44:K44" si="3">H41+H42-H43</f>
        <v>0</v>
      </c>
      <c r="I44" s="186">
        <f t="shared" si="3"/>
        <v>0</v>
      </c>
      <c r="J44" s="186">
        <f t="shared" si="3"/>
        <v>0</v>
      </c>
      <c r="K44" s="186">
        <f t="shared" si="3"/>
        <v>0</v>
      </c>
      <c r="L44" s="172" t="str">
        <f>IF(F33="no","local estimate used","")</f>
        <v/>
      </c>
      <c r="M44" s="378"/>
      <c r="N44" s="378"/>
      <c r="O44" s="378"/>
      <c r="P44" s="378"/>
      <c r="Q44" s="378"/>
      <c r="X44" s="161"/>
    </row>
    <row r="45" spans="2:24" x14ac:dyDescent="0.25">
      <c r="B45" s="163"/>
      <c r="C45" s="164"/>
      <c r="D45" s="164"/>
      <c r="E45" s="164"/>
      <c r="F45" s="164"/>
      <c r="G45" s="164"/>
      <c r="H45" s="164"/>
      <c r="I45" s="164"/>
      <c r="J45" s="164"/>
      <c r="K45" s="164"/>
      <c r="L45" s="164"/>
      <c r="M45" s="164"/>
      <c r="N45" s="164"/>
      <c r="O45" s="164"/>
      <c r="P45" s="164"/>
      <c r="Q45" s="164"/>
      <c r="R45" s="164"/>
      <c r="S45" s="164"/>
      <c r="T45" s="164"/>
      <c r="U45" s="164"/>
      <c r="V45" s="164"/>
      <c r="W45" s="164"/>
      <c r="X45" s="165"/>
    </row>
    <row r="52" spans="2:19" x14ac:dyDescent="0.25">
      <c r="B52" s="162"/>
      <c r="C52" s="153"/>
      <c r="D52" s="218" t="s">
        <v>705</v>
      </c>
      <c r="E52" s="218"/>
      <c r="S52" s="161"/>
    </row>
    <row r="53" spans="2:19" x14ac:dyDescent="0.25">
      <c r="B53" s="162"/>
      <c r="D53" s="153"/>
      <c r="E53" s="153"/>
      <c r="F53" s="153"/>
      <c r="G53" s="153"/>
      <c r="S53" s="161"/>
    </row>
    <row r="54" spans="2:19" ht="32.1" customHeight="1" x14ac:dyDescent="0.25">
      <c r="B54" s="162"/>
      <c r="C54" s="212" t="s">
        <v>706</v>
      </c>
      <c r="D54" s="217" t="s">
        <v>707</v>
      </c>
      <c r="E54" s="213"/>
      <c r="F54" s="213"/>
      <c r="G54" s="213"/>
      <c r="H54" s="214"/>
      <c r="I54" s="215" t="s">
        <v>708</v>
      </c>
      <c r="J54" s="167" t="s">
        <v>709</v>
      </c>
      <c r="K54" s="215" t="s">
        <v>710</v>
      </c>
      <c r="S54" s="161"/>
    </row>
    <row r="55" spans="2:19" x14ac:dyDescent="0.25">
      <c r="B55" s="162"/>
      <c r="C55" s="366" t="s">
        <v>711</v>
      </c>
      <c r="D55" s="204" t="s">
        <v>712</v>
      </c>
      <c r="E55" s="205"/>
      <c r="F55" s="205"/>
      <c r="G55" s="205"/>
      <c r="H55" s="202"/>
      <c r="I55" s="772"/>
      <c r="J55" s="773">
        <v>0.2</v>
      </c>
      <c r="K55" s="700" t="s">
        <v>687</v>
      </c>
      <c r="S55" s="161"/>
    </row>
    <row r="56" spans="2:19" x14ac:dyDescent="0.25">
      <c r="B56" s="162"/>
      <c r="C56" s="739"/>
      <c r="D56" s="153"/>
      <c r="E56" s="153"/>
      <c r="F56" s="153"/>
      <c r="G56" s="153"/>
      <c r="S56" s="161"/>
    </row>
    <row r="57" spans="2:19" x14ac:dyDescent="0.25">
      <c r="B57" s="162"/>
      <c r="D57" s="153"/>
      <c r="E57" s="153"/>
      <c r="F57" s="153"/>
      <c r="G57" s="153"/>
      <c r="S57" s="161"/>
    </row>
    <row r="58" spans="2:19" x14ac:dyDescent="0.25">
      <c r="B58" s="162"/>
      <c r="C58" s="148" t="s">
        <v>713</v>
      </c>
      <c r="S58" s="161"/>
    </row>
    <row r="59" spans="2:19" x14ac:dyDescent="0.25">
      <c r="B59" s="162"/>
      <c r="D59" s="740" t="s">
        <v>714</v>
      </c>
      <c r="E59" s="216" t="s">
        <v>715</v>
      </c>
      <c r="F59" s="216" t="s">
        <v>716</v>
      </c>
      <c r="G59" s="216" t="s">
        <v>717</v>
      </c>
      <c r="H59" s="216" t="s">
        <v>718</v>
      </c>
      <c r="I59" s="215" t="s">
        <v>719</v>
      </c>
      <c r="J59" s="215" t="s">
        <v>720</v>
      </c>
      <c r="L59" s="215" t="s">
        <v>715</v>
      </c>
      <c r="M59" s="643" t="s">
        <v>716</v>
      </c>
      <c r="N59" s="216" t="s">
        <v>717</v>
      </c>
      <c r="O59" s="216" t="s">
        <v>718</v>
      </c>
      <c r="P59" s="215" t="s">
        <v>719</v>
      </c>
      <c r="Q59" s="215" t="s">
        <v>720</v>
      </c>
      <c r="S59" s="161"/>
    </row>
    <row r="60" spans="2:19" x14ac:dyDescent="0.25">
      <c r="B60" s="162"/>
      <c r="D60" s="371" t="s">
        <v>721</v>
      </c>
      <c r="E60" s="774">
        <v>0</v>
      </c>
      <c r="F60" s="774">
        <v>0.75</v>
      </c>
      <c r="G60" s="774">
        <v>0.75</v>
      </c>
      <c r="H60" s="774">
        <v>0.75</v>
      </c>
      <c r="I60" s="774">
        <v>0.75</v>
      </c>
      <c r="J60" s="774">
        <v>0.75</v>
      </c>
      <c r="L60" s="775">
        <f t="shared" ref="L60:P60" si="4">F44*E60</f>
        <v>0</v>
      </c>
      <c r="M60" s="776">
        <f>G44*F60</f>
        <v>0</v>
      </c>
      <c r="N60" s="776">
        <f t="shared" si="4"/>
        <v>0</v>
      </c>
      <c r="O60" s="776">
        <f t="shared" si="4"/>
        <v>0</v>
      </c>
      <c r="P60" s="776">
        <f t="shared" si="4"/>
        <v>0</v>
      </c>
      <c r="Q60" s="776">
        <f>K44*J60</f>
        <v>0</v>
      </c>
      <c r="S60" s="161"/>
    </row>
    <row r="61" spans="2:19" x14ac:dyDescent="0.25">
      <c r="B61" s="162"/>
      <c r="D61" s="371" t="s">
        <v>722</v>
      </c>
      <c r="E61" s="774">
        <v>0</v>
      </c>
      <c r="F61" s="774">
        <v>0</v>
      </c>
      <c r="G61" s="774">
        <v>0</v>
      </c>
      <c r="H61" s="774">
        <v>0</v>
      </c>
      <c r="I61" s="774">
        <v>0</v>
      </c>
      <c r="J61" s="774">
        <v>0</v>
      </c>
      <c r="L61" s="775">
        <f t="shared" ref="L61:Q61" si="5">F44*E61</f>
        <v>0</v>
      </c>
      <c r="M61" s="776">
        <f t="shared" si="5"/>
        <v>0</v>
      </c>
      <c r="N61" s="776">
        <f t="shared" si="5"/>
        <v>0</v>
      </c>
      <c r="O61" s="776">
        <f t="shared" si="5"/>
        <v>0</v>
      </c>
      <c r="P61" s="776">
        <f t="shared" si="5"/>
        <v>0</v>
      </c>
      <c r="Q61" s="776">
        <f t="shared" si="5"/>
        <v>0</v>
      </c>
      <c r="R61" s="508"/>
      <c r="S61" s="161"/>
    </row>
    <row r="62" spans="2:19" x14ac:dyDescent="0.25">
      <c r="B62" s="162"/>
      <c r="D62" s="371" t="s">
        <v>723</v>
      </c>
      <c r="E62" s="774">
        <f>100%-E61</f>
        <v>1</v>
      </c>
      <c r="F62" s="774">
        <v>0.25</v>
      </c>
      <c r="G62" s="774">
        <v>0.25</v>
      </c>
      <c r="H62" s="774">
        <v>0.25</v>
      </c>
      <c r="I62" s="774">
        <v>0.25</v>
      </c>
      <c r="J62" s="774">
        <v>0.25</v>
      </c>
      <c r="L62" s="776">
        <f t="shared" ref="L62:P62" si="6">F44*E62</f>
        <v>0</v>
      </c>
      <c r="M62" s="776">
        <f t="shared" si="6"/>
        <v>0</v>
      </c>
      <c r="N62" s="776">
        <f t="shared" si="6"/>
        <v>0</v>
      </c>
      <c r="O62" s="776">
        <f t="shared" si="6"/>
        <v>0</v>
      </c>
      <c r="P62" s="776">
        <f t="shared" si="6"/>
        <v>0</v>
      </c>
      <c r="Q62" s="776">
        <f>K44*J62</f>
        <v>0</v>
      </c>
      <c r="S62" s="161"/>
    </row>
    <row r="63" spans="2:19" x14ac:dyDescent="0.25">
      <c r="B63" s="162"/>
      <c r="E63" s="152">
        <f t="shared" ref="E63:J63" si="7">SUM(E60:E62)</f>
        <v>1</v>
      </c>
      <c r="F63" s="152">
        <f t="shared" si="7"/>
        <v>1</v>
      </c>
      <c r="G63" s="152">
        <f t="shared" si="7"/>
        <v>1</v>
      </c>
      <c r="H63" s="152">
        <f t="shared" si="7"/>
        <v>1</v>
      </c>
      <c r="I63" s="152">
        <f t="shared" si="7"/>
        <v>1</v>
      </c>
      <c r="J63" s="152">
        <f t="shared" si="7"/>
        <v>1</v>
      </c>
      <c r="L63" s="370">
        <f t="shared" ref="L63:Q63" si="8">SUM(L60:L62)</f>
        <v>0</v>
      </c>
      <c r="M63" s="370">
        <f t="shared" si="8"/>
        <v>0</v>
      </c>
      <c r="N63" s="370">
        <f t="shared" si="8"/>
        <v>0</v>
      </c>
      <c r="O63" s="370">
        <f t="shared" si="8"/>
        <v>0</v>
      </c>
      <c r="P63" s="370">
        <f t="shared" si="8"/>
        <v>0</v>
      </c>
      <c r="Q63" s="370">
        <f t="shared" si="8"/>
        <v>0</v>
      </c>
      <c r="S63" s="161"/>
    </row>
    <row r="64" spans="2:19" x14ac:dyDescent="0.25">
      <c r="B64" s="162"/>
      <c r="E64" s="373"/>
      <c r="F64" s="373"/>
      <c r="G64" s="373"/>
      <c r="H64" s="373"/>
      <c r="I64" s="373"/>
      <c r="J64" s="373"/>
      <c r="S64" s="161"/>
    </row>
    <row r="65" spans="2:19" x14ac:dyDescent="0.25">
      <c r="B65" s="162"/>
      <c r="C65" t="s">
        <v>724</v>
      </c>
      <c r="E65" s="741"/>
      <c r="F65" s="741"/>
      <c r="G65" s="741"/>
      <c r="H65" s="741"/>
      <c r="I65" s="741"/>
      <c r="J65" s="741"/>
      <c r="S65" s="161"/>
    </row>
    <row r="66" spans="2:19" x14ac:dyDescent="0.25">
      <c r="B66" s="163"/>
      <c r="C66" s="164"/>
      <c r="D66" s="164"/>
      <c r="E66" s="164"/>
      <c r="F66" s="164"/>
      <c r="G66" s="164"/>
      <c r="H66" s="164"/>
      <c r="I66" s="164"/>
      <c r="J66" s="164"/>
      <c r="K66" s="164"/>
      <c r="L66" s="164"/>
      <c r="M66" s="164"/>
      <c r="N66" s="164"/>
      <c r="O66" s="164"/>
      <c r="P66" s="164"/>
      <c r="Q66" s="164"/>
      <c r="R66" s="164"/>
      <c r="S66" s="165"/>
    </row>
    <row r="67" spans="2:19" x14ac:dyDescent="0.25">
      <c r="D67" s="202"/>
      <c r="K67" s="202"/>
    </row>
    <row r="68" spans="2:19" x14ac:dyDescent="0.25">
      <c r="B68" s="158" t="s">
        <v>725</v>
      </c>
      <c r="C68" s="347"/>
      <c r="E68" s="347"/>
      <c r="F68" s="347"/>
      <c r="G68" s="347"/>
      <c r="H68" s="347"/>
      <c r="I68" s="347"/>
      <c r="J68" s="347"/>
      <c r="L68" s="347"/>
      <c r="M68" s="347"/>
      <c r="N68" s="347"/>
      <c r="O68" s="347"/>
      <c r="P68" s="347"/>
      <c r="Q68" s="347"/>
      <c r="R68" s="347"/>
      <c r="S68" s="159"/>
    </row>
    <row r="69" spans="2:19" x14ac:dyDescent="0.25">
      <c r="B69" s="162" t="s">
        <v>726</v>
      </c>
      <c r="S69" s="161"/>
    </row>
    <row r="70" spans="2:19" x14ac:dyDescent="0.25">
      <c r="B70" s="162" t="s">
        <v>727</v>
      </c>
      <c r="S70" s="161"/>
    </row>
    <row r="71" spans="2:19" x14ac:dyDescent="0.25">
      <c r="B71" s="162"/>
      <c r="C71" s="371"/>
      <c r="D71" s="218"/>
      <c r="E71" s="218"/>
      <c r="F71" s="218"/>
      <c r="S71" s="161"/>
    </row>
    <row r="72" spans="2:19" ht="42.95" customHeight="1" x14ac:dyDescent="0.25">
      <c r="B72" s="162"/>
      <c r="C72" s="438" t="s">
        <v>728</v>
      </c>
      <c r="D72" s="438" t="s">
        <v>729</v>
      </c>
      <c r="E72" s="438" t="s">
        <v>730</v>
      </c>
      <c r="F72" s="438" t="s">
        <v>711</v>
      </c>
      <c r="G72" s="438" t="s">
        <v>731</v>
      </c>
      <c r="H72" s="720"/>
      <c r="J72" s="438" t="s">
        <v>732</v>
      </c>
      <c r="K72" s="438" t="s">
        <v>733</v>
      </c>
      <c r="S72" s="161"/>
    </row>
    <row r="73" spans="2:19" ht="30" x14ac:dyDescent="0.25">
      <c r="B73" s="162"/>
      <c r="C73" s="440" t="s">
        <v>734</v>
      </c>
      <c r="D73" s="167" t="s">
        <v>735</v>
      </c>
      <c r="E73" s="167" t="s">
        <v>736</v>
      </c>
      <c r="F73" s="777">
        <v>1</v>
      </c>
      <c r="G73" s="777">
        <v>1</v>
      </c>
      <c r="H73" s="508"/>
      <c r="J73" s="212"/>
      <c r="K73" s="212"/>
      <c r="S73" s="161"/>
    </row>
    <row r="74" spans="2:19" ht="45" x14ac:dyDescent="0.25">
      <c r="B74" s="162"/>
      <c r="C74" s="440" t="s">
        <v>734</v>
      </c>
      <c r="D74" s="167" t="s">
        <v>737</v>
      </c>
      <c r="E74" s="167" t="s">
        <v>738</v>
      </c>
      <c r="F74" s="777"/>
      <c r="G74" s="777"/>
      <c r="H74" s="508"/>
      <c r="J74" s="579" t="s">
        <v>739</v>
      </c>
      <c r="K74" s="303">
        <f>VLOOKUP(J74,payscales!$Q$5:$T$41,4,0)</f>
        <v>103.07</v>
      </c>
      <c r="S74" s="161"/>
    </row>
    <row r="75" spans="2:19" ht="30" x14ac:dyDescent="0.25">
      <c r="B75" s="162"/>
      <c r="C75" s="440" t="s">
        <v>734</v>
      </c>
      <c r="D75" s="167" t="s">
        <v>740</v>
      </c>
      <c r="E75" s="167" t="s">
        <v>736</v>
      </c>
      <c r="F75" s="777"/>
      <c r="G75" s="777"/>
      <c r="H75" s="508"/>
      <c r="J75" s="212"/>
      <c r="K75" s="212"/>
      <c r="S75" s="161"/>
    </row>
    <row r="76" spans="2:19" ht="45" x14ac:dyDescent="0.25">
      <c r="B76" s="162"/>
      <c r="C76" s="440" t="s">
        <v>734</v>
      </c>
      <c r="D76" s="167" t="s">
        <v>741</v>
      </c>
      <c r="E76" s="167" t="s">
        <v>738</v>
      </c>
      <c r="F76" s="777"/>
      <c r="G76" s="777"/>
      <c r="H76" s="508"/>
      <c r="J76" s="579" t="s">
        <v>739</v>
      </c>
      <c r="K76" s="303">
        <f>VLOOKUP(J76,payscales!$Q$5:$T$41,4,0)</f>
        <v>103.07</v>
      </c>
      <c r="S76" s="161"/>
    </row>
    <row r="77" spans="2:19" ht="45" hidden="1" x14ac:dyDescent="0.25">
      <c r="B77" s="162"/>
      <c r="C77" s="436" t="s">
        <v>742</v>
      </c>
      <c r="D77" s="167" t="s">
        <v>743</v>
      </c>
      <c r="E77" s="167" t="s">
        <v>736</v>
      </c>
      <c r="F77" s="777"/>
      <c r="G77" s="777"/>
      <c r="H77" s="508"/>
      <c r="J77" s="579" t="s">
        <v>744</v>
      </c>
      <c r="K77" s="303">
        <f>VLOOKUP(J77,payscales!$Q$5:$T$41,4,0)</f>
        <v>38.99</v>
      </c>
      <c r="S77" s="161"/>
    </row>
    <row r="78" spans="2:19" ht="60" hidden="1" x14ac:dyDescent="0.25">
      <c r="B78" s="162"/>
      <c r="C78" s="436" t="s">
        <v>742</v>
      </c>
      <c r="D78" s="167" t="s">
        <v>745</v>
      </c>
      <c r="E78" s="167" t="s">
        <v>736</v>
      </c>
      <c r="F78" s="777"/>
      <c r="G78" s="777"/>
      <c r="H78" s="508"/>
      <c r="J78" s="539" t="s">
        <v>744</v>
      </c>
      <c r="K78" s="303">
        <f>VLOOKUP(J78,payscales!$Q$5:$T$41,4,0)</f>
        <v>38.99</v>
      </c>
      <c r="S78" s="161"/>
    </row>
    <row r="79" spans="2:19" ht="30" hidden="1" x14ac:dyDescent="0.25">
      <c r="B79" s="162"/>
      <c r="C79" s="436" t="s">
        <v>742</v>
      </c>
      <c r="D79" s="167" t="s">
        <v>746</v>
      </c>
      <c r="E79" s="167" t="s">
        <v>736</v>
      </c>
      <c r="F79" s="777"/>
      <c r="G79" s="777"/>
      <c r="H79" s="508"/>
      <c r="J79" s="539" t="s">
        <v>744</v>
      </c>
      <c r="K79" s="303">
        <f>VLOOKUP(J79,payscales!$Q$5:$T$41,4,0)</f>
        <v>38.99</v>
      </c>
      <c r="S79" s="161"/>
    </row>
    <row r="80" spans="2:19" ht="45" hidden="1" x14ac:dyDescent="0.25">
      <c r="B80" s="162"/>
      <c r="C80" s="721" t="s">
        <v>747</v>
      </c>
      <c r="D80" s="722" t="s">
        <v>748</v>
      </c>
      <c r="E80" s="722" t="s">
        <v>736</v>
      </c>
      <c r="F80" s="778"/>
      <c r="G80" s="779"/>
      <c r="H80" s="719"/>
      <c r="J80" s="215"/>
      <c r="K80" s="215"/>
      <c r="S80" s="161"/>
    </row>
    <row r="81" spans="2:19" ht="45" hidden="1" x14ac:dyDescent="0.25">
      <c r="B81" s="162"/>
      <c r="C81" s="437" t="s">
        <v>747</v>
      </c>
      <c r="D81" s="242" t="s">
        <v>749</v>
      </c>
      <c r="E81" s="167" t="s">
        <v>736</v>
      </c>
      <c r="F81" s="779"/>
      <c r="G81" s="780"/>
      <c r="H81" s="181"/>
      <c r="J81" s="215"/>
      <c r="K81" s="215"/>
      <c r="S81" s="161"/>
    </row>
    <row r="82" spans="2:19" ht="45" hidden="1" x14ac:dyDescent="0.25">
      <c r="B82" s="162"/>
      <c r="C82" s="437" t="s">
        <v>747</v>
      </c>
      <c r="D82" s="167" t="s">
        <v>748</v>
      </c>
      <c r="E82" s="167" t="s">
        <v>750</v>
      </c>
      <c r="F82" s="778"/>
      <c r="G82" s="780"/>
      <c r="H82" s="181"/>
      <c r="J82" s="539" t="s">
        <v>744</v>
      </c>
      <c r="K82" s="303">
        <f>VLOOKUP(J82,payscales!$Q$5:$T$41,4,0)</f>
        <v>38.99</v>
      </c>
      <c r="S82" s="161"/>
    </row>
    <row r="83" spans="2:19" ht="45" hidden="1" x14ac:dyDescent="0.25">
      <c r="B83" s="162"/>
      <c r="C83" s="437" t="s">
        <v>747</v>
      </c>
      <c r="D83" s="242" t="s">
        <v>749</v>
      </c>
      <c r="E83" s="167" t="s">
        <v>750</v>
      </c>
      <c r="F83" s="779"/>
      <c r="G83" s="780"/>
      <c r="H83" s="181"/>
      <c r="J83" s="539" t="s">
        <v>744</v>
      </c>
      <c r="K83" s="303">
        <f>VLOOKUP(J83,payscales!$Q$5:$T$41,4,0)</f>
        <v>38.99</v>
      </c>
      <c r="S83" s="161"/>
    </row>
    <row r="84" spans="2:19" ht="30" hidden="1" x14ac:dyDescent="0.25">
      <c r="B84" s="162"/>
      <c r="C84" s="437" t="s">
        <v>747</v>
      </c>
      <c r="D84" s="167" t="s">
        <v>751</v>
      </c>
      <c r="E84" s="167" t="s">
        <v>736</v>
      </c>
      <c r="F84" s="781"/>
      <c r="G84" s="782"/>
      <c r="H84" s="181"/>
      <c r="J84" s="613" t="s">
        <v>752</v>
      </c>
      <c r="K84" s="303">
        <f>VLOOKUP(J84,payscales!$Q$5:$T$41,4,0)</f>
        <v>43.28</v>
      </c>
      <c r="S84" s="161"/>
    </row>
    <row r="85" spans="2:19" ht="30" hidden="1" x14ac:dyDescent="0.25">
      <c r="B85" s="162"/>
      <c r="C85" s="439" t="s">
        <v>753</v>
      </c>
      <c r="D85" s="167" t="s">
        <v>754</v>
      </c>
      <c r="E85" s="167" t="s">
        <v>755</v>
      </c>
      <c r="F85" s="777"/>
      <c r="G85" s="777"/>
      <c r="H85" s="181"/>
      <c r="J85" s="212"/>
      <c r="K85" s="212"/>
      <c r="S85" s="161"/>
    </row>
    <row r="86" spans="2:19" ht="45" hidden="1" x14ac:dyDescent="0.25">
      <c r="B86" s="162"/>
      <c r="C86" s="439" t="s">
        <v>753</v>
      </c>
      <c r="D86" s="167" t="s">
        <v>754</v>
      </c>
      <c r="E86" s="167" t="s">
        <v>738</v>
      </c>
      <c r="F86" s="777"/>
      <c r="G86" s="777"/>
      <c r="H86" s="181"/>
      <c r="J86" s="579" t="s">
        <v>739</v>
      </c>
      <c r="K86" s="303">
        <f>VLOOKUP(J86,payscales!$Q$5:$T$41,4,0)</f>
        <v>103.07</v>
      </c>
      <c r="S86" s="161"/>
    </row>
    <row r="87" spans="2:19" hidden="1" x14ac:dyDescent="0.25">
      <c r="B87" s="162"/>
      <c r="C87" s="441" t="s">
        <v>756</v>
      </c>
      <c r="D87" s="167"/>
      <c r="E87" s="167" t="s">
        <v>755</v>
      </c>
      <c r="F87" s="778"/>
      <c r="G87" s="778"/>
      <c r="H87" s="180"/>
      <c r="J87" s="212"/>
      <c r="K87" s="212"/>
      <c r="S87" s="161"/>
    </row>
    <row r="88" spans="2:19" ht="30" hidden="1" x14ac:dyDescent="0.25">
      <c r="B88" s="162"/>
      <c r="C88" s="441" t="s">
        <v>756</v>
      </c>
      <c r="D88" s="167"/>
      <c r="E88" s="167" t="s">
        <v>757</v>
      </c>
      <c r="F88" s="778"/>
      <c r="G88" s="778"/>
      <c r="H88" s="180"/>
      <c r="J88" s="539" t="s">
        <v>744</v>
      </c>
      <c r="K88" s="303">
        <f>VLOOKUP(J88,payscales!$Q$5:$T$41,4,0)</f>
        <v>38.99</v>
      </c>
      <c r="S88" s="161"/>
    </row>
    <row r="89" spans="2:19" hidden="1" x14ac:dyDescent="0.25">
      <c r="B89" s="162"/>
      <c r="C89" s="441" t="s">
        <v>756</v>
      </c>
      <c r="D89" s="167"/>
      <c r="E89" s="167" t="s">
        <v>755</v>
      </c>
      <c r="F89" s="778"/>
      <c r="G89" s="783"/>
      <c r="H89" s="151"/>
      <c r="J89" s="212"/>
      <c r="K89" s="212"/>
      <c r="S89" s="161"/>
    </row>
    <row r="90" spans="2:19" ht="30" hidden="1" x14ac:dyDescent="0.25">
      <c r="B90" s="162"/>
      <c r="C90" s="441" t="s">
        <v>756</v>
      </c>
      <c r="D90" s="167"/>
      <c r="E90" s="167" t="s">
        <v>757</v>
      </c>
      <c r="F90" s="778"/>
      <c r="G90" s="783"/>
      <c r="H90" s="151"/>
      <c r="J90" s="539" t="s">
        <v>758</v>
      </c>
      <c r="K90" s="303">
        <f>VLOOKUP(J90,payscales!$Q$5:$T$41,4,0)</f>
        <v>31.51</v>
      </c>
      <c r="S90" s="161"/>
    </row>
    <row r="91" spans="2:19" hidden="1" x14ac:dyDescent="0.25">
      <c r="B91" s="162"/>
      <c r="C91" s="441" t="s">
        <v>756</v>
      </c>
      <c r="D91" s="167"/>
      <c r="E91" s="167" t="s">
        <v>759</v>
      </c>
      <c r="F91" s="778"/>
      <c r="G91" s="783"/>
      <c r="H91" s="151"/>
      <c r="J91" s="212"/>
      <c r="K91" s="212"/>
      <c r="S91" s="161"/>
    </row>
    <row r="92" spans="2:19" ht="30" hidden="1" x14ac:dyDescent="0.25">
      <c r="B92" s="162"/>
      <c r="C92" s="441" t="s">
        <v>756</v>
      </c>
      <c r="D92" s="167"/>
      <c r="E92" s="167" t="s">
        <v>757</v>
      </c>
      <c r="F92" s="778"/>
      <c r="G92" s="783"/>
      <c r="H92" s="752"/>
      <c r="J92" s="539" t="s">
        <v>752</v>
      </c>
      <c r="K92" s="303">
        <f>VLOOKUP(J92,payscales!$Q$5:$T$41,4,0)</f>
        <v>43.28</v>
      </c>
      <c r="S92" s="161"/>
    </row>
    <row r="93" spans="2:19" ht="45" x14ac:dyDescent="0.25">
      <c r="B93" s="162"/>
      <c r="C93" s="389" t="s">
        <v>760</v>
      </c>
      <c r="D93" s="389" t="s">
        <v>761</v>
      </c>
      <c r="E93" s="167" t="s">
        <v>755</v>
      </c>
      <c r="F93" s="784"/>
      <c r="G93" s="785"/>
      <c r="H93" s="753"/>
      <c r="J93" s="215"/>
      <c r="K93" s="212"/>
      <c r="S93" s="161"/>
    </row>
    <row r="94" spans="2:19" x14ac:dyDescent="0.25">
      <c r="B94" s="162"/>
      <c r="C94" s="371"/>
      <c r="D94" s="218"/>
      <c r="E94" s="218"/>
      <c r="F94" s="218"/>
      <c r="S94" s="161"/>
    </row>
    <row r="95" spans="2:19" x14ac:dyDescent="0.25">
      <c r="B95" s="162"/>
      <c r="C95" s="203" t="s">
        <v>762</v>
      </c>
      <c r="D95" s="153"/>
      <c r="S95" s="161"/>
    </row>
    <row r="96" spans="2:19" x14ac:dyDescent="0.25">
      <c r="B96" s="162"/>
      <c r="C96" s="218"/>
      <c r="D96" s="153"/>
      <c r="S96" s="161"/>
    </row>
    <row r="97" spans="2:19" x14ac:dyDescent="0.25">
      <c r="B97" s="163"/>
      <c r="C97" s="164"/>
      <c r="D97" s="166"/>
      <c r="E97" s="166"/>
      <c r="F97" s="166"/>
      <c r="G97" s="166"/>
      <c r="H97" s="164"/>
      <c r="I97" s="164"/>
      <c r="J97" s="164"/>
      <c r="K97" s="164"/>
      <c r="L97" s="164"/>
      <c r="M97" s="164"/>
      <c r="N97" s="164"/>
      <c r="O97" s="164"/>
      <c r="P97" s="164"/>
      <c r="Q97" s="164"/>
      <c r="R97" s="164"/>
      <c r="S97" s="165"/>
    </row>
    <row r="98" spans="2:19" x14ac:dyDescent="0.25">
      <c r="D98" s="153"/>
      <c r="E98" s="153"/>
      <c r="F98" s="153"/>
      <c r="G98" s="153"/>
    </row>
    <row r="99" spans="2:19" x14ac:dyDescent="0.25">
      <c r="B99" s="432" t="s">
        <v>763</v>
      </c>
      <c r="C99" s="431"/>
      <c r="D99" s="431"/>
      <c r="E99" s="431"/>
      <c r="F99" s="431"/>
      <c r="G99" s="431"/>
      <c r="H99" s="431"/>
      <c r="I99" s="431"/>
      <c r="J99" s="431"/>
      <c r="K99" s="431"/>
      <c r="L99" s="431"/>
      <c r="M99" s="431"/>
      <c r="N99" s="431"/>
      <c r="O99" s="431"/>
      <c r="P99" s="431"/>
      <c r="Q99" s="431"/>
      <c r="R99" s="431"/>
      <c r="S99" s="233"/>
    </row>
    <row r="100" spans="2:19" x14ac:dyDescent="0.25">
      <c r="B100" s="237"/>
      <c r="C100" s="230"/>
      <c r="D100" s="230"/>
      <c r="E100" s="230"/>
      <c r="F100" s="230"/>
      <c r="G100" s="230"/>
      <c r="H100" s="230"/>
      <c r="I100" s="230"/>
      <c r="J100" s="230"/>
      <c r="K100" s="230"/>
      <c r="L100" s="230"/>
      <c r="M100" s="230"/>
      <c r="N100" s="230"/>
      <c r="O100" s="230"/>
      <c r="P100" s="230"/>
      <c r="Q100" s="230"/>
      <c r="R100" s="230"/>
      <c r="S100" s="238"/>
    </row>
    <row r="101" spans="2:19" x14ac:dyDescent="0.25">
      <c r="B101" s="237"/>
      <c r="C101" s="694" t="s">
        <v>764</v>
      </c>
      <c r="D101" s="230"/>
      <c r="E101" s="230"/>
      <c r="F101" s="230"/>
      <c r="G101" s="230"/>
      <c r="H101" s="230"/>
      <c r="I101" s="230"/>
      <c r="J101" s="230"/>
      <c r="K101" s="230"/>
      <c r="L101" s="230"/>
      <c r="M101" s="230"/>
      <c r="N101" s="230"/>
      <c r="O101" s="230"/>
      <c r="P101" s="230"/>
      <c r="Q101" s="230"/>
      <c r="R101" s="230"/>
      <c r="S101" s="238"/>
    </row>
    <row r="102" spans="2:19" x14ac:dyDescent="0.25">
      <c r="B102" s="237"/>
      <c r="C102" s="695" t="s">
        <v>765</v>
      </c>
      <c r="D102" s="230"/>
      <c r="E102" s="230"/>
      <c r="F102" s="230"/>
      <c r="G102" s="230"/>
      <c r="H102" s="230"/>
      <c r="I102" s="230"/>
      <c r="J102" s="230"/>
      <c r="K102" s="230"/>
      <c r="L102" s="230"/>
      <c r="M102" s="230"/>
      <c r="N102" s="230"/>
      <c r="O102" s="230"/>
      <c r="P102" s="230"/>
      <c r="Q102" s="230"/>
      <c r="R102" s="230"/>
      <c r="S102" s="238"/>
    </row>
    <row r="103" spans="2:19" x14ac:dyDescent="0.25">
      <c r="B103" s="237"/>
      <c r="C103" s="696" t="s">
        <v>766</v>
      </c>
      <c r="D103" s="230"/>
      <c r="E103" s="230"/>
      <c r="F103" s="230"/>
      <c r="G103" s="230"/>
      <c r="H103" s="230"/>
      <c r="I103" s="230"/>
      <c r="J103" s="230"/>
      <c r="K103" s="230"/>
      <c r="L103" s="230"/>
      <c r="M103" s="230"/>
      <c r="N103" s="230"/>
      <c r="O103" s="230"/>
      <c r="P103" s="230"/>
      <c r="Q103" s="230"/>
      <c r="R103" s="230"/>
      <c r="S103" s="238"/>
    </row>
    <row r="104" spans="2:19" x14ac:dyDescent="0.25">
      <c r="B104" s="237"/>
      <c r="C104" s="6"/>
      <c r="D104" s="230"/>
      <c r="E104" s="230"/>
      <c r="F104" s="230"/>
      <c r="G104" s="230"/>
      <c r="H104" s="230"/>
      <c r="I104" s="230"/>
      <c r="J104" s="230"/>
      <c r="K104" s="230"/>
      <c r="L104" s="230"/>
      <c r="M104" s="230"/>
      <c r="N104" s="230"/>
      <c r="O104" s="230"/>
      <c r="P104" s="230"/>
      <c r="Q104" s="230"/>
      <c r="R104" s="230"/>
      <c r="S104" s="238"/>
    </row>
    <row r="105" spans="2:19" x14ac:dyDescent="0.25">
      <c r="B105" s="237"/>
      <c r="C105" s="695" t="s">
        <v>767</v>
      </c>
      <c r="D105" s="230"/>
      <c r="E105" s="230"/>
      <c r="F105" s="230"/>
      <c r="G105" s="230"/>
      <c r="H105" s="230"/>
      <c r="I105" s="230"/>
      <c r="J105" s="230"/>
      <c r="K105" s="230"/>
      <c r="L105" s="230"/>
      <c r="M105" s="230"/>
      <c r="N105" s="230"/>
      <c r="O105" s="230"/>
      <c r="P105" s="230"/>
      <c r="Q105" s="230"/>
      <c r="R105" s="230"/>
      <c r="S105" s="238"/>
    </row>
    <row r="106" spans="2:19" x14ac:dyDescent="0.25">
      <c r="B106" s="237"/>
      <c r="C106" s="696" t="s">
        <v>768</v>
      </c>
      <c r="D106" s="230"/>
      <c r="E106" s="230"/>
      <c r="F106" s="230"/>
      <c r="G106" s="230"/>
      <c r="H106" s="230"/>
      <c r="I106" s="230"/>
      <c r="J106" s="230"/>
      <c r="K106" s="230"/>
      <c r="L106" s="230"/>
      <c r="M106" s="230"/>
      <c r="N106" s="230"/>
      <c r="O106" s="230"/>
      <c r="P106" s="230"/>
      <c r="Q106" s="230"/>
      <c r="R106" s="230"/>
      <c r="S106" s="238"/>
    </row>
    <row r="107" spans="2:19" x14ac:dyDescent="0.25">
      <c r="B107" s="237"/>
      <c r="C107" s="6"/>
      <c r="D107" s="230"/>
      <c r="E107" s="230"/>
      <c r="F107" s="230"/>
      <c r="G107" s="230"/>
      <c r="H107" s="230"/>
      <c r="I107" s="230"/>
      <c r="J107" s="230"/>
      <c r="K107" s="230"/>
      <c r="L107" s="230"/>
      <c r="M107" s="230"/>
      <c r="N107" s="230"/>
      <c r="O107" s="230"/>
      <c r="P107" s="230"/>
      <c r="Q107" s="230"/>
      <c r="R107" s="230"/>
      <c r="S107" s="238"/>
    </row>
    <row r="108" spans="2:19" x14ac:dyDescent="0.25">
      <c r="B108" s="237"/>
      <c r="C108" s="6" t="s">
        <v>769</v>
      </c>
      <c r="D108" s="230"/>
      <c r="E108" s="230"/>
      <c r="F108" s="230"/>
      <c r="G108" s="230"/>
      <c r="H108" s="230"/>
      <c r="I108" s="230"/>
      <c r="J108" s="230"/>
      <c r="K108" s="230"/>
      <c r="L108" s="230"/>
      <c r="M108" s="230"/>
      <c r="N108" s="230"/>
      <c r="O108" s="230"/>
      <c r="P108" s="230"/>
      <c r="Q108" s="230"/>
      <c r="R108" s="230"/>
      <c r="S108" s="238"/>
    </row>
    <row r="109" spans="2:19" x14ac:dyDescent="0.25">
      <c r="B109" s="237"/>
      <c r="C109" s="6" t="s">
        <v>770</v>
      </c>
      <c r="D109" s="230"/>
      <c r="E109" s="230"/>
      <c r="F109" s="230"/>
      <c r="G109" s="230"/>
      <c r="H109" s="230"/>
      <c r="I109" s="230"/>
      <c r="J109" s="230"/>
      <c r="K109" s="230"/>
      <c r="L109" s="230"/>
      <c r="M109" s="230"/>
      <c r="N109" s="230"/>
      <c r="O109" s="230"/>
      <c r="P109" s="230"/>
      <c r="Q109" s="230"/>
      <c r="R109" s="230"/>
      <c r="S109" s="238"/>
    </row>
    <row r="110" spans="2:19" x14ac:dyDescent="0.25">
      <c r="B110" s="237"/>
      <c r="C110" s="6"/>
      <c r="D110" s="230"/>
      <c r="E110" s="230"/>
      <c r="F110" s="230"/>
      <c r="G110" s="230"/>
      <c r="H110" s="230"/>
      <c r="I110" s="230"/>
      <c r="J110" s="230"/>
      <c r="K110" s="230"/>
      <c r="L110" s="230"/>
      <c r="M110" s="230"/>
      <c r="N110" s="230"/>
      <c r="O110" s="230"/>
      <c r="P110" s="230"/>
      <c r="Q110" s="230"/>
      <c r="R110" s="230"/>
      <c r="S110" s="238"/>
    </row>
    <row r="111" spans="2:19" x14ac:dyDescent="0.25">
      <c r="B111" s="237"/>
      <c r="C111" s="6" t="s">
        <v>771</v>
      </c>
      <c r="D111" s="230"/>
      <c r="E111" s="230"/>
      <c r="F111" s="230"/>
      <c r="G111" s="230"/>
      <c r="H111" s="230"/>
      <c r="I111" s="230"/>
      <c r="J111" s="230"/>
      <c r="K111" s="230"/>
      <c r="L111" s="230"/>
      <c r="M111" s="230"/>
      <c r="N111" s="230"/>
      <c r="O111" s="230"/>
      <c r="P111" s="230"/>
      <c r="Q111" s="230"/>
      <c r="R111" s="230"/>
      <c r="S111" s="238"/>
    </row>
    <row r="112" spans="2:19" x14ac:dyDescent="0.25">
      <c r="B112" s="237"/>
      <c r="C112" s="695" t="s">
        <v>772</v>
      </c>
      <c r="D112" s="230"/>
      <c r="E112" s="230"/>
      <c r="F112" s="230"/>
      <c r="G112" s="230"/>
      <c r="H112" s="230"/>
      <c r="I112" s="230"/>
      <c r="J112" s="230"/>
      <c r="K112" s="230"/>
      <c r="L112" s="230"/>
      <c r="M112" s="230"/>
      <c r="N112" s="230"/>
      <c r="O112" s="230"/>
      <c r="P112" s="230"/>
      <c r="Q112" s="230"/>
      <c r="R112" s="230"/>
      <c r="S112" s="238"/>
    </row>
    <row r="113" spans="2:19" x14ac:dyDescent="0.25">
      <c r="B113" s="237"/>
      <c r="C113" s="696" t="s">
        <v>773</v>
      </c>
      <c r="D113" s="230"/>
      <c r="E113" s="230"/>
      <c r="F113" s="230"/>
      <c r="G113" s="230"/>
      <c r="H113" s="230"/>
      <c r="I113" s="230"/>
      <c r="J113" s="230"/>
      <c r="K113" s="230"/>
      <c r="L113" s="230"/>
      <c r="M113" s="230"/>
      <c r="N113" s="230"/>
      <c r="O113" s="230"/>
      <c r="P113" s="230"/>
      <c r="Q113" s="230"/>
      <c r="R113" s="230"/>
      <c r="S113" s="238"/>
    </row>
    <row r="114" spans="2:19" x14ac:dyDescent="0.25">
      <c r="B114" s="237"/>
      <c r="C114" s="6" t="s">
        <v>774</v>
      </c>
      <c r="D114" s="230"/>
      <c r="E114" s="230"/>
      <c r="F114" s="230"/>
      <c r="G114" s="230"/>
      <c r="H114" s="230"/>
      <c r="I114" s="230"/>
      <c r="J114" s="230"/>
      <c r="K114" s="230"/>
      <c r="L114" s="230"/>
      <c r="M114" s="230"/>
      <c r="N114" s="230"/>
      <c r="O114" s="230"/>
      <c r="P114" s="230"/>
      <c r="Q114" s="230"/>
      <c r="R114" s="230"/>
      <c r="S114" s="238"/>
    </row>
    <row r="115" spans="2:19" x14ac:dyDescent="0.25">
      <c r="B115" s="237"/>
      <c r="C115" s="6" t="s">
        <v>775</v>
      </c>
      <c r="D115" s="230"/>
      <c r="E115" s="230"/>
      <c r="F115" s="230"/>
      <c r="G115" s="230"/>
      <c r="H115" s="230"/>
      <c r="I115" s="230"/>
      <c r="J115" s="230"/>
      <c r="K115" s="230"/>
      <c r="L115" s="230"/>
      <c r="M115" s="230"/>
      <c r="N115" s="230"/>
      <c r="O115" s="230"/>
      <c r="P115" s="230"/>
      <c r="Q115" s="230"/>
      <c r="R115" s="230"/>
      <c r="S115" s="238"/>
    </row>
    <row r="116" spans="2:19" x14ac:dyDescent="0.25">
      <c r="B116" s="237"/>
      <c r="C116" s="6" t="s">
        <v>776</v>
      </c>
      <c r="D116" s="230"/>
      <c r="E116" s="230"/>
      <c r="F116" s="230"/>
      <c r="G116" s="230"/>
      <c r="H116" s="230"/>
      <c r="I116" s="230"/>
      <c r="J116" s="230"/>
      <c r="K116" s="230"/>
      <c r="L116" s="230"/>
      <c r="M116" s="230"/>
      <c r="N116" s="230"/>
      <c r="O116" s="230"/>
      <c r="P116" s="230"/>
      <c r="Q116" s="230"/>
      <c r="R116" s="230"/>
      <c r="S116" s="238"/>
    </row>
    <row r="117" spans="2:19" x14ac:dyDescent="0.25">
      <c r="B117" s="235"/>
      <c r="C117" s="239"/>
      <c r="D117" s="234"/>
      <c r="E117" s="234"/>
      <c r="F117" s="234"/>
      <c r="G117" s="234"/>
      <c r="H117" s="234"/>
      <c r="I117" s="234"/>
      <c r="J117" s="234"/>
      <c r="K117" s="234"/>
      <c r="L117" s="234"/>
      <c r="M117" s="234"/>
      <c r="N117" s="234"/>
      <c r="O117" s="234"/>
      <c r="P117" s="234"/>
      <c r="Q117" s="234"/>
      <c r="R117" s="234"/>
      <c r="S117" s="236"/>
    </row>
  </sheetData>
  <sheetProtection algorithmName="SHA-512" hashValue="FQTMZtLRDT/KDG5TZCy/Ts1GS+dxc+hcFO432n22WTQpLHEY3D/qFLOM1x2Zoj3pnv0/VQsp8Rb96LMMfzInOA==" saltValue="9g1KNrl2J0Hch8b8eS5mdg==" spinCount="100000" sheet="1" objects="1" scenarios="1"/>
  <protectedRanges>
    <protectedRange sqref="E11:E13 E15 E17 E19:E20 I55:J55 F33 G31:G34 E34:F34 G36 G94:H94 G71:H71 F35 F73:H92 E60:J62 L60:Q62 E31:F32 D50:H52 E27:G27 F28:G30" name="Range1"/>
  </protectedRange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03" r:id="rId1" xr:uid="{EFCC9E55-E11C-4C6A-A2A6-6DCC7F1CB831}"/>
    <hyperlink ref="C106" r:id="rId2" xr:uid="{19825AB5-AE27-49DC-ADE1-00694DF9F6D9}"/>
    <hyperlink ref="C113" r:id="rId3" xr:uid="{D437A207-70B8-4AD3-B4EF-AE1CCC50890A}"/>
  </hyperlinks>
  <pageMargins left="0.7" right="0.7" top="0.75" bottom="0.75" header="0.3" footer="0.3"/>
  <pageSetup paperSize="9" scale="49" orientation="portrait" verticalDpi="0" r:id="rId4"/>
  <rowBreaks count="1" manualBreakCount="1">
    <brk id="57" max="12" man="1"/>
  </rowBreaks>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E15 F33</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xr:uid="{090C99F5-D42A-4049-9E2B-6741FE877F74}">
          <x14:formula1>
            <xm:f>payscales!$Q$5:$Q$41</xm:f>
          </x14:formula1>
          <xm:sqref>J90 J82:J84 J86 J88 J92 J76:J79 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U56"/>
  <sheetViews>
    <sheetView showGridLines="0" zoomScale="80" zoomScaleNormal="80" workbookViewId="0">
      <selection activeCell="D28" sqref="D28"/>
    </sheetView>
  </sheetViews>
  <sheetFormatPr defaultColWidth="9.140625" defaultRowHeight="12.75" x14ac:dyDescent="0.2"/>
  <cols>
    <col min="1" max="1" width="3.5703125" style="3" customWidth="1"/>
    <col min="2" max="2" width="30.140625" style="3" customWidth="1"/>
    <col min="3" max="3" width="29.85546875" style="3" bestFit="1" customWidth="1"/>
    <col min="4" max="4" width="16" style="3" bestFit="1" customWidth="1"/>
    <col min="5" max="5" width="14.42578125" style="3" customWidth="1"/>
    <col min="6" max="6" width="10.85546875" style="3" customWidth="1"/>
    <col min="7" max="7" width="10.42578125" style="3" bestFit="1" customWidth="1"/>
    <col min="8" max="8" width="11.140625" style="3" customWidth="1"/>
    <col min="9" max="9" width="9.42578125" style="3" customWidth="1"/>
    <col min="10" max="10" width="11.42578125" style="3" customWidth="1"/>
    <col min="11" max="12" width="10.5703125" style="3" customWidth="1"/>
    <col min="13" max="13" width="12.5703125" style="3" customWidth="1"/>
    <col min="14" max="14" width="12.42578125" style="3" customWidth="1"/>
    <col min="15" max="17" width="12.140625" style="3" customWidth="1"/>
    <col min="18" max="18" width="3.42578125" style="3" customWidth="1"/>
    <col min="19" max="19" width="9.42578125" style="3" customWidth="1"/>
    <col min="20" max="16384" width="9.140625" style="3"/>
  </cols>
  <sheetData>
    <row r="1" spans="1:21" ht="30" customHeight="1" x14ac:dyDescent="0.35">
      <c r="A1" s="197"/>
      <c r="B1" s="615" t="str">
        <f>'Inputs and eligible population'!B1</f>
        <v>Tafamidis for treating transthyretin amyloidosis with cardiomyopathy</v>
      </c>
      <c r="C1" s="147"/>
      <c r="D1" s="131"/>
      <c r="E1" s="131"/>
      <c r="F1" s="131"/>
      <c r="G1" s="131"/>
      <c r="H1" s="131"/>
      <c r="I1" s="131"/>
      <c r="J1" s="131" t="s">
        <v>777</v>
      </c>
      <c r="K1" s="131" t="s">
        <v>777</v>
      </c>
      <c r="L1" s="131" t="s">
        <v>777</v>
      </c>
      <c r="M1" s="131" t="s">
        <v>777</v>
      </c>
      <c r="N1" s="154"/>
      <c r="O1" s="197"/>
      <c r="P1" s="197"/>
      <c r="Q1" s="197"/>
      <c r="R1" s="197"/>
    </row>
    <row r="2" spans="1:21" ht="26.25" customHeight="1" x14ac:dyDescent="0.35">
      <c r="A2" s="197"/>
      <c r="B2" s="145" t="s">
        <v>52</v>
      </c>
      <c r="C2" s="146" t="s">
        <v>777</v>
      </c>
      <c r="D2" s="131" t="s">
        <v>777</v>
      </c>
      <c r="E2" s="131" t="s">
        <v>777</v>
      </c>
      <c r="F2" s="131" t="s">
        <v>777</v>
      </c>
      <c r="G2" s="131" t="s">
        <v>777</v>
      </c>
      <c r="H2" s="131" t="s">
        <v>777</v>
      </c>
      <c r="I2" s="131" t="s">
        <v>777</v>
      </c>
      <c r="J2" s="131" t="s">
        <v>777</v>
      </c>
      <c r="K2" s="132" t="s">
        <v>777</v>
      </c>
      <c r="L2" s="132"/>
      <c r="M2" s="132"/>
      <c r="N2" s="132"/>
      <c r="O2" s="197"/>
      <c r="P2" s="197"/>
      <c r="Q2" s="197"/>
      <c r="R2" s="197"/>
    </row>
    <row r="3" spans="1:21" ht="14.45" customHeight="1" x14ac:dyDescent="0.35">
      <c r="A3" s="197"/>
      <c r="B3" s="129"/>
      <c r="C3" s="147"/>
      <c r="D3" s="131"/>
      <c r="E3" s="131"/>
      <c r="F3" s="131"/>
      <c r="G3" s="131" t="s">
        <v>777</v>
      </c>
      <c r="H3" s="131" t="s">
        <v>777</v>
      </c>
      <c r="I3" s="131" t="s">
        <v>777</v>
      </c>
      <c r="J3" s="131" t="s">
        <v>777</v>
      </c>
      <c r="K3" s="132" t="s">
        <v>777</v>
      </c>
      <c r="L3" s="132"/>
      <c r="M3" s="132"/>
      <c r="N3" s="132"/>
      <c r="O3" s="197"/>
      <c r="P3" s="197"/>
      <c r="Q3" s="197"/>
      <c r="R3" s="197"/>
    </row>
    <row r="4" spans="1:21" ht="14.45" customHeight="1" x14ac:dyDescent="0.35">
      <c r="A4" s="197"/>
      <c r="B4" t="s">
        <v>778</v>
      </c>
      <c r="C4" s="147"/>
      <c r="D4" s="131"/>
      <c r="E4" s="131"/>
      <c r="F4" s="131"/>
      <c r="G4" s="131" t="s">
        <v>777</v>
      </c>
      <c r="H4" s="131" t="s">
        <v>777</v>
      </c>
      <c r="I4" s="131" t="s">
        <v>777</v>
      </c>
      <c r="J4" s="131" t="s">
        <v>777</v>
      </c>
      <c r="K4" s="132" t="s">
        <v>777</v>
      </c>
      <c r="L4" s="131"/>
      <c r="M4" s="132"/>
      <c r="N4" s="132"/>
      <c r="O4" s="132"/>
      <c r="P4" s="132"/>
      <c r="Q4" s="132"/>
      <c r="R4" s="132"/>
    </row>
    <row r="5" spans="1:21" ht="14.45" customHeight="1" x14ac:dyDescent="0.35">
      <c r="A5" s="197"/>
      <c r="B5" t="s">
        <v>670</v>
      </c>
      <c r="C5" s="147"/>
      <c r="D5" s="131"/>
      <c r="E5" s="131"/>
      <c r="F5" s="131"/>
      <c r="G5" s="131"/>
      <c r="H5" s="131" t="s">
        <v>777</v>
      </c>
      <c r="I5" s="131" t="s">
        <v>777</v>
      </c>
      <c r="J5" s="131" t="s">
        <v>777</v>
      </c>
      <c r="K5" s="132" t="s">
        <v>777</v>
      </c>
      <c r="L5" s="131"/>
      <c r="M5" s="132"/>
      <c r="N5" s="132"/>
      <c r="O5" s="132"/>
      <c r="P5" s="132"/>
      <c r="Q5" s="132"/>
      <c r="R5" s="132"/>
    </row>
    <row r="6" spans="1:21" ht="14.45" customHeight="1" x14ac:dyDescent="0.35">
      <c r="A6" s="197"/>
      <c r="B6"/>
      <c r="C6" s="147"/>
      <c r="D6" s="131"/>
      <c r="E6" s="131"/>
      <c r="F6" s="131"/>
      <c r="G6" s="131"/>
      <c r="H6" s="131"/>
      <c r="I6" s="131"/>
      <c r="J6" s="131"/>
      <c r="K6" s="132"/>
      <c r="L6" s="131"/>
      <c r="M6" s="132"/>
      <c r="N6" s="132"/>
      <c r="O6" s="132"/>
      <c r="P6" s="132"/>
      <c r="Q6" s="132"/>
      <c r="R6" s="132"/>
    </row>
    <row r="7" spans="1:21" s="252" customFormat="1" ht="15" x14ac:dyDescent="0.25">
      <c r="A7" s="254"/>
      <c r="B7" s="250" t="s">
        <v>779</v>
      </c>
      <c r="C7" s="254"/>
      <c r="D7" s="254"/>
      <c r="E7" s="254"/>
      <c r="F7" s="254"/>
      <c r="G7" s="254"/>
      <c r="H7" s="254"/>
      <c r="I7" s="254"/>
      <c r="J7" s="254"/>
      <c r="K7" s="254"/>
      <c r="L7" s="254"/>
      <c r="M7" s="254"/>
      <c r="N7" s="254"/>
      <c r="O7" s="254"/>
      <c r="P7" s="254"/>
      <c r="Q7" s="254"/>
      <c r="R7" s="254"/>
      <c r="U7" s="3"/>
    </row>
    <row r="8" spans="1:21" s="252" customFormat="1" ht="48.95" customHeight="1" x14ac:dyDescent="0.25">
      <c r="A8" s="254"/>
      <c r="B8" s="253" t="s">
        <v>780</v>
      </c>
      <c r="C8" s="255" t="s">
        <v>781</v>
      </c>
      <c r="D8" s="256" t="s">
        <v>782</v>
      </c>
      <c r="E8" s="256" t="s">
        <v>783</v>
      </c>
      <c r="F8" s="256" t="s">
        <v>784</v>
      </c>
      <c r="G8" s="256" t="s">
        <v>785</v>
      </c>
      <c r="H8" s="256" t="s">
        <v>786</v>
      </c>
      <c r="I8" s="256" t="s">
        <v>787</v>
      </c>
      <c r="J8" s="253" t="s">
        <v>788</v>
      </c>
      <c r="K8" s="255" t="s">
        <v>789</v>
      </c>
      <c r="L8" s="253" t="s">
        <v>790</v>
      </c>
      <c r="M8" s="256" t="s">
        <v>791</v>
      </c>
      <c r="N8" s="254"/>
      <c r="O8" s="254"/>
      <c r="P8" s="254"/>
      <c r="Q8" s="197"/>
      <c r="R8" s="254"/>
    </row>
    <row r="9" spans="1:21" s="252" customFormat="1" ht="15" x14ac:dyDescent="0.25">
      <c r="A9" s="254"/>
      <c r="B9" s="730" t="s">
        <v>792</v>
      </c>
      <c r="C9" s="730" t="s">
        <v>711</v>
      </c>
      <c r="D9" s="795" t="s">
        <v>793</v>
      </c>
      <c r="E9" s="795" t="s">
        <v>794</v>
      </c>
      <c r="F9" s="796">
        <v>61</v>
      </c>
      <c r="G9" s="796">
        <v>30</v>
      </c>
      <c r="H9" s="707">
        <f>F9*G9</f>
        <v>1830</v>
      </c>
      <c r="I9" s="796">
        <v>61</v>
      </c>
      <c r="J9" s="730">
        <f>'Inputs and eligible population'!D50</f>
        <v>0</v>
      </c>
      <c r="K9" s="797">
        <f>'Inputs and eligible population'!I55</f>
        <v>0</v>
      </c>
      <c r="L9" s="798">
        <v>0</v>
      </c>
      <c r="M9" s="799">
        <f>ROUNDUP(I9/H9,0)*J9*K9*(100%+L9)</f>
        <v>0</v>
      </c>
      <c r="N9" s="254"/>
      <c r="O9" s="254"/>
      <c r="P9" s="254"/>
      <c r="Q9" s="197"/>
      <c r="R9" s="254"/>
    </row>
    <row r="10" spans="1:21" s="252" customFormat="1" ht="15" x14ac:dyDescent="0.25">
      <c r="A10" s="254"/>
      <c r="B10" s="250"/>
      <c r="C10" s="254"/>
      <c r="D10" s="254"/>
      <c r="E10" s="254"/>
      <c r="F10" s="254"/>
      <c r="G10" s="254"/>
      <c r="H10" s="254"/>
      <c r="I10" s="254"/>
      <c r="J10" s="254"/>
      <c r="K10" s="254"/>
      <c r="L10" s="254"/>
      <c r="M10" s="254"/>
      <c r="N10" s="254"/>
      <c r="O10" s="254"/>
      <c r="P10" s="254"/>
      <c r="Q10" s="254"/>
      <c r="R10" s="254"/>
      <c r="U10" s="3"/>
    </row>
    <row r="11" spans="1:21" s="252" customFormat="1" ht="15" hidden="1" x14ac:dyDescent="0.25">
      <c r="A11" s="254"/>
      <c r="B11" s="259"/>
      <c r="C11" s="259"/>
      <c r="D11" s="381"/>
      <c r="E11" s="381"/>
      <c r="F11" s="379"/>
      <c r="G11" s="379"/>
      <c r="H11" s="379"/>
      <c r="I11" s="379"/>
      <c r="J11" s="380" t="e">
        <f>'Inputs and eligible population'!#REF!</f>
        <v>#REF!</v>
      </c>
      <c r="K11" s="380" t="s">
        <v>795</v>
      </c>
      <c r="L11" s="379" t="e">
        <f>I11*J11</f>
        <v>#REF!</v>
      </c>
      <c r="M11" s="259" t="e">
        <f>'Inputs and eligible population'!#REF!</f>
        <v>#REF!</v>
      </c>
      <c r="N11" s="383" t="e">
        <f>'Inputs and eligible population'!#REF!</f>
        <v>#REF!</v>
      </c>
      <c r="O11" s="382" t="e">
        <f>'Inputs and eligible population'!#REF!</f>
        <v>#REF!</v>
      </c>
      <c r="P11" s="384" t="e">
        <f>'Inputs and eligible population'!#REF!</f>
        <v>#REF!</v>
      </c>
      <c r="Q11" s="374" t="e">
        <f>ROUNDUP(L11/H11,0)*N11*O11*(100%+P11)</f>
        <v>#REF!</v>
      </c>
      <c r="R11" s="254"/>
      <c r="U11" s="3"/>
    </row>
    <row r="12" spans="1:21" s="252" customFormat="1" ht="15" hidden="1" x14ac:dyDescent="0.25">
      <c r="A12" s="254"/>
      <c r="B12" s="259"/>
      <c r="C12" s="259"/>
      <c r="D12" s="381"/>
      <c r="E12" s="381"/>
      <c r="F12" s="379"/>
      <c r="G12" s="379"/>
      <c r="H12" s="379"/>
      <c r="I12" s="379"/>
      <c r="J12" s="380"/>
      <c r="K12" s="380"/>
      <c r="L12" s="379"/>
      <c r="M12" s="259"/>
      <c r="N12" s="383"/>
      <c r="O12" s="382"/>
      <c r="P12" s="384"/>
      <c r="Q12" s="374"/>
      <c r="R12" s="254"/>
      <c r="U12" s="3"/>
    </row>
    <row r="13" spans="1:21" s="252" customFormat="1" ht="15" hidden="1" x14ac:dyDescent="0.25">
      <c r="A13" s="254"/>
      <c r="B13" s="259"/>
      <c r="C13" s="257" t="s">
        <v>796</v>
      </c>
      <c r="D13" s="260"/>
      <c r="E13" s="260"/>
      <c r="F13" s="260"/>
      <c r="G13" s="260"/>
      <c r="H13" s="260"/>
      <c r="I13" s="260"/>
      <c r="J13" s="260"/>
      <c r="K13" s="260"/>
      <c r="L13" s="260"/>
      <c r="M13" s="260"/>
      <c r="N13" s="260"/>
      <c r="O13" s="260"/>
      <c r="P13" s="258"/>
      <c r="Q13" s="385" t="e">
        <f>SUM(Q11:Q12)</f>
        <v>#REF!</v>
      </c>
      <c r="R13" s="254"/>
      <c r="U13" s="3"/>
    </row>
    <row r="14" spans="1:21" s="4" customFormat="1" ht="15" x14ac:dyDescent="0.25">
      <c r="A14" s="5"/>
      <c r="B14" s="198" t="s">
        <v>797</v>
      </c>
      <c r="C14" s="5"/>
      <c r="D14" s="182"/>
      <c r="E14" s="112"/>
      <c r="F14" s="183"/>
      <c r="G14" s="184"/>
      <c r="H14" s="5"/>
      <c r="I14" s="5"/>
      <c r="J14" s="185"/>
      <c r="K14" s="184"/>
      <c r="L14" s="184"/>
      <c r="M14" s="184"/>
      <c r="N14" s="184"/>
      <c r="O14" s="184"/>
      <c r="P14" s="185"/>
      <c r="Q14" s="5"/>
      <c r="R14" s="5"/>
      <c r="U14" s="3"/>
    </row>
    <row r="15" spans="1:21" s="4" customFormat="1" ht="15" x14ac:dyDescent="0.2">
      <c r="A15" s="5"/>
      <c r="B15" s="199"/>
      <c r="C15" s="5"/>
      <c r="D15" s="182"/>
      <c r="E15" s="112"/>
      <c r="F15" s="183"/>
      <c r="G15" s="184"/>
      <c r="H15" s="5"/>
      <c r="I15" s="5"/>
      <c r="J15" s="185"/>
      <c r="K15" s="184"/>
      <c r="L15" s="184"/>
      <c r="M15" s="184"/>
      <c r="N15" s="184"/>
      <c r="O15" s="184"/>
      <c r="P15" s="185"/>
      <c r="Q15" s="5"/>
      <c r="R15" s="5"/>
      <c r="U15" s="3"/>
    </row>
    <row r="16" spans="1:21" s="4" customFormat="1" ht="15" x14ac:dyDescent="0.25">
      <c r="A16" s="5"/>
      <c r="B16" s="484"/>
      <c r="C16" s="5"/>
      <c r="D16" s="182"/>
      <c r="E16" s="112"/>
      <c r="F16" s="183"/>
      <c r="G16" s="184"/>
      <c r="H16" s="5"/>
      <c r="I16" s="5"/>
      <c r="J16" s="185"/>
      <c r="K16" s="184"/>
      <c r="L16" s="184"/>
      <c r="M16" s="184"/>
      <c r="N16" s="184"/>
      <c r="O16" s="184"/>
      <c r="P16" s="185"/>
      <c r="Q16" s="5"/>
      <c r="R16" s="5"/>
      <c r="U16" s="3"/>
    </row>
    <row r="17" spans="1:21" s="4" customFormat="1" ht="15" x14ac:dyDescent="0.25">
      <c r="A17" s="5"/>
      <c r="B17" s="708" t="s">
        <v>798</v>
      </c>
      <c r="C17" s="709"/>
      <c r="D17" s="710"/>
      <c r="E17" s="711"/>
      <c r="F17" s="711"/>
      <c r="G17" s="184"/>
      <c r="H17" s="5"/>
      <c r="I17" s="5"/>
      <c r="J17" s="185"/>
      <c r="K17" s="184"/>
      <c r="L17" s="184"/>
      <c r="M17" s="184"/>
      <c r="N17" s="184"/>
      <c r="O17" s="184"/>
      <c r="P17" s="185"/>
      <c r="Q17" s="715"/>
      <c r="R17" s="5"/>
      <c r="U17" s="3"/>
    </row>
    <row r="18" spans="1:21" s="4" customFormat="1" ht="15" x14ac:dyDescent="0.25">
      <c r="A18" s="5"/>
      <c r="B18" s="805" t="s">
        <v>799</v>
      </c>
      <c r="C18" s="806"/>
      <c r="D18" s="261" t="s">
        <v>800</v>
      </c>
      <c r="E18" s="253" t="s">
        <v>801</v>
      </c>
      <c r="F18" s="253" t="s">
        <v>802</v>
      </c>
      <c r="G18" s="184"/>
      <c r="H18" s="5"/>
      <c r="I18" s="184"/>
      <c r="J18" s="5"/>
      <c r="K18" s="184"/>
      <c r="L18" s="5"/>
      <c r="M18" s="184"/>
      <c r="N18" s="485"/>
      <c r="O18" s="184"/>
      <c r="P18" s="185"/>
      <c r="Q18" s="715"/>
      <c r="R18" s="5"/>
      <c r="U18" s="3"/>
    </row>
    <row r="19" spans="1:21" s="4" customFormat="1" ht="14.45" customHeight="1" x14ac:dyDescent="0.25">
      <c r="A19" s="5"/>
      <c r="B19" s="786" t="s">
        <v>803</v>
      </c>
      <c r="C19" s="787"/>
      <c r="D19" s="788">
        <v>12</v>
      </c>
      <c r="E19" s="789">
        <v>50</v>
      </c>
      <c r="F19" s="790">
        <f>D19*E19</f>
        <v>600</v>
      </c>
      <c r="G19" s="184"/>
      <c r="H19" s="5"/>
      <c r="I19" s="5"/>
      <c r="J19" s="5"/>
      <c r="K19" s="5"/>
      <c r="L19" s="184"/>
      <c r="M19" s="184"/>
      <c r="N19" s="704"/>
      <c r="O19" s="184"/>
      <c r="P19" s="185"/>
      <c r="Q19" s="715"/>
      <c r="R19" s="5"/>
      <c r="U19" s="3"/>
    </row>
    <row r="20" spans="1:21" s="4" customFormat="1" ht="14.45" customHeight="1" x14ac:dyDescent="0.25">
      <c r="A20" s="5"/>
      <c r="B20" s="730" t="s">
        <v>804</v>
      </c>
      <c r="C20" s="791"/>
      <c r="D20" s="792"/>
      <c r="E20" s="793"/>
      <c r="F20" s="794">
        <v>400</v>
      </c>
      <c r="G20" s="184"/>
      <c r="H20" s="5"/>
      <c r="I20" s="5"/>
      <c r="J20" s="5"/>
      <c r="K20" s="5"/>
      <c r="L20" s="184"/>
      <c r="M20" s="184"/>
      <c r="N20" s="704"/>
      <c r="O20" s="184"/>
      <c r="P20" s="185"/>
      <c r="Q20" s="715"/>
      <c r="R20" s="5"/>
      <c r="U20" s="3"/>
    </row>
    <row r="21" spans="1:21" s="4" customFormat="1" ht="14.45" customHeight="1" x14ac:dyDescent="0.25">
      <c r="A21" s="5"/>
      <c r="B21" s="254"/>
      <c r="C21" s="702"/>
      <c r="D21" s="713"/>
      <c r="E21" s="714" t="s">
        <v>805</v>
      </c>
      <c r="F21" s="765">
        <f>SUM(F19:F20)</f>
        <v>1000</v>
      </c>
      <c r="G21" s="184"/>
      <c r="H21" s="5"/>
      <c r="I21" s="5"/>
      <c r="J21" s="5"/>
      <c r="K21" s="5"/>
      <c r="L21" s="184"/>
      <c r="M21" s="184"/>
      <c r="N21" s="704"/>
      <c r="O21" s="184"/>
      <c r="P21" s="185"/>
      <c r="Q21" s="715"/>
      <c r="R21" s="5"/>
      <c r="U21" s="3"/>
    </row>
    <row r="22" spans="1:21" s="4" customFormat="1" ht="15" x14ac:dyDescent="0.2">
      <c r="A22" s="5"/>
      <c r="B22" s="200"/>
      <c r="C22" s="182"/>
      <c r="D22" s="182"/>
      <c r="E22" s="112"/>
      <c r="F22" s="183"/>
      <c r="G22" s="184"/>
      <c r="H22" s="5"/>
      <c r="I22" s="5"/>
      <c r="J22" s="185"/>
      <c r="K22" s="184"/>
      <c r="L22" s="184"/>
      <c r="M22" s="184"/>
      <c r="N22" s="184"/>
      <c r="O22" s="184"/>
      <c r="P22" s="185"/>
      <c r="Q22" s="715"/>
      <c r="R22" s="5"/>
      <c r="U22" s="3"/>
    </row>
    <row r="23" spans="1:21" s="4" customFormat="1" ht="15" x14ac:dyDescent="0.25">
      <c r="A23" s="5"/>
      <c r="B23" t="s">
        <v>806</v>
      </c>
      <c r="C23" s="182"/>
      <c r="D23" s="182"/>
      <c r="E23" s="112"/>
      <c r="F23" s="183"/>
      <c r="G23" s="184"/>
      <c r="H23" s="5"/>
      <c r="I23" s="5"/>
      <c r="J23" s="185"/>
      <c r="K23" s="184"/>
      <c r="L23" s="184"/>
      <c r="M23" s="184"/>
      <c r="N23" s="184"/>
      <c r="O23" s="184"/>
      <c r="P23" s="185"/>
      <c r="Q23" s="745"/>
      <c r="R23" s="5"/>
      <c r="U23" s="3"/>
    </row>
    <row r="24" spans="1:21" s="4" customFormat="1" ht="15" x14ac:dyDescent="0.25">
      <c r="A24" s="5"/>
      <c r="B24" t="s">
        <v>807</v>
      </c>
      <c r="C24" s="182"/>
      <c r="D24" s="182"/>
      <c r="E24" s="112"/>
      <c r="F24" s="183"/>
      <c r="G24" s="184"/>
      <c r="H24" s="5"/>
      <c r="I24" s="5"/>
      <c r="J24" s="185"/>
      <c r="K24" s="184"/>
      <c r="L24" s="184"/>
      <c r="M24" s="184"/>
      <c r="N24" s="184"/>
      <c r="O24" s="184"/>
      <c r="P24" s="185"/>
      <c r="Q24" s="745"/>
      <c r="R24" s="5"/>
      <c r="U24" s="3"/>
    </row>
    <row r="25" spans="1:21" s="4" customFormat="1" ht="15" x14ac:dyDescent="0.25">
      <c r="A25" s="5"/>
      <c r="B25"/>
      <c r="C25" s="182"/>
      <c r="D25" s="182"/>
      <c r="E25" s="112"/>
      <c r="F25" s="183"/>
      <c r="G25" s="184"/>
      <c r="H25" s="5"/>
      <c r="I25" s="5"/>
      <c r="J25" s="185"/>
      <c r="K25" s="184"/>
      <c r="L25" s="184"/>
      <c r="M25" s="184"/>
      <c r="N25" s="184"/>
      <c r="O25" s="184"/>
      <c r="P25" s="185"/>
      <c r="Q25" s="745"/>
      <c r="R25" s="5"/>
      <c r="U25" s="3"/>
    </row>
    <row r="26" spans="1:21" s="4" customFormat="1" ht="15" x14ac:dyDescent="0.25">
      <c r="A26" s="5"/>
      <c r="B26" s="485" t="s">
        <v>808</v>
      </c>
      <c r="C26" s="182"/>
      <c r="D26" s="182"/>
      <c r="E26" s="112"/>
      <c r="F26" s="183"/>
      <c r="G26" s="184"/>
      <c r="H26" s="5"/>
      <c r="I26" s="5"/>
      <c r="J26" s="185"/>
      <c r="K26" s="184"/>
      <c r="L26" s="184"/>
      <c r="M26" s="184"/>
      <c r="N26" s="184"/>
      <c r="O26" s="184"/>
      <c r="P26" s="185"/>
      <c r="Q26" s="745"/>
      <c r="R26" s="5"/>
      <c r="U26" s="3"/>
    </row>
    <row r="27" spans="1:21" s="4" customFormat="1" ht="15" x14ac:dyDescent="0.25">
      <c r="A27" s="5"/>
      <c r="B27" s="253" t="s">
        <v>799</v>
      </c>
      <c r="C27" s="255" t="s">
        <v>809</v>
      </c>
      <c r="D27" s="261" t="s">
        <v>810</v>
      </c>
      <c r="E27" s="725"/>
      <c r="F27" s="726"/>
      <c r="G27" s="727"/>
      <c r="H27" s="728"/>
      <c r="I27" s="727"/>
      <c r="J27" s="728"/>
      <c r="K27" s="727"/>
      <c r="L27" s="728"/>
      <c r="M27" s="727"/>
      <c r="N27" s="729" t="s">
        <v>811</v>
      </c>
      <c r="O27" s="184"/>
      <c r="P27" s="185"/>
      <c r="Q27" s="745"/>
      <c r="R27" s="5"/>
      <c r="U27" s="3"/>
    </row>
    <row r="28" spans="1:21" s="4" customFormat="1" ht="15" x14ac:dyDescent="0.25">
      <c r="A28" s="5"/>
      <c r="B28" s="730" t="s">
        <v>812</v>
      </c>
      <c r="C28" s="731" t="s">
        <v>813</v>
      </c>
      <c r="D28" s="732" t="s">
        <v>814</v>
      </c>
      <c r="E28" s="733"/>
      <c r="F28" s="734"/>
      <c r="G28" s="735"/>
      <c r="H28" s="736"/>
      <c r="I28" s="736"/>
      <c r="J28" s="736"/>
      <c r="K28" s="736"/>
      <c r="L28" s="735"/>
      <c r="M28" s="737"/>
      <c r="N28" s="738">
        <v>192</v>
      </c>
      <c r="O28" s="184"/>
      <c r="P28" s="185"/>
      <c r="Q28" s="745"/>
      <c r="R28" s="5"/>
      <c r="U28" s="3"/>
    </row>
    <row r="29" spans="1:21" s="4" customFormat="1" ht="15" x14ac:dyDescent="0.25">
      <c r="A29" s="5"/>
      <c r="B29" s="730" t="s">
        <v>815</v>
      </c>
      <c r="C29" s="731" t="s">
        <v>816</v>
      </c>
      <c r="D29" s="732" t="s">
        <v>817</v>
      </c>
      <c r="E29" s="733"/>
      <c r="F29" s="734"/>
      <c r="G29" s="735"/>
      <c r="H29" s="736"/>
      <c r="I29" s="736"/>
      <c r="J29" s="736"/>
      <c r="K29" s="736"/>
      <c r="L29" s="735"/>
      <c r="M29" s="737"/>
      <c r="N29" s="738">
        <v>101</v>
      </c>
      <c r="O29" s="184"/>
      <c r="P29" s="185"/>
      <c r="Q29" s="745"/>
      <c r="R29" s="5"/>
      <c r="U29" s="3"/>
    </row>
    <row r="30" spans="1:21" s="4" customFormat="1" ht="15" x14ac:dyDescent="0.25">
      <c r="A30" s="5"/>
      <c r="B30" s="200" t="s">
        <v>818</v>
      </c>
      <c r="C30" s="5"/>
      <c r="D30" s="182"/>
      <c r="E30" s="112"/>
      <c r="F30" s="183"/>
      <c r="G30" s="184"/>
      <c r="H30" s="5"/>
      <c r="I30" s="5"/>
      <c r="J30" s="185"/>
      <c r="K30" s="184"/>
      <c r="L30" s="184"/>
      <c r="M30" s="184"/>
      <c r="N30" s="184"/>
      <c r="O30" s="184"/>
      <c r="P30" s="185"/>
      <c r="Q30" s="745"/>
      <c r="R30" s="5"/>
      <c r="U30" s="3"/>
    </row>
    <row r="31" spans="1:21" s="4" customFormat="1" ht="15" x14ac:dyDescent="0.25">
      <c r="A31" s="5"/>
      <c r="B31" s="198" t="s">
        <v>797</v>
      </c>
      <c r="C31" s="5"/>
      <c r="D31" s="182"/>
      <c r="E31" s="112"/>
      <c r="F31" s="183"/>
      <c r="G31" s="184"/>
      <c r="H31" s="5"/>
      <c r="I31" s="5"/>
      <c r="J31" s="185"/>
      <c r="K31" s="184"/>
      <c r="L31" s="184"/>
      <c r="M31" s="184"/>
      <c r="N31" s="184"/>
      <c r="O31" s="184"/>
      <c r="P31" s="185"/>
      <c r="Q31" s="745"/>
      <c r="R31" s="5"/>
      <c r="U31" s="3"/>
    </row>
    <row r="32" spans="1:21" s="4" customFormat="1" ht="15" x14ac:dyDescent="0.25">
      <c r="A32" s="5"/>
      <c r="B32"/>
      <c r="C32" s="182"/>
      <c r="D32" s="182"/>
      <c r="E32" s="112"/>
      <c r="F32" s="183"/>
      <c r="G32" s="184"/>
      <c r="H32" s="5"/>
      <c r="I32" s="5"/>
      <c r="J32" s="185"/>
      <c r="K32" s="184"/>
      <c r="L32" s="184"/>
      <c r="M32" s="184"/>
      <c r="N32" s="184"/>
      <c r="O32" s="184"/>
      <c r="P32" s="185"/>
      <c r="Q32" s="745"/>
      <c r="R32" s="5"/>
      <c r="U32" s="3"/>
    </row>
    <row r="33" spans="1:21" s="4" customFormat="1" ht="15" x14ac:dyDescent="0.25">
      <c r="A33" s="5"/>
      <c r="B33" s="182"/>
      <c r="C33" s="182"/>
      <c r="D33" s="182"/>
      <c r="E33" s="112"/>
      <c r="F33" s="183"/>
      <c r="G33" s="184"/>
      <c r="H33" s="5"/>
      <c r="I33" s="5"/>
      <c r="J33" s="185"/>
      <c r="K33" s="184"/>
      <c r="L33" s="184"/>
      <c r="M33" s="184"/>
      <c r="N33" s="184"/>
      <c r="O33" s="184"/>
      <c r="P33" s="185"/>
      <c r="Q33" s="745"/>
      <c r="R33" s="5"/>
      <c r="U33" s="3"/>
    </row>
    <row r="34" spans="1:21" s="4" customFormat="1" ht="15" x14ac:dyDescent="0.25">
      <c r="A34" s="5"/>
      <c r="B34" s="706" t="s">
        <v>819</v>
      </c>
      <c r="C34" s="701"/>
      <c r="D34" s="485"/>
      <c r="E34" s="112"/>
      <c r="F34" s="183"/>
      <c r="G34" s="184"/>
      <c r="H34" s="5"/>
      <c r="I34" s="184"/>
      <c r="J34" s="185"/>
      <c r="K34" s="184"/>
      <c r="L34" s="184"/>
      <c r="M34" s="184"/>
      <c r="N34" s="184"/>
      <c r="O34" s="184"/>
      <c r="P34" s="185"/>
      <c r="Q34" s="745"/>
      <c r="R34" s="5"/>
      <c r="U34" s="3"/>
    </row>
    <row r="35" spans="1:21" s="4" customFormat="1" ht="15" x14ac:dyDescent="0.25">
      <c r="A35" s="5"/>
      <c r="B35" s="254" t="s">
        <v>820</v>
      </c>
      <c r="C35" s="702"/>
      <c r="D35" s="703"/>
      <c r="E35" s="112"/>
      <c r="F35" s="183"/>
      <c r="G35" s="184"/>
      <c r="H35" s="5"/>
      <c r="I35" s="5"/>
      <c r="J35" s="5"/>
      <c r="K35" s="184"/>
      <c r="L35" s="5"/>
      <c r="M35" s="184"/>
      <c r="N35" s="485"/>
      <c r="O35" s="184"/>
      <c r="P35" s="185"/>
      <c r="Q35" s="745"/>
      <c r="R35" s="5"/>
      <c r="U35" s="3"/>
    </row>
    <row r="36" spans="1:21" s="4" customFormat="1" ht="15" x14ac:dyDescent="0.25">
      <c r="A36" s="5"/>
      <c r="B36" s="254"/>
      <c r="C36" s="702"/>
      <c r="D36" s="703"/>
      <c r="E36" s="112"/>
      <c r="F36" s="183"/>
      <c r="G36" s="184"/>
      <c r="H36" s="5"/>
      <c r="I36" s="5"/>
      <c r="J36" s="5"/>
      <c r="K36" s="5"/>
      <c r="L36" s="184"/>
      <c r="M36" s="184"/>
      <c r="N36" s="704"/>
      <c r="O36" s="184"/>
      <c r="P36" s="185"/>
      <c r="Q36" s="745"/>
      <c r="R36" s="5"/>
      <c r="U36" s="3"/>
    </row>
    <row r="37" spans="1:21" s="4" customFormat="1" ht="15" x14ac:dyDescent="0.25">
      <c r="A37" s="5"/>
      <c r="B37" s="708" t="s">
        <v>821</v>
      </c>
      <c r="C37" s="709"/>
      <c r="D37" s="710"/>
      <c r="E37" s="711"/>
      <c r="F37" s="711"/>
      <c r="G37" s="184"/>
      <c r="H37" s="5"/>
      <c r="I37" s="5"/>
      <c r="J37" s="5"/>
      <c r="K37" s="5"/>
      <c r="L37" s="184"/>
      <c r="M37" s="184"/>
      <c r="N37" s="704"/>
      <c r="O37" s="184"/>
      <c r="P37" s="185"/>
      <c r="Q37" s="745"/>
      <c r="R37" s="5"/>
      <c r="U37" s="3"/>
    </row>
    <row r="38" spans="1:21" s="4" customFormat="1" ht="30" x14ac:dyDescent="0.25">
      <c r="A38" s="5"/>
      <c r="B38" s="255" t="s">
        <v>799</v>
      </c>
      <c r="C38" s="253" t="s">
        <v>822</v>
      </c>
      <c r="D38" s="754" t="s">
        <v>823</v>
      </c>
      <c r="E38" s="256" t="s">
        <v>824</v>
      </c>
      <c r="F38" s="253" t="s">
        <v>802</v>
      </c>
      <c r="G38" s="184"/>
      <c r="H38" s="5"/>
      <c r="I38" s="5"/>
      <c r="J38" s="185"/>
      <c r="K38" s="184"/>
      <c r="L38" s="184"/>
      <c r="M38" s="184"/>
      <c r="N38" s="184"/>
      <c r="O38" s="184"/>
      <c r="P38" s="185"/>
      <c r="Q38" s="745"/>
      <c r="R38" s="5"/>
      <c r="U38" s="3"/>
    </row>
    <row r="39" spans="1:21" s="4" customFormat="1" ht="15" x14ac:dyDescent="0.25">
      <c r="A39" s="5"/>
      <c r="B39" s="758" t="s">
        <v>711</v>
      </c>
      <c r="C39" s="759">
        <f>'Inputs and eligible population'!F50</f>
        <v>0</v>
      </c>
      <c r="D39" s="760">
        <f>'Inputs and eligible population'!F93</f>
        <v>0</v>
      </c>
      <c r="E39" s="755"/>
      <c r="F39" s="763">
        <f>D39*E39</f>
        <v>0</v>
      </c>
      <c r="G39" s="184"/>
      <c r="H39" s="5"/>
      <c r="I39" s="5"/>
      <c r="J39" s="185"/>
      <c r="K39" s="184"/>
      <c r="L39" s="184"/>
      <c r="M39" s="184"/>
      <c r="N39" s="184"/>
      <c r="O39" s="184"/>
      <c r="P39" s="185"/>
      <c r="Q39" s="745"/>
      <c r="R39" s="5"/>
      <c r="U39" s="3"/>
    </row>
    <row r="40" spans="1:21" s="4" customFormat="1" ht="15" x14ac:dyDescent="0.25">
      <c r="A40" s="5"/>
      <c r="B40" s="761" t="s">
        <v>731</v>
      </c>
      <c r="C40" s="759">
        <f>'Inputs and eligible population'!F51</f>
        <v>0</v>
      </c>
      <c r="D40" s="762">
        <f>'Inputs and eligible population'!G93</f>
        <v>0</v>
      </c>
      <c r="E40" s="712"/>
      <c r="F40" s="764">
        <f>D40*E40</f>
        <v>0</v>
      </c>
      <c r="G40" s="184"/>
      <c r="H40" s="5"/>
      <c r="I40" s="5"/>
      <c r="J40" s="185"/>
      <c r="K40" s="184"/>
      <c r="L40" s="184"/>
      <c r="M40" s="184"/>
      <c r="N40" s="184"/>
      <c r="O40" s="184"/>
      <c r="P40" s="185"/>
      <c r="Q40" s="745"/>
      <c r="R40" s="5"/>
      <c r="U40" s="3"/>
    </row>
    <row r="41" spans="1:21" s="4" customFormat="1" ht="15" x14ac:dyDescent="0.25">
      <c r="A41" s="5"/>
      <c r="B41" s="254"/>
      <c r="C41" s="702"/>
      <c r="D41" s="713"/>
      <c r="E41" s="714"/>
      <c r="F41" s="756"/>
      <c r="G41" s="184"/>
      <c r="H41" s="5"/>
      <c r="I41" s="5"/>
      <c r="J41" s="185"/>
      <c r="K41" s="184"/>
      <c r="L41" s="184"/>
      <c r="M41" s="184"/>
      <c r="N41" s="184"/>
      <c r="O41" s="184"/>
      <c r="P41" s="185"/>
      <c r="Q41" s="745"/>
      <c r="R41" s="5"/>
      <c r="U41" s="3"/>
    </row>
    <row r="42" spans="1:21" s="4" customFormat="1" ht="15" x14ac:dyDescent="0.25">
      <c r="A42" s="5"/>
      <c r="B42" s="485"/>
      <c r="C42" s="182"/>
      <c r="D42" s="182"/>
      <c r="E42" s="112"/>
      <c r="F42" s="183"/>
      <c r="G42" s="184"/>
      <c r="H42" s="5"/>
      <c r="I42" s="5"/>
      <c r="J42" s="185"/>
      <c r="K42" s="184"/>
      <c r="L42" s="184"/>
      <c r="M42" s="184"/>
      <c r="N42" s="184"/>
      <c r="O42" s="184"/>
      <c r="P42" s="185"/>
      <c r="Q42" s="745"/>
      <c r="R42" s="5"/>
      <c r="U42" s="3"/>
    </row>
    <row r="43" spans="1:21" s="4" customFormat="1" ht="15" x14ac:dyDescent="0.25">
      <c r="A43" s="5"/>
      <c r="B43" s="701"/>
      <c r="C43" s="701"/>
      <c r="D43" s="485"/>
      <c r="E43" s="112"/>
      <c r="F43" s="183"/>
      <c r="G43" s="184"/>
      <c r="H43" s="5"/>
      <c r="I43" s="184"/>
      <c r="J43" s="5"/>
      <c r="K43" s="184"/>
      <c r="L43" s="5"/>
      <c r="M43" s="184"/>
      <c r="N43" s="485"/>
      <c r="O43" s="184"/>
      <c r="P43" s="185"/>
      <c r="Q43" s="745"/>
      <c r="R43" s="5"/>
      <c r="U43" s="3"/>
    </row>
    <row r="44" spans="1:21" s="4" customFormat="1" ht="15" x14ac:dyDescent="0.25">
      <c r="A44" s="5"/>
      <c r="B44" s="254"/>
      <c r="C44" s="702"/>
      <c r="D44" s="703"/>
      <c r="E44" s="112"/>
      <c r="F44" s="183"/>
      <c r="G44" s="184"/>
      <c r="H44" s="5"/>
      <c r="I44" s="5"/>
      <c r="J44" s="5"/>
      <c r="K44" s="5"/>
      <c r="L44" s="184"/>
      <c r="M44" s="184"/>
      <c r="N44" s="704"/>
      <c r="O44" s="184"/>
      <c r="P44" s="185"/>
      <c r="Q44" s="745"/>
      <c r="R44" s="5"/>
      <c r="U44" s="3"/>
    </row>
    <row r="45" spans="1:21" s="4" customFormat="1" ht="15" x14ac:dyDescent="0.25">
      <c r="A45" s="5"/>
      <c r="B45" s="200"/>
      <c r="C45" s="5"/>
      <c r="D45" s="182"/>
      <c r="E45" s="112"/>
      <c r="F45" s="183"/>
      <c r="G45" s="184"/>
      <c r="H45" s="5"/>
      <c r="I45" s="5"/>
      <c r="J45" s="185"/>
      <c r="K45" s="184"/>
      <c r="L45" s="184"/>
      <c r="M45" s="184"/>
      <c r="N45" s="184"/>
      <c r="O45" s="184"/>
      <c r="P45" s="185"/>
      <c r="Q45" s="745"/>
      <c r="R45" s="5"/>
      <c r="U45" s="3"/>
    </row>
    <row r="46" spans="1:21" s="4" customFormat="1" ht="15" x14ac:dyDescent="0.25">
      <c r="A46" s="5"/>
      <c r="B46" s="705"/>
      <c r="C46" s="5"/>
      <c r="D46" s="182"/>
      <c r="E46" s="112"/>
      <c r="F46" s="183"/>
      <c r="G46" s="184"/>
      <c r="H46" s="5"/>
      <c r="I46" s="5"/>
      <c r="J46" s="185"/>
      <c r="K46" s="184"/>
      <c r="L46" s="184"/>
      <c r="M46" s="184"/>
      <c r="N46" s="184"/>
      <c r="O46" s="184"/>
      <c r="P46" s="185"/>
      <c r="Q46" s="745"/>
      <c r="R46" s="5"/>
      <c r="U46" s="3"/>
    </row>
    <row r="47" spans="1:21" s="4" customFormat="1" ht="15" x14ac:dyDescent="0.25">
      <c r="A47" s="5"/>
      <c r="B47" s="705"/>
      <c r="C47" s="5"/>
      <c r="D47" s="182"/>
      <c r="E47" s="112"/>
      <c r="F47" s="183"/>
      <c r="G47" s="184"/>
      <c r="H47" s="5"/>
      <c r="I47" s="5"/>
      <c r="J47" s="185"/>
      <c r="K47" s="184"/>
      <c r="L47" s="184"/>
      <c r="M47" s="184"/>
      <c r="N47" s="184"/>
      <c r="O47" s="184"/>
      <c r="P47" s="185"/>
      <c r="Q47" s="745"/>
      <c r="R47" s="5"/>
      <c r="U47" s="3"/>
    </row>
    <row r="48" spans="1:21" s="4" customFormat="1" ht="15" x14ac:dyDescent="0.25">
      <c r="A48" s="5"/>
      <c r="B48" s="705"/>
      <c r="C48" s="5"/>
      <c r="D48" s="182"/>
      <c r="E48" s="112"/>
      <c r="F48" s="183"/>
      <c r="G48" s="184"/>
      <c r="H48" s="5"/>
      <c r="I48" s="5"/>
      <c r="J48" s="185"/>
      <c r="K48" s="184"/>
      <c r="L48" s="184"/>
      <c r="M48" s="184"/>
      <c r="N48" s="184"/>
      <c r="O48" s="184"/>
      <c r="P48" s="185"/>
      <c r="Q48" s="745"/>
      <c r="R48" s="5"/>
      <c r="U48" s="3"/>
    </row>
    <row r="49" spans="1:21" s="4" customFormat="1" ht="15" x14ac:dyDescent="0.25">
      <c r="A49" s="5"/>
      <c r="B49" s="485"/>
      <c r="C49" s="182"/>
      <c r="D49" s="182"/>
      <c r="E49" s="112"/>
      <c r="F49" s="183"/>
      <c r="G49" s="184"/>
      <c r="H49" s="5"/>
      <c r="I49" s="5"/>
      <c r="J49" s="185"/>
      <c r="K49" s="184"/>
      <c r="L49" s="184"/>
      <c r="M49" s="184"/>
      <c r="N49" s="184"/>
      <c r="O49" s="184"/>
      <c r="P49" s="185"/>
      <c r="Q49" s="745"/>
      <c r="R49" s="5"/>
      <c r="U49" s="3"/>
    </row>
    <row r="50" spans="1:21" s="4" customFormat="1" ht="15" x14ac:dyDescent="0.25">
      <c r="A50" s="5"/>
      <c r="B50" s="715"/>
      <c r="C50" s="715"/>
      <c r="D50" s="715"/>
      <c r="E50" s="715"/>
      <c r="F50" s="715"/>
      <c r="G50" s="715"/>
      <c r="H50" s="715"/>
      <c r="I50" s="715"/>
      <c r="J50" s="5"/>
      <c r="K50" s="184"/>
      <c r="L50" s="5"/>
      <c r="M50" s="184"/>
      <c r="N50" s="485"/>
      <c r="O50" s="184"/>
      <c r="P50" s="185"/>
      <c r="Q50" s="745"/>
      <c r="R50" s="5"/>
      <c r="U50" s="3"/>
    </row>
    <row r="51" spans="1:21" s="4" customFormat="1" ht="15" x14ac:dyDescent="0.25">
      <c r="A51" s="5"/>
      <c r="B51" s="715"/>
      <c r="C51" s="715"/>
      <c r="D51" s="715"/>
      <c r="E51" s="715"/>
      <c r="F51" s="715"/>
      <c r="G51" s="715"/>
      <c r="H51" s="715"/>
      <c r="I51" s="715"/>
      <c r="J51" s="5"/>
      <c r="K51" s="5"/>
      <c r="L51" s="184"/>
      <c r="M51" s="184"/>
      <c r="N51" s="704"/>
      <c r="O51" s="184"/>
      <c r="P51" s="185"/>
      <c r="Q51" s="745"/>
      <c r="R51" s="5"/>
      <c r="U51" s="3"/>
    </row>
    <row r="52" spans="1:21" s="4" customFormat="1" ht="15" x14ac:dyDescent="0.25">
      <c r="A52" s="5"/>
      <c r="B52" s="200"/>
      <c r="C52" s="5"/>
      <c r="D52" s="182"/>
      <c r="E52" s="112"/>
      <c r="F52" s="183"/>
      <c r="G52" s="184"/>
      <c r="H52" s="5"/>
      <c r="I52" s="5"/>
      <c r="J52" s="185"/>
      <c r="K52" s="184"/>
      <c r="L52" s="184"/>
      <c r="M52" s="184"/>
      <c r="N52" s="184"/>
      <c r="O52" s="184"/>
      <c r="P52" s="185"/>
      <c r="Q52" s="745"/>
      <c r="R52" s="5"/>
      <c r="U52" s="3"/>
    </row>
    <row r="53" spans="1:21" s="4" customFormat="1" ht="15" x14ac:dyDescent="0.25">
      <c r="A53" s="5"/>
      <c r="B53" s="705"/>
      <c r="C53" s="5"/>
      <c r="D53" s="182"/>
      <c r="E53" s="112"/>
      <c r="F53" s="183"/>
      <c r="G53" s="184"/>
      <c r="H53" s="5"/>
      <c r="I53" s="5"/>
      <c r="J53" s="185"/>
      <c r="K53" s="184"/>
      <c r="L53" s="184"/>
      <c r="M53" s="184"/>
      <c r="N53" s="184"/>
      <c r="O53" s="184"/>
      <c r="P53" s="185"/>
      <c r="Q53" s="745"/>
      <c r="R53" s="5"/>
      <c r="U53" s="3"/>
    </row>
    <row r="54" spans="1:21" s="4" customFormat="1" ht="15" x14ac:dyDescent="0.25">
      <c r="A54" s="5"/>
      <c r="B54" s="703"/>
      <c r="C54" s="5"/>
      <c r="D54" s="182"/>
      <c r="E54" s="112"/>
      <c r="F54" s="183"/>
      <c r="G54" s="184"/>
      <c r="H54" s="5"/>
      <c r="I54" s="5"/>
      <c r="J54" s="185"/>
      <c r="K54" s="184"/>
      <c r="L54" s="184"/>
      <c r="M54" s="184"/>
      <c r="N54" s="184"/>
      <c r="O54" s="184"/>
      <c r="P54" s="185"/>
      <c r="Q54" s="745"/>
      <c r="R54" s="5"/>
      <c r="U54" s="3"/>
    </row>
    <row r="55" spans="1:21" s="4" customFormat="1" ht="15" x14ac:dyDescent="0.25">
      <c r="A55" s="5"/>
      <c r="B55" s="703"/>
      <c r="C55" s="5"/>
      <c r="D55" s="182"/>
      <c r="E55" s="112"/>
      <c r="F55" s="183"/>
      <c r="G55" s="184"/>
      <c r="H55" s="5"/>
      <c r="I55" s="5"/>
      <c r="J55" s="185"/>
      <c r="K55" s="184"/>
      <c r="L55" s="184"/>
      <c r="M55" s="184"/>
      <c r="N55" s="184"/>
      <c r="O55" s="184"/>
      <c r="P55" s="185"/>
      <c r="Q55" s="745"/>
      <c r="R55" s="5"/>
      <c r="U55" s="3"/>
    </row>
    <row r="56" spans="1:21" x14ac:dyDescent="0.2">
      <c r="A56" s="197"/>
      <c r="B56" s="197"/>
      <c r="C56" s="355"/>
      <c r="D56" s="355"/>
      <c r="E56" s="355"/>
      <c r="F56" s="355"/>
      <c r="G56" s="355"/>
      <c r="H56" s="355"/>
      <c r="I56" s="197"/>
      <c r="J56" s="197"/>
      <c r="K56" s="197"/>
      <c r="L56" s="197"/>
      <c r="M56" s="197"/>
      <c r="N56" s="197"/>
      <c r="O56" s="197"/>
      <c r="P56" s="197"/>
      <c r="Q56" s="154"/>
      <c r="R56" s="197"/>
    </row>
  </sheetData>
  <sheetProtection algorithmName="SHA-512" hashValue="HpGL97RNIj/0LxrxZ26Z8RATE6U4pp/oMbT4d6bI4zHEpRsHe0EWQorV+AqewutiTZ5ZhBPnfHwvd+RzDCUMbA==" saltValue="AAjEkgPUfQJMxV2zOydJwg==" spinCount="100000" sheet="1" objects="1" scenarios="1"/>
  <mergeCells count="1">
    <mergeCell ref="B18:C18"/>
  </mergeCells>
  <hyperlinks>
    <hyperlink ref="B14" r:id="rId1" location="National-Tariff-Payment-System" xr:uid="{07A42822-B2C2-47CD-8645-06CEF4ED32D8}"/>
    <hyperlink ref="B31" r:id="rId2" location="National-Tariff-Payment-System" xr:uid="{B476AD7E-F4D4-4390-9C6B-33DD6DC56B85}"/>
  </hyperlinks>
  <pageMargins left="0.70866141732283472" right="0.70866141732283472" top="0.74803149606299213" bottom="0.74803149606299213" header="0.31496062992125984" footer="0.31496062992125984"/>
  <pageSetup paperSize="9" scale="35"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76"/>
  <sheetViews>
    <sheetView showGridLines="0" zoomScale="80" zoomScaleNormal="80" zoomScaleSheetLayoutView="80" workbookViewId="0">
      <selection activeCell="H35" sqref="H35"/>
    </sheetView>
  </sheetViews>
  <sheetFormatPr defaultColWidth="8.85546875" defaultRowHeight="15" x14ac:dyDescent="0.25"/>
  <cols>
    <col min="1" max="1" width="3.5703125" customWidth="1"/>
    <col min="2" max="2" width="53.85546875" style="1" customWidth="1"/>
    <col min="3" max="3" width="11.5703125" style="1" customWidth="1"/>
    <col min="4" max="8" width="11.5703125" customWidth="1"/>
    <col min="9" max="9" width="44.42578125" customWidth="1"/>
    <col min="10" max="10" width="11.5703125" customWidth="1"/>
    <col min="11" max="11" width="1.42578125" customWidth="1"/>
  </cols>
  <sheetData>
    <row r="1" spans="2:10" ht="30" customHeight="1" x14ac:dyDescent="0.25">
      <c r="B1" s="614" t="str">
        <f>'Inputs and eligible population'!B1</f>
        <v>Tafamidis for treating transthyretin amyloidosis with cardiomyopathy</v>
      </c>
      <c r="C1" s="144"/>
      <c r="D1" s="141"/>
      <c r="E1" s="141"/>
      <c r="F1" s="141"/>
      <c r="G1" s="141"/>
      <c r="H1" s="141"/>
      <c r="I1" s="141"/>
      <c r="J1" s="141"/>
    </row>
    <row r="2" spans="2:10" ht="30" customHeight="1" x14ac:dyDescent="0.25">
      <c r="B2" s="406" t="s">
        <v>26</v>
      </c>
      <c r="C2" s="141"/>
      <c r="E2" s="127" t="s">
        <v>777</v>
      </c>
      <c r="F2" s="127" t="s">
        <v>777</v>
      </c>
      <c r="G2" s="127" t="s">
        <v>777</v>
      </c>
      <c r="H2" s="127" t="s">
        <v>777</v>
      </c>
      <c r="I2" s="127" t="s">
        <v>777</v>
      </c>
      <c r="J2" s="141"/>
    </row>
    <row r="3" spans="2:10" x14ac:dyDescent="0.25">
      <c r="B3" s="254"/>
      <c r="C3" s="254"/>
      <c r="G3" s="133"/>
      <c r="H3" s="133"/>
      <c r="I3" s="133" t="s">
        <v>825</v>
      </c>
      <c r="J3" s="141"/>
    </row>
    <row r="4" spans="2:10" ht="45" x14ac:dyDescent="0.25">
      <c r="B4" s="268" t="s">
        <v>826</v>
      </c>
      <c r="C4" s="245" t="s">
        <v>827</v>
      </c>
      <c r="D4" s="281" t="s">
        <v>694</v>
      </c>
      <c r="E4" s="281" t="s">
        <v>695</v>
      </c>
      <c r="F4" s="282" t="s">
        <v>828</v>
      </c>
      <c r="G4" s="282" t="s">
        <v>829</v>
      </c>
      <c r="H4" s="281" t="s">
        <v>830</v>
      </c>
      <c r="J4" s="141"/>
    </row>
    <row r="5" spans="2:10" s="148" customFormat="1" x14ac:dyDescent="0.25">
      <c r="B5" s="169" t="s">
        <v>831</v>
      </c>
      <c r="C5" s="744">
        <f>'Inputs and eligible population'!F44</f>
        <v>0</v>
      </c>
      <c r="D5" s="744">
        <f>'Inputs and eligible population'!G44</f>
        <v>0</v>
      </c>
      <c r="E5" s="128">
        <f>'Inputs and eligible population'!H44</f>
        <v>0</v>
      </c>
      <c r="F5" s="128">
        <f>'Inputs and eligible population'!I44</f>
        <v>0</v>
      </c>
      <c r="G5" s="128">
        <f>'Inputs and eligible population'!J44</f>
        <v>0</v>
      </c>
      <c r="H5" s="128">
        <f>'Inputs and eligible population'!K44</f>
        <v>0</v>
      </c>
      <c r="I5"/>
      <c r="J5" s="141"/>
    </row>
    <row r="6" spans="2:10" x14ac:dyDescent="0.25">
      <c r="B6" s="270" t="s">
        <v>721</v>
      </c>
      <c r="C6" s="589">
        <f>'Inputs and eligible population'!E60</f>
        <v>0</v>
      </c>
      <c r="D6" s="589">
        <f>'Inputs and eligible population'!F60</f>
        <v>0.75</v>
      </c>
      <c r="E6" s="589">
        <f>'Inputs and eligible population'!G60</f>
        <v>0.75</v>
      </c>
      <c r="F6" s="589">
        <f>'Inputs and eligible population'!H60</f>
        <v>0.75</v>
      </c>
      <c r="G6" s="589">
        <f>'Inputs and eligible population'!I60</f>
        <v>0.75</v>
      </c>
      <c r="H6" s="589">
        <f>'Inputs and eligible population'!J60</f>
        <v>0.75</v>
      </c>
      <c r="J6" s="141"/>
    </row>
    <row r="7" spans="2:10" ht="33" customHeight="1" x14ac:dyDescent="0.25">
      <c r="B7" s="270"/>
      <c r="C7" s="128">
        <f>'Financial impact (cash)'!D13</f>
        <v>0</v>
      </c>
      <c r="D7" s="128">
        <f>'Financial impact (cash)'!E13</f>
        <v>0</v>
      </c>
      <c r="E7" s="128">
        <f>'Financial impact (cash)'!F13</f>
        <v>0</v>
      </c>
      <c r="F7" s="128">
        <f>'Financial impact (cash)'!G13</f>
        <v>0</v>
      </c>
      <c r="G7" s="128">
        <f>'Financial impact (cash)'!H13</f>
        <v>0</v>
      </c>
      <c r="H7" s="128">
        <f>'Financial impact (cash)'!I13</f>
        <v>0</v>
      </c>
      <c r="J7" s="133"/>
    </row>
    <row r="8" spans="2:10" ht="14.45" customHeight="1" x14ac:dyDescent="0.25">
      <c r="B8" s="251"/>
      <c r="C8" s="251"/>
      <c r="D8" s="133"/>
      <c r="E8" s="133"/>
      <c r="F8" s="133"/>
      <c r="G8" s="133"/>
      <c r="H8" s="133"/>
      <c r="J8" s="133"/>
    </row>
    <row r="9" spans="2:10" ht="45" x14ac:dyDescent="0.25">
      <c r="B9" s="275" t="s">
        <v>832</v>
      </c>
      <c r="C9" s="245" t="s">
        <v>827</v>
      </c>
      <c r="D9" s="281" t="s">
        <v>694</v>
      </c>
      <c r="E9" s="281" t="s">
        <v>695</v>
      </c>
      <c r="F9" s="282" t="s">
        <v>828</v>
      </c>
      <c r="G9" s="282" t="s">
        <v>829</v>
      </c>
      <c r="H9" s="281" t="s">
        <v>830</v>
      </c>
      <c r="J9" s="133"/>
    </row>
    <row r="10" spans="2:10" x14ac:dyDescent="0.25">
      <c r="B10" s="270" t="s">
        <v>721</v>
      </c>
      <c r="C10" s="128">
        <f>('Inputs and eligible population'!E60*C5)+('Inputs and eligible population'!E61*C5)</f>
        <v>0</v>
      </c>
      <c r="D10" s="128">
        <f>('Inputs and eligible population'!F60*D5)+('Inputs and eligible population'!F61*D5)</f>
        <v>0</v>
      </c>
      <c r="E10" s="128">
        <f>('Inputs and eligible population'!G60*E5)+('Inputs and eligible population'!G61*E5)</f>
        <v>0</v>
      </c>
      <c r="F10" s="128">
        <f>('Inputs and eligible population'!H60*F5)+('Inputs and eligible population'!H61*F5)</f>
        <v>0</v>
      </c>
      <c r="G10" s="128">
        <f>('Inputs and eligible population'!I60*G5)+('Inputs and eligible population'!I61*G5)</f>
        <v>0</v>
      </c>
      <c r="H10" s="128">
        <f>('Inputs and eligible population'!J60*H5)+('Inputs and eligible population'!J61*H5)</f>
        <v>0</v>
      </c>
      <c r="J10" s="133"/>
    </row>
    <row r="11" spans="2:10" x14ac:dyDescent="0.25">
      <c r="B11" s="367" t="s">
        <v>723</v>
      </c>
      <c r="C11" s="128">
        <f>'Inputs and eligible population'!E62*C5</f>
        <v>0</v>
      </c>
      <c r="D11" s="128">
        <f>C5*'Inputs and eligible population'!F62</f>
        <v>0</v>
      </c>
      <c r="E11" s="128">
        <f>E5*'Inputs and eligible population'!G62</f>
        <v>0</v>
      </c>
      <c r="F11" s="128">
        <f>F5*'Inputs and eligible population'!H62</f>
        <v>0</v>
      </c>
      <c r="G11" s="128">
        <f>G5*'Inputs and eligible population'!I62</f>
        <v>0</v>
      </c>
      <c r="H11" s="128">
        <f>H5*'Inputs and eligible population'!J62</f>
        <v>0</v>
      </c>
      <c r="J11" s="133"/>
    </row>
    <row r="12" spans="2:10" x14ac:dyDescent="0.25">
      <c r="B12" s="276"/>
      <c r="C12" s="746">
        <f t="shared" ref="C12:H12" si="0">SUM(C10:C11)</f>
        <v>0</v>
      </c>
      <c r="D12" s="746">
        <f>SUM(D10:D11)</f>
        <v>0</v>
      </c>
      <c r="E12" s="186">
        <f t="shared" si="0"/>
        <v>0</v>
      </c>
      <c r="F12" s="186">
        <f t="shared" si="0"/>
        <v>0</v>
      </c>
      <c r="G12" s="186">
        <f t="shared" si="0"/>
        <v>0</v>
      </c>
      <c r="H12" s="186">
        <f t="shared" si="0"/>
        <v>0</v>
      </c>
      <c r="J12" s="133"/>
    </row>
    <row r="13" spans="2:10" ht="15.75" thickBot="1" x14ac:dyDescent="0.3">
      <c r="B13" s="562"/>
      <c r="C13" s="562"/>
      <c r="D13" s="563"/>
      <c r="E13" s="563"/>
      <c r="F13" s="563"/>
      <c r="G13" s="563"/>
      <c r="H13" s="563"/>
      <c r="I13" s="564"/>
      <c r="J13" s="133"/>
    </row>
    <row r="14" spans="2:10" x14ac:dyDescent="0.25">
      <c r="B14" s="278"/>
      <c r="C14" s="278"/>
      <c r="D14" s="356"/>
      <c r="E14" s="356"/>
      <c r="F14" s="356"/>
      <c r="G14" s="356"/>
      <c r="H14" s="356"/>
      <c r="I14" s="133"/>
      <c r="J14" s="133"/>
    </row>
    <row r="15" spans="2:10" ht="45" x14ac:dyDescent="0.25">
      <c r="B15" s="271" t="s">
        <v>833</v>
      </c>
      <c r="C15" s="245" t="s">
        <v>827</v>
      </c>
      <c r="D15" s="281" t="s">
        <v>694</v>
      </c>
      <c r="E15" s="281" t="s">
        <v>695</v>
      </c>
      <c r="F15" s="282" t="s">
        <v>828</v>
      </c>
      <c r="G15" s="282" t="s">
        <v>829</v>
      </c>
      <c r="H15" s="281" t="s">
        <v>830</v>
      </c>
      <c r="I15" s="133"/>
      <c r="J15" s="133"/>
    </row>
    <row r="16" spans="2:10" x14ac:dyDescent="0.25">
      <c r="B16" s="306" t="s">
        <v>834</v>
      </c>
      <c r="C16" s="262" t="s">
        <v>835</v>
      </c>
      <c r="D16" s="262" t="s">
        <v>835</v>
      </c>
      <c r="E16" s="262" t="s">
        <v>835</v>
      </c>
      <c r="F16" s="262" t="s">
        <v>835</v>
      </c>
      <c r="G16" s="262" t="s">
        <v>835</v>
      </c>
      <c r="H16" s="262" t="s">
        <v>835</v>
      </c>
      <c r="I16" s="133"/>
      <c r="J16" s="133"/>
    </row>
    <row r="17" spans="1:10" x14ac:dyDescent="0.25">
      <c r="B17" s="277" t="s">
        <v>836</v>
      </c>
      <c r="C17" s="263">
        <f>'Financial impact (cash)'!D22</f>
        <v>0</v>
      </c>
      <c r="D17" s="263">
        <f>'Financial impact (cash)'!E22</f>
        <v>0</v>
      </c>
      <c r="E17" s="263">
        <f>'Financial impact (cash)'!F22</f>
        <v>0</v>
      </c>
      <c r="F17" s="263">
        <f>'Financial impact (cash)'!G22</f>
        <v>0</v>
      </c>
      <c r="G17" s="263">
        <f>'Financial impact (cash)'!H22</f>
        <v>0</v>
      </c>
      <c r="H17" s="263">
        <f>'Financial impact (cash)'!I22</f>
        <v>0</v>
      </c>
      <c r="I17" s="133"/>
      <c r="J17" s="133"/>
    </row>
    <row r="18" spans="1:10" x14ac:dyDescent="0.25">
      <c r="C18" s="78"/>
      <c r="D18" s="201">
        <f>D17-$C$17</f>
        <v>0</v>
      </c>
      <c r="E18" s="201">
        <f>E17-$C$17</f>
        <v>0</v>
      </c>
      <c r="F18" s="201">
        <f>F17-$C$17</f>
        <v>0</v>
      </c>
      <c r="G18" s="201">
        <f>G17-$C$17</f>
        <v>0</v>
      </c>
      <c r="H18" s="201">
        <f>H17-$C$17</f>
        <v>0</v>
      </c>
      <c r="I18" s="486" t="s">
        <v>837</v>
      </c>
      <c r="J18" s="133"/>
    </row>
    <row r="19" spans="1:10" x14ac:dyDescent="0.25">
      <c r="C19" s="88"/>
      <c r="D19" s="201">
        <f>D17-C17</f>
        <v>0</v>
      </c>
      <c r="E19" s="201">
        <f>E17-D17</f>
        <v>0</v>
      </c>
      <c r="F19" s="201">
        <f>F17-E17</f>
        <v>0</v>
      </c>
      <c r="G19" s="201">
        <f>G17-F17</f>
        <v>0</v>
      </c>
      <c r="H19" s="201">
        <f>H17-G17</f>
        <v>0</v>
      </c>
      <c r="I19" s="486" t="s">
        <v>838</v>
      </c>
      <c r="J19" s="133"/>
    </row>
    <row r="20" spans="1:10" x14ac:dyDescent="0.25">
      <c r="B20" s="278"/>
      <c r="C20" s="278"/>
      <c r="D20" s="434"/>
      <c r="E20" s="434"/>
      <c r="F20" s="434"/>
      <c r="G20" s="434"/>
      <c r="H20" s="434"/>
      <c r="J20" s="133"/>
    </row>
    <row r="21" spans="1:10" x14ac:dyDescent="0.25">
      <c r="B21" t="s">
        <v>839</v>
      </c>
      <c r="C21" s="278"/>
      <c r="D21" s="434"/>
      <c r="E21" s="434"/>
      <c r="F21" s="434"/>
      <c r="G21" s="434"/>
      <c r="H21" s="434"/>
      <c r="J21" s="133"/>
    </row>
    <row r="22" spans="1:10" x14ac:dyDescent="0.25">
      <c r="B22" s="407" t="s">
        <v>60</v>
      </c>
      <c r="C22" s="278"/>
      <c r="D22" s="434"/>
      <c r="E22" s="434"/>
      <c r="F22" s="434"/>
      <c r="G22" s="434"/>
      <c r="H22" s="434"/>
      <c r="J22" s="133"/>
    </row>
    <row r="23" spans="1:10" x14ac:dyDescent="0.25">
      <c r="B23" s="278"/>
      <c r="C23" s="278"/>
      <c r="D23" s="434"/>
      <c r="E23" s="434"/>
      <c r="F23" s="434"/>
      <c r="G23" s="434"/>
      <c r="H23" s="434"/>
      <c r="J23" s="133"/>
    </row>
    <row r="24" spans="1:10" ht="45" x14ac:dyDescent="0.25">
      <c r="A24" s="434"/>
      <c r="B24" s="271" t="s">
        <v>840</v>
      </c>
      <c r="C24" s="245" t="s">
        <v>827</v>
      </c>
      <c r="D24" s="281" t="s">
        <v>694</v>
      </c>
      <c r="E24" s="281" t="s">
        <v>695</v>
      </c>
      <c r="F24" s="282" t="s">
        <v>828</v>
      </c>
      <c r="G24" s="282" t="s">
        <v>829</v>
      </c>
      <c r="H24" s="281" t="s">
        <v>830</v>
      </c>
      <c r="J24" s="133"/>
    </row>
    <row r="25" spans="1:10" x14ac:dyDescent="0.25">
      <c r="A25" s="434"/>
      <c r="B25" s="306" t="s">
        <v>841</v>
      </c>
      <c r="C25" s="262" t="s">
        <v>835</v>
      </c>
      <c r="D25" s="262" t="s">
        <v>835</v>
      </c>
      <c r="E25" s="262" t="s">
        <v>835</v>
      </c>
      <c r="F25" s="262" t="s">
        <v>835</v>
      </c>
      <c r="G25" s="262" t="s">
        <v>835</v>
      </c>
      <c r="H25" s="262" t="s">
        <v>835</v>
      </c>
      <c r="J25" s="133"/>
    </row>
    <row r="26" spans="1:10" x14ac:dyDescent="0.25">
      <c r="A26" s="434"/>
      <c r="B26" s="747" t="s">
        <v>842</v>
      </c>
      <c r="C26" s="263">
        <f>IF($B$22="national prices",'Capacity (national prices)'!L27,IF($B$22="local prices",'Capacity (local prices)'!L27,0))</f>
        <v>0</v>
      </c>
      <c r="D26" s="263">
        <f>IF($B$22="national prices",'Capacity (national prices)'!M27,IF($B$22="local prices",'Capacity (local prices)'!M27,0))</f>
        <v>0</v>
      </c>
      <c r="E26" s="263">
        <f>IF($B$22="national prices",'Capacity (national prices)'!N27,IF($B$22="local prices",'Capacity (local prices)'!N27,0))</f>
        <v>0</v>
      </c>
      <c r="F26" s="263">
        <f>IF($B$22="national prices",'Capacity (national prices)'!O27,IF($B$22="local prices",'Capacity (local prices)'!O27,0))</f>
        <v>0</v>
      </c>
      <c r="G26" s="263">
        <f>IF($B$22="national prices",'Capacity (national prices)'!P27,IF($B$22="local prices",'Capacity (local prices)'!P27,0))</f>
        <v>0</v>
      </c>
      <c r="H26" s="263">
        <f>IF($B$22="national prices",'Capacity (national prices)'!Q27,IF($B$22="local prices",'Capacity (local prices)'!Q27,0))</f>
        <v>0</v>
      </c>
      <c r="J26" s="133"/>
    </row>
    <row r="27" spans="1:10" x14ac:dyDescent="0.25">
      <c r="A27" s="434"/>
      <c r="C27" s="78"/>
      <c r="D27" s="201">
        <f>D26-$C$26</f>
        <v>0</v>
      </c>
      <c r="E27" s="201">
        <f>E26-$C$26</f>
        <v>0</v>
      </c>
      <c r="F27" s="201">
        <f>F26-$C$26</f>
        <v>0</v>
      </c>
      <c r="G27" s="201">
        <f>G26-$C$26</f>
        <v>0</v>
      </c>
      <c r="H27" s="201">
        <f>H26-$C$26</f>
        <v>0</v>
      </c>
      <c r="I27" s="486" t="s">
        <v>837</v>
      </c>
      <c r="J27" s="133"/>
    </row>
    <row r="28" spans="1:10" x14ac:dyDescent="0.25">
      <c r="A28" s="434"/>
      <c r="C28" s="88"/>
      <c r="D28" s="201">
        <f>D26-C26</f>
        <v>0</v>
      </c>
      <c r="E28" s="201">
        <f>E26-D26</f>
        <v>0</v>
      </c>
      <c r="F28" s="201">
        <f>F26-E26</f>
        <v>0</v>
      </c>
      <c r="G28" s="201">
        <f>G26-F26</f>
        <v>0</v>
      </c>
      <c r="H28" s="201">
        <f>H26-G26</f>
        <v>0</v>
      </c>
      <c r="I28" s="486" t="s">
        <v>838</v>
      </c>
      <c r="J28" s="133"/>
    </row>
    <row r="29" spans="1:10" x14ac:dyDescent="0.25">
      <c r="A29" s="434"/>
      <c r="B29" s="434"/>
      <c r="C29" s="434"/>
      <c r="D29" s="434"/>
      <c r="E29" s="434"/>
      <c r="F29" s="434"/>
      <c r="G29" s="434"/>
      <c r="H29" s="434"/>
      <c r="J29" s="133"/>
    </row>
    <row r="30" spans="1:10" ht="45" x14ac:dyDescent="0.25">
      <c r="A30" s="434"/>
      <c r="B30" s="271" t="s">
        <v>843</v>
      </c>
      <c r="C30" s="245" t="s">
        <v>827</v>
      </c>
      <c r="D30" s="281" t="s">
        <v>694</v>
      </c>
      <c r="E30" s="281" t="s">
        <v>695</v>
      </c>
      <c r="F30" s="282" t="s">
        <v>828</v>
      </c>
      <c r="G30" s="282" t="s">
        <v>829</v>
      </c>
      <c r="H30" s="281" t="s">
        <v>830</v>
      </c>
      <c r="J30" s="133"/>
    </row>
    <row r="31" spans="1:10" x14ac:dyDescent="0.25">
      <c r="B31" s="306"/>
      <c r="C31" s="262" t="s">
        <v>835</v>
      </c>
      <c r="D31" s="262" t="s">
        <v>835</v>
      </c>
      <c r="E31" s="262" t="s">
        <v>835</v>
      </c>
      <c r="F31" s="262" t="s">
        <v>835</v>
      </c>
      <c r="G31" s="262" t="s">
        <v>835</v>
      </c>
      <c r="H31" s="262" t="s">
        <v>835</v>
      </c>
      <c r="I31" s="133"/>
      <c r="J31" s="133"/>
    </row>
    <row r="32" spans="1:10" x14ac:dyDescent="0.25">
      <c r="B32" s="558" t="s">
        <v>844</v>
      </c>
      <c r="C32" s="578">
        <f>C17+C26</f>
        <v>0</v>
      </c>
      <c r="D32" s="578">
        <f t="shared" ref="D32:H32" si="1">D17+D26</f>
        <v>0</v>
      </c>
      <c r="E32" s="578">
        <f t="shared" si="1"/>
        <v>0</v>
      </c>
      <c r="F32" s="578">
        <f t="shared" si="1"/>
        <v>0</v>
      </c>
      <c r="G32" s="578">
        <f t="shared" si="1"/>
        <v>0</v>
      </c>
      <c r="H32" s="578">
        <f t="shared" si="1"/>
        <v>0</v>
      </c>
      <c r="I32" s="133"/>
      <c r="J32" s="133"/>
    </row>
    <row r="33" spans="2:10" x14ac:dyDescent="0.25">
      <c r="B33" s="557"/>
      <c r="C33" s="559"/>
      <c r="D33" s="560">
        <f>D32-$C$32</f>
        <v>0</v>
      </c>
      <c r="E33" s="560">
        <f t="shared" ref="E33:H33" si="2">E32-$C$32</f>
        <v>0</v>
      </c>
      <c r="F33" s="560">
        <f t="shared" si="2"/>
        <v>0</v>
      </c>
      <c r="G33" s="560">
        <f t="shared" si="2"/>
        <v>0</v>
      </c>
      <c r="H33" s="560">
        <f t="shared" si="2"/>
        <v>0</v>
      </c>
      <c r="I33" s="486" t="s">
        <v>837</v>
      </c>
      <c r="J33" s="133"/>
    </row>
    <row r="34" spans="2:10" x14ac:dyDescent="0.25">
      <c r="B34" s="557"/>
      <c r="C34" s="559"/>
      <c r="D34" s="561">
        <f>D32-C32</f>
        <v>0</v>
      </c>
      <c r="E34" s="561">
        <f>E32-D32</f>
        <v>0</v>
      </c>
      <c r="F34" s="561">
        <f>F32-E32</f>
        <v>0</v>
      </c>
      <c r="G34" s="561">
        <f>G32-F32</f>
        <v>0</v>
      </c>
      <c r="H34" s="561">
        <f>H32-G32</f>
        <v>0</v>
      </c>
      <c r="I34" s="486" t="s">
        <v>838</v>
      </c>
      <c r="J34" s="133"/>
    </row>
    <row r="35" spans="2:10" ht="15.75" thickBot="1" x14ac:dyDescent="0.3">
      <c r="B35" s="562"/>
      <c r="C35" s="562"/>
      <c r="D35" s="563"/>
      <c r="E35" s="563"/>
      <c r="F35" s="563"/>
      <c r="G35" s="563"/>
      <c r="H35" s="563"/>
      <c r="I35" s="564"/>
      <c r="J35" s="133"/>
    </row>
    <row r="36" spans="2:10" x14ac:dyDescent="0.25">
      <c r="B36" s="278"/>
      <c r="C36" s="278"/>
      <c r="D36" s="356"/>
      <c r="E36" s="356"/>
      <c r="F36" s="356"/>
      <c r="G36" s="356"/>
      <c r="H36" s="356"/>
      <c r="I36" s="133"/>
      <c r="J36" s="133"/>
    </row>
    <row r="37" spans="2:10" ht="45" x14ac:dyDescent="0.25">
      <c r="B37" s="271" t="s">
        <v>845</v>
      </c>
      <c r="C37" s="540"/>
      <c r="D37" s="281" t="s">
        <v>694</v>
      </c>
      <c r="E37" s="281" t="s">
        <v>695</v>
      </c>
      <c r="F37" s="282" t="s">
        <v>828</v>
      </c>
      <c r="G37" s="282" t="s">
        <v>829</v>
      </c>
      <c r="H37" s="281" t="s">
        <v>830</v>
      </c>
      <c r="I37" s="133"/>
      <c r="J37" s="133"/>
    </row>
    <row r="38" spans="2:10" x14ac:dyDescent="0.25">
      <c r="B38" s="543"/>
      <c r="C38" s="541"/>
      <c r="D38" s="542"/>
      <c r="E38" s="542"/>
      <c r="F38" s="542"/>
      <c r="G38" s="542"/>
      <c r="H38" s="542"/>
      <c r="I38" s="133"/>
      <c r="J38" s="133"/>
    </row>
    <row r="39" spans="2:10" x14ac:dyDescent="0.25">
      <c r="B39" s="271" t="s">
        <v>846</v>
      </c>
      <c r="C39" s="269"/>
      <c r="D39" s="265"/>
      <c r="E39" s="265"/>
      <c r="F39" s="265"/>
      <c r="G39" s="265"/>
      <c r="H39" s="266"/>
      <c r="I39" s="133"/>
      <c r="J39" s="133"/>
    </row>
    <row r="40" spans="2:10" x14ac:dyDescent="0.25">
      <c r="B40" s="273" t="s">
        <v>847</v>
      </c>
      <c r="C40" s="274"/>
      <c r="D40" s="186">
        <f>'Capacity (local prices)'!E36</f>
        <v>0</v>
      </c>
      <c r="E40" s="186">
        <f>'Capacity (local prices)'!F36</f>
        <v>0</v>
      </c>
      <c r="F40" s="186">
        <f>'Capacity (local prices)'!G36</f>
        <v>0</v>
      </c>
      <c r="G40" s="186">
        <f>'Capacity (local prices)'!H36</f>
        <v>0</v>
      </c>
      <c r="H40" s="186">
        <f>'Capacity (local prices)'!I36</f>
        <v>0</v>
      </c>
      <c r="I40" s="133"/>
      <c r="J40" s="133"/>
    </row>
    <row r="41" spans="2:10" x14ac:dyDescent="0.25">
      <c r="B41" s="273" t="s">
        <v>848</v>
      </c>
      <c r="C41" s="274"/>
      <c r="D41" s="186">
        <f>'Capacity (local prices)'!E43</f>
        <v>0</v>
      </c>
      <c r="E41" s="186">
        <f>'Capacity (local prices)'!F43</f>
        <v>0</v>
      </c>
      <c r="F41" s="186">
        <f>'Capacity (local prices)'!G43</f>
        <v>0</v>
      </c>
      <c r="G41" s="186">
        <f>'Capacity (local prices)'!H43</f>
        <v>0</v>
      </c>
      <c r="H41" s="186">
        <f>'Capacity (local prices)'!I43</f>
        <v>0</v>
      </c>
      <c r="I41" s="133"/>
      <c r="J41" s="133"/>
    </row>
    <row r="42" spans="2:10" x14ac:dyDescent="0.25">
      <c r="B42" s="273" t="s">
        <v>849</v>
      </c>
      <c r="C42" s="274"/>
      <c r="D42" s="186">
        <f>'Capacity (local prices)'!E50</f>
        <v>0</v>
      </c>
      <c r="E42" s="186">
        <f>'Capacity (local prices)'!F50</f>
        <v>0</v>
      </c>
      <c r="F42" s="186">
        <f>'Capacity (local prices)'!G50</f>
        <v>0</v>
      </c>
      <c r="G42" s="186">
        <f>'Capacity (local prices)'!H50</f>
        <v>0</v>
      </c>
      <c r="H42" s="186">
        <f>'Capacity (local prices)'!I50</f>
        <v>0</v>
      </c>
      <c r="I42" s="133"/>
      <c r="J42" s="133"/>
    </row>
    <row r="43" spans="2:10" hidden="1" x14ac:dyDescent="0.25">
      <c r="B43" s="273" t="s">
        <v>850</v>
      </c>
      <c r="C43" s="274"/>
      <c r="D43" s="186" t="e">
        <f>'Capacity (local prices)'!E57</f>
        <v>#REF!</v>
      </c>
      <c r="E43" s="186" t="e">
        <f>'Capacity (local prices)'!F57</f>
        <v>#REF!</v>
      </c>
      <c r="F43" s="186" t="e">
        <f>'Capacity (local prices)'!G57</f>
        <v>#REF!</v>
      </c>
      <c r="G43" s="186" t="e">
        <f>'Capacity (local prices)'!H57</f>
        <v>#REF!</v>
      </c>
      <c r="H43" s="186" t="e">
        <f>'Capacity (local prices)'!I57</f>
        <v>#REF!</v>
      </c>
      <c r="I43" s="133"/>
      <c r="J43" s="133"/>
    </row>
    <row r="44" spans="2:10" x14ac:dyDescent="0.25">
      <c r="B44" s="273" t="s">
        <v>851</v>
      </c>
      <c r="C44" s="274"/>
      <c r="D44" s="186">
        <f>'Capacity (local prices)'!E63</f>
        <v>0</v>
      </c>
      <c r="E44" s="186">
        <f>'Capacity (local prices)'!F63</f>
        <v>0</v>
      </c>
      <c r="F44" s="186">
        <f>'Capacity (local prices)'!G63</f>
        <v>0</v>
      </c>
      <c r="G44" s="186">
        <f>'Capacity (local prices)'!H63</f>
        <v>0</v>
      </c>
      <c r="H44" s="186">
        <f>'Capacity (local prices)'!I63</f>
        <v>0</v>
      </c>
      <c r="I44" s="133"/>
      <c r="J44" s="133"/>
    </row>
    <row r="45" spans="2:10" x14ac:dyDescent="0.25">
      <c r="I45" s="133"/>
      <c r="J45" s="133"/>
    </row>
    <row r="46" spans="2:10" hidden="1" x14ac:dyDescent="0.25">
      <c r="B46" s="271" t="s">
        <v>852</v>
      </c>
      <c r="C46" s="272"/>
      <c r="D46" s="265"/>
      <c r="E46" s="265"/>
      <c r="F46" s="265"/>
      <c r="G46" s="265"/>
      <c r="H46" s="266"/>
      <c r="I46" s="133"/>
      <c r="J46" s="133"/>
    </row>
    <row r="47" spans="2:10" hidden="1" x14ac:dyDescent="0.25">
      <c r="B47" s="273" t="s">
        <v>853</v>
      </c>
      <c r="C47" s="274"/>
      <c r="D47" s="186" t="e">
        <f>'Capacity (local prices)'!E71</f>
        <v>#REF!</v>
      </c>
      <c r="E47" s="186" t="e">
        <f>'Capacity (local prices)'!F71</f>
        <v>#REF!</v>
      </c>
      <c r="F47" s="186" t="e">
        <f>'Capacity (local prices)'!G71</f>
        <v>#REF!</v>
      </c>
      <c r="G47" s="186" t="e">
        <f>'Capacity (local prices)'!H71</f>
        <v>#REF!</v>
      </c>
      <c r="H47" s="186" t="e">
        <f>'Capacity (local prices)'!I71</f>
        <v>#REF!</v>
      </c>
      <c r="I47" s="133"/>
      <c r="J47" s="133"/>
    </row>
    <row r="48" spans="2:10" hidden="1" x14ac:dyDescent="0.25">
      <c r="B48" s="273" t="s">
        <v>854</v>
      </c>
      <c r="C48" s="274"/>
      <c r="D48" s="186" t="e">
        <f>'Capacity (local prices)'!E78</f>
        <v>#REF!</v>
      </c>
      <c r="E48" s="186" t="e">
        <f>'Capacity (local prices)'!F78</f>
        <v>#REF!</v>
      </c>
      <c r="F48" s="186" t="e">
        <f>'Capacity (local prices)'!G78</f>
        <v>#REF!</v>
      </c>
      <c r="G48" s="186" t="e">
        <f>'Capacity (local prices)'!H78</f>
        <v>#REF!</v>
      </c>
      <c r="H48" s="186" t="e">
        <f>'Capacity (local prices)'!I78</f>
        <v>#REF!</v>
      </c>
      <c r="I48" s="133"/>
      <c r="J48" s="133"/>
    </row>
    <row r="49" spans="2:10" hidden="1" x14ac:dyDescent="0.25">
      <c r="B49" s="273" t="s">
        <v>855</v>
      </c>
      <c r="C49" s="274"/>
      <c r="D49" s="186" t="e">
        <f>'Capacity (local prices)'!E85</f>
        <v>#REF!</v>
      </c>
      <c r="E49" s="186" t="e">
        <f>'Capacity (local prices)'!F85</f>
        <v>#REF!</v>
      </c>
      <c r="F49" s="186" t="e">
        <f>'Capacity (local prices)'!G85</f>
        <v>#REF!</v>
      </c>
      <c r="G49" s="186" t="e">
        <f>'Capacity (local prices)'!H85</f>
        <v>#REF!</v>
      </c>
      <c r="H49" s="186" t="e">
        <f>'Capacity (local prices)'!I85</f>
        <v>#REF!</v>
      </c>
      <c r="I49" s="133"/>
      <c r="J49" s="133"/>
    </row>
    <row r="50" spans="2:10" hidden="1" x14ac:dyDescent="0.25">
      <c r="I50" s="133"/>
      <c r="J50" s="133"/>
    </row>
    <row r="51" spans="2:10" hidden="1" x14ac:dyDescent="0.25">
      <c r="B51" s="271" t="s">
        <v>856</v>
      </c>
      <c r="C51" s="272"/>
      <c r="D51" s="265"/>
      <c r="E51" s="265"/>
      <c r="F51" s="265"/>
      <c r="G51" s="265"/>
      <c r="H51" s="266"/>
      <c r="I51" s="133"/>
      <c r="J51" s="133"/>
    </row>
    <row r="52" spans="2:10" ht="30" hidden="1" x14ac:dyDescent="0.25">
      <c r="B52" s="363" t="s">
        <v>857</v>
      </c>
      <c r="C52" s="279"/>
      <c r="D52" s="405" t="e">
        <f>'Capacity (local prices)'!E94</f>
        <v>#REF!</v>
      </c>
      <c r="E52" s="186" t="e">
        <f>'Capacity (local prices)'!F94</f>
        <v>#REF!</v>
      </c>
      <c r="F52" s="186" t="e">
        <f>'Capacity (local prices)'!G94</f>
        <v>#REF!</v>
      </c>
      <c r="G52" s="186" t="e">
        <f>'Capacity (local prices)'!H94</f>
        <v>#REF!</v>
      </c>
      <c r="H52" s="186" t="e">
        <f>'Capacity (local prices)'!I94</f>
        <v>#REF!</v>
      </c>
      <c r="I52" s="133"/>
      <c r="J52" s="133"/>
    </row>
    <row r="53" spans="2:10" ht="30" hidden="1" x14ac:dyDescent="0.25">
      <c r="B53" s="363" t="s">
        <v>858</v>
      </c>
      <c r="C53" s="279"/>
      <c r="D53" s="405" t="e">
        <f>'Capacity (local prices)'!E102</f>
        <v>#REF!</v>
      </c>
      <c r="E53" s="186" t="e">
        <f>'Capacity (local prices)'!F102</f>
        <v>#REF!</v>
      </c>
      <c r="F53" s="186" t="e">
        <f>'Capacity (local prices)'!G102</f>
        <v>#REF!</v>
      </c>
      <c r="G53" s="186" t="e">
        <f>'Capacity (local prices)'!H102</f>
        <v>#REF!</v>
      </c>
      <c r="H53" s="186" t="e">
        <f>'Capacity (local prices)'!I102</f>
        <v>#REF!</v>
      </c>
      <c r="I53" s="133"/>
    </row>
    <row r="54" spans="2:10" ht="14.45" hidden="1" customHeight="1" x14ac:dyDescent="0.25">
      <c r="B54" s="363" t="s">
        <v>859</v>
      </c>
      <c r="C54" s="279"/>
      <c r="D54" s="405" t="e">
        <f>'Capacity (local prices)'!E110</f>
        <v>#REF!</v>
      </c>
      <c r="E54" s="186" t="e">
        <f>'Capacity (local prices)'!F110</f>
        <v>#REF!</v>
      </c>
      <c r="F54" s="186" t="e">
        <f>'Capacity (local prices)'!G110</f>
        <v>#REF!</v>
      </c>
      <c r="G54" s="186" t="e">
        <f>'Capacity (local prices)'!H110</f>
        <v>#REF!</v>
      </c>
      <c r="H54" s="186" t="e">
        <f>'Capacity (local prices)'!I110</f>
        <v>#REF!</v>
      </c>
      <c r="I54" s="133"/>
      <c r="J54" s="133"/>
    </row>
    <row r="55" spans="2:10" ht="14.45" hidden="1" customHeight="1" x14ac:dyDescent="0.25">
      <c r="B55" s="363" t="s">
        <v>860</v>
      </c>
      <c r="C55" s="279"/>
      <c r="D55" s="405" t="e">
        <f>'Capacity (local prices)'!E118</f>
        <v>#REF!</v>
      </c>
      <c r="E55" s="186" t="e">
        <f>'Capacity (local prices)'!F118</f>
        <v>#REF!</v>
      </c>
      <c r="F55" s="186" t="e">
        <f>'Capacity (local prices)'!G118</f>
        <v>#REF!</v>
      </c>
      <c r="G55" s="186" t="e">
        <f>'Capacity (local prices)'!H118</f>
        <v>#REF!</v>
      </c>
      <c r="H55" s="186" t="e">
        <f>'Capacity (local prices)'!I118</f>
        <v>#REF!</v>
      </c>
      <c r="I55" s="133"/>
      <c r="J55" s="133"/>
    </row>
    <row r="56" spans="2:10" hidden="1" x14ac:dyDescent="0.25">
      <c r="B56" s="363" t="s">
        <v>861</v>
      </c>
      <c r="C56" s="279"/>
      <c r="D56" s="405" t="e">
        <f>'Capacity (local prices)'!E126</f>
        <v>#REF!</v>
      </c>
      <c r="E56" s="186" t="e">
        <f>'Capacity (local prices)'!F126</f>
        <v>#REF!</v>
      </c>
      <c r="F56" s="186" t="e">
        <f>'Capacity (local prices)'!G126</f>
        <v>#REF!</v>
      </c>
      <c r="G56" s="186" t="e">
        <f>'Capacity (local prices)'!H126</f>
        <v>#REF!</v>
      </c>
      <c r="H56" s="186" t="e">
        <f>'Capacity (local prices)'!I126</f>
        <v>#REF!</v>
      </c>
      <c r="I56" s="133"/>
      <c r="J56" s="133"/>
    </row>
    <row r="57" spans="2:10" hidden="1" x14ac:dyDescent="0.25">
      <c r="I57" s="133"/>
      <c r="J57" s="133"/>
    </row>
    <row r="58" spans="2:10" hidden="1" x14ac:dyDescent="0.25">
      <c r="B58" s="271" t="s">
        <v>862</v>
      </c>
      <c r="C58" s="272"/>
      <c r="D58" s="265"/>
      <c r="E58" s="265"/>
      <c r="F58" s="265"/>
      <c r="G58" s="265"/>
      <c r="H58" s="266"/>
      <c r="I58" s="133"/>
      <c r="J58" s="133"/>
    </row>
    <row r="59" spans="2:10" hidden="1" x14ac:dyDescent="0.25">
      <c r="B59" s="363" t="s">
        <v>863</v>
      </c>
      <c r="C59" s="279"/>
      <c r="D59" s="405" t="e">
        <f>'Capacity (local prices)'!#REF!</f>
        <v>#REF!</v>
      </c>
      <c r="E59" s="186" t="e">
        <f>'Capacity (local prices)'!#REF!</f>
        <v>#REF!</v>
      </c>
      <c r="F59" s="186" t="e">
        <f>'Capacity (local prices)'!#REF!</f>
        <v>#REF!</v>
      </c>
      <c r="G59" s="186" t="e">
        <f>'Capacity (local prices)'!#REF!</f>
        <v>#REF!</v>
      </c>
      <c r="H59" s="186" t="e">
        <f>'Capacity (local prices)'!#REF!</f>
        <v>#REF!</v>
      </c>
      <c r="I59" s="133"/>
      <c r="J59" s="133"/>
    </row>
    <row r="60" spans="2:10" hidden="1" x14ac:dyDescent="0.25">
      <c r="I60" s="133"/>
      <c r="J60" s="133"/>
    </row>
    <row r="61" spans="2:10" hidden="1" x14ac:dyDescent="0.25">
      <c r="B61" s="271" t="s">
        <v>864</v>
      </c>
      <c r="C61" s="272"/>
      <c r="D61" s="265"/>
      <c r="E61" s="265"/>
      <c r="F61" s="265"/>
      <c r="G61" s="265"/>
      <c r="H61" s="266"/>
      <c r="I61" s="133"/>
      <c r="J61" s="133"/>
    </row>
    <row r="62" spans="2:10" hidden="1" x14ac:dyDescent="0.25">
      <c r="B62" s="363" t="s">
        <v>865</v>
      </c>
      <c r="C62" s="279"/>
      <c r="D62" s="405" t="e">
        <f>'Capacity (local prices)'!E135</f>
        <v>#REF!</v>
      </c>
      <c r="E62" s="186" t="e">
        <f>'Capacity (local prices)'!F135</f>
        <v>#REF!</v>
      </c>
      <c r="F62" s="186" t="e">
        <f>'Capacity (local prices)'!G135</f>
        <v>#REF!</v>
      </c>
      <c r="G62" s="186" t="e">
        <f>'Capacity (local prices)'!H135</f>
        <v>#REF!</v>
      </c>
      <c r="H62" s="186" t="e">
        <f>'Capacity (local prices)'!I135</f>
        <v>#REF!</v>
      </c>
      <c r="I62" s="133"/>
      <c r="J62" s="133"/>
    </row>
    <row r="63" spans="2:10" hidden="1" x14ac:dyDescent="0.25">
      <c r="I63" s="133"/>
      <c r="J63" s="133"/>
    </row>
    <row r="64" spans="2:10" hidden="1" x14ac:dyDescent="0.25">
      <c r="B64" s="271" t="s">
        <v>866</v>
      </c>
      <c r="C64" s="272"/>
      <c r="D64" s="265"/>
      <c r="E64" s="265"/>
      <c r="F64" s="265"/>
      <c r="G64" s="265"/>
      <c r="H64" s="266"/>
      <c r="I64" s="133"/>
      <c r="J64" s="133"/>
    </row>
    <row r="65" spans="2:14" hidden="1" x14ac:dyDescent="0.25">
      <c r="B65" s="273"/>
      <c r="C65" s="274"/>
      <c r="D65" s="405" t="e">
        <f>'Capacity (local prices)'!E144</f>
        <v>#REF!</v>
      </c>
      <c r="E65" s="186" t="e">
        <f>'Capacity (local prices)'!F144</f>
        <v>#REF!</v>
      </c>
      <c r="F65" s="186" t="e">
        <f>'Capacity (local prices)'!G144</f>
        <v>#REF!</v>
      </c>
      <c r="G65" s="186" t="e">
        <f>'Capacity (local prices)'!H144</f>
        <v>#REF!</v>
      </c>
      <c r="H65" s="186" t="e">
        <f>'Capacity (local prices)'!I144</f>
        <v>#REF!</v>
      </c>
      <c r="I65" s="133"/>
      <c r="J65" s="133"/>
    </row>
    <row r="66" spans="2:14" hidden="1" x14ac:dyDescent="0.25">
      <c r="B66" s="273"/>
      <c r="C66" s="274"/>
      <c r="D66" s="405" t="e">
        <f>'Capacity (local prices)'!E152</f>
        <v>#REF!</v>
      </c>
      <c r="E66" s="186" t="e">
        <f>'Capacity (local prices)'!F152</f>
        <v>#REF!</v>
      </c>
      <c r="F66" s="186" t="e">
        <f>'Capacity (local prices)'!G152</f>
        <v>#REF!</v>
      </c>
      <c r="G66" s="186" t="e">
        <f>'Capacity (local prices)'!H152</f>
        <v>#REF!</v>
      </c>
      <c r="H66" s="186" t="e">
        <f>'Capacity (local prices)'!I152</f>
        <v>#REF!</v>
      </c>
      <c r="I66" s="133"/>
      <c r="J66" s="133"/>
    </row>
    <row r="67" spans="2:14" hidden="1" x14ac:dyDescent="0.25">
      <c r="B67" s="273"/>
      <c r="C67" s="274"/>
      <c r="D67" s="405" t="e">
        <f>'Capacity (local prices)'!E160</f>
        <v>#REF!</v>
      </c>
      <c r="E67" s="186" t="e">
        <f>'Capacity (local prices)'!F160</f>
        <v>#REF!</v>
      </c>
      <c r="F67" s="186" t="e">
        <f>'Capacity (local prices)'!G160</f>
        <v>#REF!</v>
      </c>
      <c r="G67" s="186" t="e">
        <f>'Capacity (local prices)'!H160</f>
        <v>#REF!</v>
      </c>
      <c r="H67" s="186" t="e">
        <f>'Capacity (local prices)'!I160</f>
        <v>#REF!</v>
      </c>
      <c r="I67" s="133"/>
      <c r="J67" s="133"/>
    </row>
    <row r="68" spans="2:14" hidden="1" x14ac:dyDescent="0.25">
      <c r="B68" s="273"/>
      <c r="C68" s="274"/>
      <c r="D68" s="405" t="e">
        <f>'Capacity (local prices)'!E168</f>
        <v>#REF!</v>
      </c>
      <c r="E68" s="186" t="e">
        <f>'Capacity (local prices)'!F168</f>
        <v>#REF!</v>
      </c>
      <c r="F68" s="186" t="e">
        <f>'Capacity (local prices)'!G168</f>
        <v>#REF!</v>
      </c>
      <c r="G68" s="186" t="e">
        <f>'Capacity (local prices)'!H168</f>
        <v>#REF!</v>
      </c>
      <c r="H68" s="186" t="e">
        <f>'Capacity (local prices)'!I168</f>
        <v>#REF!</v>
      </c>
      <c r="I68" s="133"/>
      <c r="J68" s="133"/>
    </row>
    <row r="69" spans="2:14" hidden="1" x14ac:dyDescent="0.25">
      <c r="I69" s="133"/>
      <c r="J69" s="133"/>
    </row>
    <row r="70" spans="2:14" hidden="1" x14ac:dyDescent="0.25">
      <c r="B70" s="271" t="s">
        <v>867</v>
      </c>
      <c r="C70" s="269"/>
      <c r="D70" s="265"/>
      <c r="E70" s="265"/>
      <c r="F70" s="265"/>
      <c r="G70" s="265"/>
      <c r="H70" s="266"/>
      <c r="I70" s="133"/>
      <c r="J70" s="133"/>
    </row>
    <row r="71" spans="2:14" hidden="1" x14ac:dyDescent="0.25">
      <c r="B71" s="273" t="s">
        <v>868</v>
      </c>
      <c r="C71" s="274"/>
      <c r="D71" s="405">
        <f>'Capacity (local prices)'!E176</f>
        <v>0</v>
      </c>
      <c r="E71" s="186">
        <f>'Capacity (local prices)'!F176</f>
        <v>0</v>
      </c>
      <c r="F71" s="186">
        <f>'Capacity (local prices)'!G176</f>
        <v>0</v>
      </c>
      <c r="G71" s="186">
        <f>'Capacity (local prices)'!H176</f>
        <v>0</v>
      </c>
      <c r="H71" s="186">
        <f>'Capacity (local prices)'!I176</f>
        <v>0</v>
      </c>
      <c r="I71" s="133"/>
      <c r="J71" s="133"/>
    </row>
    <row r="72" spans="2:14" x14ac:dyDescent="0.25">
      <c r="B72" s="278"/>
      <c r="C72" s="278"/>
      <c r="D72" s="264"/>
      <c r="E72" s="264"/>
      <c r="F72" s="264"/>
      <c r="G72" s="264"/>
      <c r="H72" s="264"/>
      <c r="I72" s="133"/>
      <c r="J72" s="133"/>
    </row>
    <row r="74" spans="2:14" x14ac:dyDescent="0.25">
      <c r="D74" s="807"/>
      <c r="E74" s="808"/>
      <c r="F74" s="808"/>
      <c r="G74" s="808"/>
      <c r="H74" s="808"/>
      <c r="I74" s="808"/>
      <c r="J74" s="808"/>
      <c r="K74" s="808"/>
      <c r="L74" s="808"/>
      <c r="M74" s="808"/>
      <c r="N74" s="808"/>
    </row>
    <row r="75" spans="2:14" x14ac:dyDescent="0.25">
      <c r="D75" s="808"/>
      <c r="E75" s="808"/>
      <c r="F75" s="808"/>
      <c r="G75" s="808"/>
      <c r="H75" s="808"/>
      <c r="I75" s="808"/>
      <c r="J75" s="808"/>
      <c r="K75" s="808"/>
      <c r="L75" s="808"/>
      <c r="M75" s="808"/>
      <c r="N75" s="808"/>
    </row>
    <row r="76" spans="2:14" x14ac:dyDescent="0.25">
      <c r="D76" s="807"/>
      <c r="E76" s="808"/>
      <c r="F76" s="808"/>
      <c r="G76" s="808"/>
      <c r="H76" s="808"/>
      <c r="I76" s="808"/>
      <c r="J76" s="808"/>
      <c r="K76" s="808"/>
      <c r="L76" s="808"/>
      <c r="M76" s="808"/>
      <c r="N76" s="808"/>
    </row>
  </sheetData>
  <sheetProtection algorithmName="SHA-512" hashValue="lbcMeGbNqWj6nqU1sXkVgYX5SNNhVDkPJAuTUe0QYzHxeFAIKHE3zCdLFBZJJJCyByNKMia4tLVn+PtA2lkbrw==" saltValue="k032VdV0vmywI9BfOY0/tg==" spinCount="100000" sheet="1" objects="1" scenarios="1"/>
  <mergeCells count="2">
    <mergeCell ref="D74:N75"/>
    <mergeCell ref="D76:N76"/>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A01E36F-3CBA-4894-82F6-D153E585BD65}">
          <x14:formula1>
            <xm:f>'Population selection'!$S$5:$S$6</xm:f>
          </x14:formula1>
          <xm:sqref>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29"/>
  <sheetViews>
    <sheetView showGridLines="0" zoomScale="80" zoomScaleNormal="80" zoomScaleSheetLayoutView="80" workbookViewId="0">
      <selection activeCell="C21" sqref="C21"/>
    </sheetView>
  </sheetViews>
  <sheetFormatPr defaultColWidth="8.85546875" defaultRowHeight="15" x14ac:dyDescent="0.25"/>
  <cols>
    <col min="1" max="1" width="3.5703125" customWidth="1"/>
    <col min="2" max="2" width="50.5703125" style="1" customWidth="1"/>
    <col min="3" max="8" width="11.5703125" customWidth="1"/>
    <col min="9" max="9" width="10.42578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30" customHeight="1" x14ac:dyDescent="0.25">
      <c r="B1" s="614" t="str">
        <f>'Inputs and eligible population'!B1</f>
        <v>Tafamidis for treating transthyretin amyloidosis with cardiomyopathy</v>
      </c>
      <c r="C1" s="127"/>
      <c r="D1" s="127"/>
      <c r="E1" s="127"/>
      <c r="F1" s="127"/>
      <c r="G1" s="127"/>
      <c r="H1" s="127"/>
      <c r="I1" s="127"/>
      <c r="J1" s="127"/>
      <c r="K1" s="127"/>
      <c r="L1" s="127"/>
      <c r="M1" s="127"/>
      <c r="N1" s="127"/>
      <c r="O1" s="127"/>
      <c r="P1" s="127"/>
      <c r="Q1" s="127"/>
      <c r="R1" s="127"/>
      <c r="S1" s="127"/>
      <c r="T1" s="127"/>
    </row>
    <row r="2" spans="2:34" ht="38.1" customHeight="1" x14ac:dyDescent="0.25">
      <c r="B2" s="403" t="s">
        <v>869</v>
      </c>
      <c r="C2" s="127" t="s">
        <v>777</v>
      </c>
      <c r="D2" s="127" t="s">
        <v>777</v>
      </c>
      <c r="E2" s="127" t="s">
        <v>777</v>
      </c>
      <c r="F2" s="127" t="s">
        <v>777</v>
      </c>
      <c r="G2" s="127" t="s">
        <v>777</v>
      </c>
      <c r="H2" s="127"/>
      <c r="I2" s="127" t="s">
        <v>777</v>
      </c>
      <c r="J2" s="127" t="s">
        <v>777</v>
      </c>
      <c r="K2" s="133"/>
      <c r="L2" s="127"/>
      <c r="M2" s="127"/>
      <c r="N2" s="127"/>
      <c r="O2" s="127"/>
      <c r="P2" s="127"/>
      <c r="Q2" s="127"/>
      <c r="R2" s="127"/>
      <c r="S2" s="127"/>
      <c r="T2" s="127"/>
    </row>
    <row r="3" spans="2:34" x14ac:dyDescent="0.25">
      <c r="B3" s="130" t="s">
        <v>777</v>
      </c>
      <c r="C3" s="133" t="s">
        <v>777</v>
      </c>
      <c r="D3" s="133" t="s">
        <v>777</v>
      </c>
      <c r="E3" s="133" t="s">
        <v>777</v>
      </c>
      <c r="F3" s="133" t="s">
        <v>777</v>
      </c>
      <c r="G3" s="133" t="s">
        <v>777</v>
      </c>
      <c r="H3" s="133" t="s">
        <v>777</v>
      </c>
      <c r="I3" s="133" t="s">
        <v>777</v>
      </c>
      <c r="J3" s="133" t="s">
        <v>777</v>
      </c>
      <c r="K3" s="133"/>
      <c r="L3" s="133"/>
      <c r="M3" s="133"/>
      <c r="N3" s="133"/>
      <c r="O3" s="133"/>
      <c r="P3" s="133"/>
      <c r="Q3" s="133"/>
      <c r="R3" s="133"/>
      <c r="S3" s="133"/>
      <c r="T3" s="133"/>
    </row>
    <row r="4" spans="2:34" s="249" customFormat="1" x14ac:dyDescent="0.25">
      <c r="B4" s="254" t="s">
        <v>870</v>
      </c>
      <c r="F4" s="133"/>
      <c r="G4" s="133"/>
      <c r="H4" s="133"/>
      <c r="I4" s="133"/>
      <c r="J4" s="133" t="s">
        <v>777</v>
      </c>
      <c r="K4" s="133"/>
      <c r="L4" s="133"/>
      <c r="M4" s="133"/>
      <c r="N4" s="133"/>
      <c r="O4" s="133"/>
      <c r="P4" s="133"/>
      <c r="Q4" s="133"/>
      <c r="R4" s="133"/>
      <c r="S4" s="133"/>
      <c r="T4" s="133"/>
    </row>
    <row r="5" spans="2:34" s="249" customFormat="1" x14ac:dyDescent="0.25">
      <c r="B5" s="254" t="s">
        <v>871</v>
      </c>
      <c r="F5" s="133"/>
      <c r="G5" s="133"/>
      <c r="H5" s="133"/>
      <c r="I5" s="133"/>
      <c r="J5" s="133"/>
      <c r="K5" s="133"/>
      <c r="L5" s="133"/>
      <c r="M5" s="133"/>
      <c r="N5" s="133"/>
      <c r="O5" s="133"/>
      <c r="P5" s="133"/>
      <c r="Q5" s="133"/>
      <c r="R5" s="133"/>
      <c r="S5" s="133"/>
      <c r="T5" s="133"/>
    </row>
    <row r="6" spans="2:34" s="249" customFormat="1" x14ac:dyDescent="0.25">
      <c r="B6" s="254"/>
      <c r="C6" s="133" t="s">
        <v>777</v>
      </c>
      <c r="D6" s="133" t="s">
        <v>777</v>
      </c>
      <c r="E6" s="133"/>
      <c r="F6" s="133"/>
      <c r="G6" s="133"/>
      <c r="H6" s="133"/>
      <c r="I6" s="133" t="s">
        <v>777</v>
      </c>
      <c r="J6" s="133" t="s">
        <v>777</v>
      </c>
      <c r="K6" s="133"/>
      <c r="L6" s="133"/>
      <c r="M6" s="133"/>
      <c r="N6" s="133"/>
      <c r="O6" s="133"/>
      <c r="P6" s="133"/>
      <c r="Q6" s="133"/>
      <c r="R6" s="133"/>
      <c r="S6" s="133"/>
      <c r="T6" s="133"/>
    </row>
    <row r="7" spans="2:34" s="249" customFormat="1" ht="45" x14ac:dyDescent="0.25">
      <c r="B7" s="268" t="s">
        <v>831</v>
      </c>
      <c r="C7" s="280"/>
      <c r="D7" s="449" t="s">
        <v>872</v>
      </c>
      <c r="E7" s="281" t="s">
        <v>694</v>
      </c>
      <c r="F7" s="281" t="s">
        <v>695</v>
      </c>
      <c r="G7" s="282" t="s">
        <v>828</v>
      </c>
      <c r="H7" s="282" t="s">
        <v>829</v>
      </c>
      <c r="I7" s="281" t="s">
        <v>830</v>
      </c>
      <c r="K7" s="133"/>
      <c r="L7" s="133"/>
      <c r="N7" s="133"/>
      <c r="O7" s="133"/>
      <c r="P7" s="133"/>
      <c r="Q7" s="133"/>
      <c r="R7" s="133"/>
      <c r="S7" s="133"/>
      <c r="T7" s="133"/>
    </row>
    <row r="8" spans="2:34" s="148" customFormat="1" x14ac:dyDescent="0.25">
      <c r="B8" s="231" t="s">
        <v>831</v>
      </c>
      <c r="C8" s="187"/>
      <c r="D8" s="186">
        <f>'Inputs and eligible population'!F44</f>
        <v>0</v>
      </c>
      <c r="E8" s="186">
        <f>'Inputs and eligible population'!G44</f>
        <v>0</v>
      </c>
      <c r="F8" s="186">
        <f>'Inputs and eligible population'!H44</f>
        <v>0</v>
      </c>
      <c r="G8" s="186">
        <f>'Inputs and eligible population'!I44</f>
        <v>0</v>
      </c>
      <c r="H8" s="186">
        <f>'Inputs and eligible population'!J44</f>
        <v>0</v>
      </c>
      <c r="I8" s="186">
        <f>'Inputs and eligible population'!K44</f>
        <v>0</v>
      </c>
      <c r="K8" s="133"/>
      <c r="L8" s="133"/>
    </row>
    <row r="9" spans="2:34" s="249" customFormat="1" x14ac:dyDescent="0.25">
      <c r="B9" s="251" t="s">
        <v>777</v>
      </c>
      <c r="C9" s="133" t="s">
        <v>777</v>
      </c>
      <c r="D9" s="133" t="s">
        <v>777</v>
      </c>
      <c r="E9" s="133" t="s">
        <v>777</v>
      </c>
      <c r="F9" s="133" t="s">
        <v>777</v>
      </c>
      <c r="G9" s="133" t="s">
        <v>777</v>
      </c>
      <c r="H9" s="133"/>
      <c r="I9" s="133"/>
      <c r="K9" s="133"/>
      <c r="L9" s="133"/>
      <c r="N9" s="133"/>
      <c r="O9" s="133"/>
      <c r="P9" s="133"/>
      <c r="Q9" s="133"/>
      <c r="R9" s="133"/>
      <c r="S9" s="133"/>
      <c r="T9" s="133"/>
      <c r="AD9" s="283"/>
      <c r="AE9" s="283"/>
      <c r="AF9" s="283"/>
      <c r="AG9" s="283"/>
      <c r="AH9" s="283"/>
    </row>
    <row r="10" spans="2:34" s="249" customFormat="1" x14ac:dyDescent="0.25">
      <c r="B10" s="359" t="s">
        <v>834</v>
      </c>
      <c r="C10" s="360"/>
      <c r="D10" s="361"/>
      <c r="E10" s="361"/>
      <c r="F10" s="361"/>
      <c r="G10" s="361"/>
      <c r="H10" s="361"/>
      <c r="I10" s="362"/>
      <c r="K10" s="133"/>
      <c r="L10" s="133"/>
      <c r="N10" s="133"/>
      <c r="O10" s="133"/>
      <c r="P10" s="133"/>
      <c r="Q10" s="133"/>
      <c r="R10" s="133"/>
      <c r="S10" s="133"/>
      <c r="T10" s="133"/>
    </row>
    <row r="11" spans="2:34" s="249" customFormat="1" x14ac:dyDescent="0.25">
      <c r="B11" s="251"/>
      <c r="C11" s="133"/>
      <c r="D11" s="133"/>
      <c r="E11" s="133"/>
      <c r="F11" s="133"/>
      <c r="G11" s="133"/>
      <c r="H11" s="133"/>
      <c r="I11" s="133"/>
      <c r="N11" s="133"/>
      <c r="O11" s="133"/>
      <c r="P11" s="133"/>
      <c r="Q11" s="133"/>
      <c r="R11" s="133"/>
      <c r="S11" s="133"/>
      <c r="T11" s="133"/>
      <c r="AD11" s="283"/>
      <c r="AE11" s="283"/>
      <c r="AF11" s="283"/>
      <c r="AG11" s="283"/>
      <c r="AH11" s="283"/>
    </row>
    <row r="12" spans="2:34" s="249" customFormat="1" x14ac:dyDescent="0.25">
      <c r="B12" s="290" t="s">
        <v>873</v>
      </c>
      <c r="C12" s="284"/>
      <c r="D12" s="188"/>
      <c r="E12" s="188"/>
      <c r="F12" s="188"/>
      <c r="G12" s="188"/>
      <c r="H12" s="188"/>
      <c r="I12" s="189"/>
      <c r="N12" s="133"/>
      <c r="O12" s="133"/>
      <c r="P12" s="133"/>
      <c r="Q12" s="133"/>
      <c r="R12" s="133"/>
      <c r="S12" s="133"/>
      <c r="T12" s="133"/>
    </row>
    <row r="13" spans="2:34" s="249" customFormat="1" x14ac:dyDescent="0.25">
      <c r="B13" s="367" t="s">
        <v>721</v>
      </c>
      <c r="C13" s="368"/>
      <c r="D13" s="285">
        <f>'Inputs and eligible population'!L60</f>
        <v>0</v>
      </c>
      <c r="E13" s="285">
        <f>'Inputs and eligible population'!M60</f>
        <v>0</v>
      </c>
      <c r="F13" s="285">
        <f>'Inputs and eligible population'!N60</f>
        <v>0</v>
      </c>
      <c r="G13" s="285">
        <f>'Inputs and eligible population'!O60</f>
        <v>0</v>
      </c>
      <c r="H13" s="285">
        <f>'Inputs and eligible population'!P60</f>
        <v>0</v>
      </c>
      <c r="I13" s="285">
        <f>'Inputs and eligible population'!Q60</f>
        <v>0</v>
      </c>
      <c r="N13" s="133"/>
      <c r="O13" s="133"/>
      <c r="P13" s="133"/>
      <c r="Q13" s="133"/>
      <c r="R13" s="133"/>
      <c r="S13" s="133"/>
      <c r="T13" s="133"/>
      <c r="V13" s="283"/>
      <c r="W13" s="283"/>
      <c r="X13" s="283"/>
      <c r="Y13" s="283"/>
      <c r="Z13" s="283"/>
      <c r="AA13" s="283"/>
      <c r="AC13" s="283"/>
      <c r="AD13" s="283"/>
      <c r="AE13" s="283"/>
      <c r="AF13" s="283"/>
      <c r="AG13" s="283"/>
      <c r="AH13" s="283"/>
    </row>
    <row r="14" spans="2:34" s="249" customFormat="1" x14ac:dyDescent="0.25">
      <c r="B14" s="717" t="s">
        <v>874</v>
      </c>
      <c r="C14" s="368"/>
      <c r="D14" s="718">
        <f>'Inputs and eligible population'!F43</f>
        <v>0</v>
      </c>
      <c r="E14" s="718">
        <f>'Inputs and eligible population'!G43</f>
        <v>0</v>
      </c>
      <c r="F14" s="718">
        <f>'Inputs and eligible population'!H43</f>
        <v>0</v>
      </c>
      <c r="G14" s="718">
        <f>'Inputs and eligible population'!I43</f>
        <v>0</v>
      </c>
      <c r="H14" s="718">
        <f>'Inputs and eligible population'!J43</f>
        <v>0</v>
      </c>
      <c r="I14" s="718">
        <f>'Inputs and eligible population'!K43</f>
        <v>0</v>
      </c>
      <c r="N14" s="133"/>
      <c r="O14" s="133"/>
      <c r="P14" s="133"/>
      <c r="Q14" s="133"/>
      <c r="R14" s="133"/>
      <c r="S14" s="133"/>
      <c r="T14" s="133"/>
      <c r="V14" s="283"/>
      <c r="W14" s="283"/>
      <c r="X14" s="283"/>
      <c r="Y14" s="283"/>
      <c r="Z14" s="283"/>
      <c r="AA14" s="283"/>
      <c r="AC14" s="283"/>
      <c r="AD14" s="283"/>
      <c r="AE14" s="283"/>
      <c r="AF14" s="283"/>
      <c r="AG14" s="283"/>
      <c r="AH14" s="283"/>
    </row>
    <row r="15" spans="2:34" s="249" customFormat="1" x14ac:dyDescent="0.25">
      <c r="B15" s="717" t="s">
        <v>723</v>
      </c>
      <c r="C15" s="368"/>
      <c r="D15" s="718">
        <f>'Inputs and eligible population'!L62</f>
        <v>0</v>
      </c>
      <c r="E15" s="718">
        <f>'Inputs and eligible population'!M62</f>
        <v>0</v>
      </c>
      <c r="F15" s="718">
        <f>'Inputs and eligible population'!N62</f>
        <v>0</v>
      </c>
      <c r="G15" s="718">
        <f>'Inputs and eligible population'!O62</f>
        <v>0</v>
      </c>
      <c r="H15" s="718">
        <f>'Inputs and eligible population'!P62</f>
        <v>0</v>
      </c>
      <c r="I15" s="718">
        <f>'Inputs and eligible population'!Q62</f>
        <v>0</v>
      </c>
      <c r="N15" s="133"/>
      <c r="O15" s="133"/>
      <c r="P15" s="133"/>
      <c r="Q15" s="133"/>
      <c r="R15" s="133"/>
      <c r="S15" s="133"/>
      <c r="T15" s="133"/>
      <c r="V15" s="283"/>
      <c r="W15" s="283"/>
      <c r="X15" s="283"/>
      <c r="Y15" s="283"/>
      <c r="Z15" s="283"/>
      <c r="AA15" s="283"/>
      <c r="AC15" s="283"/>
      <c r="AD15" s="283"/>
      <c r="AE15" s="283"/>
      <c r="AF15" s="283"/>
      <c r="AG15" s="283"/>
      <c r="AH15" s="283"/>
    </row>
    <row r="16" spans="2:34" s="249" customFormat="1" x14ac:dyDescent="0.25">
      <c r="B16" s="291"/>
      <c r="C16" s="470"/>
      <c r="D16" s="190">
        <f t="shared" ref="D16:I16" si="0">SUM(D13:D15)</f>
        <v>0</v>
      </c>
      <c r="E16" s="190">
        <f t="shared" si="0"/>
        <v>0</v>
      </c>
      <c r="F16" s="190">
        <f t="shared" si="0"/>
        <v>0</v>
      </c>
      <c r="G16" s="190">
        <f t="shared" si="0"/>
        <v>0</v>
      </c>
      <c r="H16" s="190">
        <f t="shared" si="0"/>
        <v>0</v>
      </c>
      <c r="I16" s="190">
        <f t="shared" si="0"/>
        <v>0</v>
      </c>
      <c r="N16" s="133"/>
      <c r="O16" s="133"/>
      <c r="P16" s="133"/>
      <c r="Q16" s="133"/>
      <c r="R16" s="133"/>
      <c r="S16" s="133"/>
      <c r="T16" s="133"/>
      <c r="V16" s="283"/>
      <c r="W16" s="283"/>
      <c r="X16" s="283"/>
      <c r="Y16" s="283"/>
      <c r="Z16" s="283"/>
      <c r="AA16" s="283"/>
      <c r="AC16" s="283"/>
      <c r="AD16" s="283"/>
      <c r="AE16" s="283"/>
      <c r="AF16" s="283"/>
      <c r="AG16" s="283"/>
      <c r="AH16" s="283"/>
    </row>
    <row r="17" spans="2:34" s="249" customFormat="1" x14ac:dyDescent="0.25">
      <c r="B17" s="292"/>
      <c r="C17" s="133"/>
      <c r="D17" s="133"/>
      <c r="E17" s="133"/>
      <c r="F17" s="133"/>
      <c r="G17" s="133"/>
      <c r="H17" s="133"/>
      <c r="I17" s="133"/>
      <c r="N17" s="133"/>
      <c r="O17" s="133"/>
      <c r="P17" s="133"/>
      <c r="Q17" s="133"/>
      <c r="R17" s="133"/>
      <c r="S17" s="133"/>
      <c r="T17" s="133"/>
      <c r="AD17" s="283"/>
      <c r="AE17" s="283"/>
      <c r="AF17" s="283"/>
      <c r="AG17" s="283"/>
      <c r="AH17" s="283"/>
    </row>
    <row r="18" spans="2:34" s="249" customFormat="1" x14ac:dyDescent="0.25">
      <c r="B18" s="293" t="s">
        <v>875</v>
      </c>
      <c r="C18" s="286" t="s">
        <v>876</v>
      </c>
      <c r="D18" s="287" t="s">
        <v>835</v>
      </c>
      <c r="E18" s="287" t="s">
        <v>835</v>
      </c>
      <c r="F18" s="287" t="s">
        <v>835</v>
      </c>
      <c r="G18" s="287" t="s">
        <v>835</v>
      </c>
      <c r="H18" s="287" t="s">
        <v>835</v>
      </c>
      <c r="I18" s="287" t="s">
        <v>835</v>
      </c>
      <c r="N18" s="133"/>
      <c r="O18" s="133"/>
      <c r="P18" s="133"/>
      <c r="Q18" s="133"/>
      <c r="R18" s="133"/>
      <c r="S18" s="133"/>
      <c r="T18" s="133"/>
      <c r="AD18" s="283"/>
      <c r="AE18" s="283"/>
      <c r="AF18" s="283"/>
      <c r="AG18" s="283"/>
      <c r="AH18" s="283"/>
    </row>
    <row r="19" spans="2:34" s="249" customFormat="1" x14ac:dyDescent="0.25">
      <c r="B19" s="367" t="s">
        <v>721</v>
      </c>
      <c r="C19" s="288">
        <f>'Unit costs'!M9</f>
        <v>0</v>
      </c>
      <c r="D19" s="288">
        <f t="shared" ref="D19:I21" si="1">D13*$C19/1000</f>
        <v>0</v>
      </c>
      <c r="E19" s="288">
        <f t="shared" si="1"/>
        <v>0</v>
      </c>
      <c r="F19" s="288">
        <f t="shared" si="1"/>
        <v>0</v>
      </c>
      <c r="G19" s="288">
        <f t="shared" si="1"/>
        <v>0</v>
      </c>
      <c r="H19" s="288">
        <f t="shared" si="1"/>
        <v>0</v>
      </c>
      <c r="I19" s="288">
        <f t="shared" si="1"/>
        <v>0</v>
      </c>
      <c r="N19" s="133"/>
      <c r="O19" s="133"/>
      <c r="P19" s="133"/>
      <c r="Q19" s="133"/>
      <c r="R19" s="133"/>
      <c r="S19" s="133"/>
      <c r="T19" s="133"/>
      <c r="AD19" s="283"/>
      <c r="AE19" s="283"/>
      <c r="AF19" s="283"/>
      <c r="AG19" s="283"/>
      <c r="AH19" s="283"/>
    </row>
    <row r="20" spans="2:34" s="249" customFormat="1" x14ac:dyDescent="0.25">
      <c r="B20" s="717" t="s">
        <v>877</v>
      </c>
      <c r="C20" s="288">
        <f>C19/2</f>
        <v>0</v>
      </c>
      <c r="D20" s="288">
        <f t="shared" si="1"/>
        <v>0</v>
      </c>
      <c r="E20" s="288">
        <f t="shared" si="1"/>
        <v>0</v>
      </c>
      <c r="F20" s="288">
        <f t="shared" si="1"/>
        <v>0</v>
      </c>
      <c r="G20" s="288">
        <f t="shared" si="1"/>
        <v>0</v>
      </c>
      <c r="H20" s="288">
        <f t="shared" si="1"/>
        <v>0</v>
      </c>
      <c r="I20" s="288">
        <f t="shared" si="1"/>
        <v>0</v>
      </c>
      <c r="N20" s="133"/>
      <c r="O20" s="133"/>
      <c r="P20" s="133"/>
      <c r="Q20" s="133"/>
      <c r="R20" s="133"/>
      <c r="S20" s="133"/>
      <c r="T20" s="133"/>
      <c r="AD20" s="283"/>
      <c r="AE20" s="283"/>
      <c r="AF20" s="283"/>
      <c r="AG20" s="283"/>
      <c r="AH20" s="283"/>
    </row>
    <row r="21" spans="2:34" s="249" customFormat="1" x14ac:dyDescent="0.25">
      <c r="B21" s="367" t="s">
        <v>723</v>
      </c>
      <c r="C21" s="800">
        <v>0</v>
      </c>
      <c r="D21" s="288">
        <f t="shared" si="1"/>
        <v>0</v>
      </c>
      <c r="E21" s="288">
        <f t="shared" si="1"/>
        <v>0</v>
      </c>
      <c r="F21" s="288">
        <f t="shared" si="1"/>
        <v>0</v>
      </c>
      <c r="G21" s="288">
        <f t="shared" si="1"/>
        <v>0</v>
      </c>
      <c r="H21" s="288">
        <f t="shared" si="1"/>
        <v>0</v>
      </c>
      <c r="I21" s="288">
        <f t="shared" si="1"/>
        <v>0</v>
      </c>
      <c r="N21" s="133"/>
      <c r="O21" s="133"/>
      <c r="P21" s="133"/>
      <c r="Q21" s="133"/>
      <c r="R21" s="133"/>
      <c r="S21" s="133"/>
      <c r="T21" s="133"/>
      <c r="AD21" s="283"/>
      <c r="AE21" s="283"/>
      <c r="AF21" s="283"/>
      <c r="AG21" s="283"/>
      <c r="AH21" s="283"/>
    </row>
    <row r="22" spans="2:34" s="249" customFormat="1" x14ac:dyDescent="0.25">
      <c r="B22" s="294" t="s">
        <v>878</v>
      </c>
      <c r="C22" s="191"/>
      <c r="D22" s="192">
        <f t="shared" ref="D22:I22" si="2">SUM(D19:D21)</f>
        <v>0</v>
      </c>
      <c r="E22" s="192">
        <f t="shared" si="2"/>
        <v>0</v>
      </c>
      <c r="F22" s="192">
        <f t="shared" si="2"/>
        <v>0</v>
      </c>
      <c r="G22" s="192">
        <f t="shared" si="2"/>
        <v>0</v>
      </c>
      <c r="H22" s="193">
        <f t="shared" si="2"/>
        <v>0</v>
      </c>
      <c r="I22" s="192">
        <f t="shared" si="2"/>
        <v>0</v>
      </c>
      <c r="J22" s="376"/>
      <c r="N22" s="133"/>
      <c r="O22" s="133"/>
      <c r="P22" s="133"/>
      <c r="Q22" s="133"/>
      <c r="R22" s="133"/>
      <c r="S22" s="133"/>
      <c r="T22" s="133"/>
      <c r="AD22" s="283"/>
      <c r="AE22" s="283"/>
      <c r="AF22" s="283"/>
      <c r="AG22" s="283"/>
      <c r="AH22" s="283"/>
    </row>
    <row r="23" spans="2:34" s="249" customFormat="1" x14ac:dyDescent="0.25">
      <c r="B23" s="292"/>
      <c r="C23" s="133"/>
      <c r="D23" s="133"/>
      <c r="E23" s="133"/>
      <c r="F23" s="133"/>
      <c r="G23" s="133"/>
      <c r="H23" s="133"/>
      <c r="I23" s="133"/>
      <c r="N23" s="133"/>
      <c r="O23" s="133"/>
      <c r="P23" s="133"/>
      <c r="Q23" s="133"/>
      <c r="R23" s="133"/>
      <c r="S23" s="133"/>
      <c r="T23" s="133"/>
      <c r="AD23" s="283"/>
      <c r="AE23" s="283"/>
      <c r="AF23" s="283"/>
      <c r="AG23" s="283"/>
      <c r="AH23" s="283"/>
    </row>
    <row r="24" spans="2:34" s="249" customFormat="1" x14ac:dyDescent="0.25">
      <c r="B24" s="404"/>
      <c r="C24" s="289"/>
      <c r="D24" s="375" t="s">
        <v>837</v>
      </c>
      <c r="E24" s="192">
        <f>E22-$D$22</f>
        <v>0</v>
      </c>
      <c r="F24" s="192">
        <f t="shared" ref="F24:I24" si="3">F22-$D$22</f>
        <v>0</v>
      </c>
      <c r="G24" s="192">
        <f t="shared" si="3"/>
        <v>0</v>
      </c>
      <c r="H24" s="192">
        <f t="shared" si="3"/>
        <v>0</v>
      </c>
      <c r="I24" s="192">
        <f t="shared" si="3"/>
        <v>0</v>
      </c>
      <c r="N24" s="133"/>
      <c r="O24" s="133"/>
      <c r="P24" s="133"/>
      <c r="Q24" s="133"/>
      <c r="R24" s="133"/>
      <c r="S24" s="133"/>
      <c r="T24" s="133"/>
      <c r="AD24" s="283"/>
      <c r="AE24" s="283"/>
      <c r="AF24" s="283"/>
      <c r="AG24" s="283"/>
      <c r="AH24" s="283"/>
    </row>
    <row r="25" spans="2:34" s="249" customFormat="1" x14ac:dyDescent="0.25">
      <c r="B25" s="404"/>
      <c r="C25" s="289"/>
      <c r="D25" s="295" t="s">
        <v>879</v>
      </c>
      <c r="E25" s="192">
        <f>E24</f>
        <v>0</v>
      </c>
      <c r="F25" s="194">
        <f>F24-E24</f>
        <v>0</v>
      </c>
      <c r="G25" s="194">
        <f t="shared" ref="G25:I25" si="4">G24-F24</f>
        <v>0</v>
      </c>
      <c r="H25" s="194">
        <f t="shared" si="4"/>
        <v>0</v>
      </c>
      <c r="I25" s="194">
        <f t="shared" si="4"/>
        <v>0</v>
      </c>
      <c r="J25" s="133"/>
      <c r="K25" s="133"/>
      <c r="L25" s="133"/>
      <c r="M25" s="133"/>
      <c r="N25" s="133"/>
      <c r="O25" s="133"/>
      <c r="P25" s="133"/>
      <c r="Q25" s="133"/>
      <c r="R25" s="133"/>
      <c r="S25" s="133"/>
      <c r="T25" s="133"/>
      <c r="AD25" s="283"/>
      <c r="AE25" s="283"/>
      <c r="AF25" s="283"/>
      <c r="AG25" s="283"/>
      <c r="AH25" s="283"/>
    </row>
    <row r="27" spans="2:34" x14ac:dyDescent="0.25">
      <c r="B27" s="706" t="s">
        <v>880</v>
      </c>
      <c r="J27" s="249"/>
      <c r="K27" s="249"/>
    </row>
    <row r="28" spans="2:34" x14ac:dyDescent="0.25">
      <c r="B28" s="706" t="s">
        <v>819</v>
      </c>
      <c r="J28" s="249"/>
      <c r="K28" s="249"/>
    </row>
    <row r="29" spans="2:34" x14ac:dyDescent="0.25">
      <c r="B29" s="254" t="s">
        <v>820</v>
      </c>
      <c r="J29" s="249"/>
      <c r="K29" s="249"/>
    </row>
  </sheetData>
  <sheetProtection algorithmName="SHA-512" hashValue="sFxjXnQ/sr0HuUbUSWJ0LFhfIBGztHH5WP3mc7jRq8aMFlKORMY0FGVvHvpdu2w/ST5doJE1pVBxDdwYjKGGtQ==" saltValue="mqVLO14OBOr56WhfIPEbLA==" spinCount="100000" sheet="1" objects="1" scenarios="1"/>
  <phoneticPr fontId="43"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182"/>
  <sheetViews>
    <sheetView showGridLines="0" zoomScale="80" zoomScaleNormal="80" zoomScaleSheetLayoutView="30" workbookViewId="0">
      <selection activeCell="E26" sqref="E26"/>
    </sheetView>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614" t="str">
        <f>'Inputs and eligible population'!B1</f>
        <v>Tafamidis for treating transthyretin amyloidosis with cardiomyopathy</v>
      </c>
      <c r="C1" s="127"/>
      <c r="D1" s="127"/>
      <c r="F1" s="127"/>
      <c r="G1" s="127"/>
      <c r="H1" s="127"/>
      <c r="I1" s="127"/>
      <c r="J1" s="127"/>
      <c r="K1" s="127"/>
      <c r="L1" s="127"/>
      <c r="M1" s="127"/>
      <c r="N1" s="127"/>
      <c r="O1" s="127"/>
      <c r="P1" s="127"/>
      <c r="R1" s="127"/>
      <c r="S1" s="127"/>
      <c r="T1" s="127"/>
      <c r="U1" s="127"/>
      <c r="V1" s="127"/>
      <c r="W1" s="127"/>
      <c r="X1" s="127"/>
      <c r="Y1" s="127"/>
      <c r="Z1" s="127"/>
    </row>
    <row r="2" spans="1:40" ht="42.6" customHeight="1" x14ac:dyDescent="0.25">
      <c r="B2" s="219" t="s">
        <v>881</v>
      </c>
      <c r="C2" s="127" t="s">
        <v>777</v>
      </c>
      <c r="D2" s="127" t="s">
        <v>777</v>
      </c>
      <c r="E2" s="556"/>
      <c r="F2" s="127" t="s">
        <v>777</v>
      </c>
      <c r="G2" s="127" t="s">
        <v>777</v>
      </c>
      <c r="H2" s="127" t="s">
        <v>777</v>
      </c>
      <c r="I2" s="127" t="s">
        <v>777</v>
      </c>
      <c r="J2" s="127"/>
      <c r="K2" s="127"/>
      <c r="L2" s="127"/>
      <c r="M2" s="127"/>
      <c r="N2" s="127"/>
      <c r="O2" s="127"/>
      <c r="P2" s="127"/>
      <c r="Q2" s="127"/>
      <c r="R2" s="127"/>
      <c r="S2" s="127"/>
      <c r="T2" s="127"/>
      <c r="U2" s="127"/>
      <c r="V2" s="127"/>
      <c r="W2" s="127"/>
      <c r="X2" s="127"/>
      <c r="Y2" s="127"/>
      <c r="Z2" s="127"/>
    </row>
    <row r="3" spans="1:40" ht="14.45" customHeight="1" x14ac:dyDescent="0.25">
      <c r="B3" s="130" t="s">
        <v>777</v>
      </c>
      <c r="C3" s="133" t="s">
        <v>777</v>
      </c>
      <c r="D3" s="133" t="s">
        <v>777</v>
      </c>
      <c r="F3" s="133" t="s">
        <v>777</v>
      </c>
      <c r="G3" s="133" t="s">
        <v>777</v>
      </c>
      <c r="H3" s="133" t="s">
        <v>777</v>
      </c>
      <c r="I3" s="133" t="s">
        <v>777</v>
      </c>
      <c r="J3" s="127"/>
      <c r="K3" s="127"/>
      <c r="L3" s="127"/>
      <c r="M3" s="127"/>
      <c r="N3" s="127"/>
      <c r="O3" s="127"/>
      <c r="P3" s="127"/>
      <c r="Q3" s="133"/>
      <c r="R3" s="133"/>
      <c r="S3" s="133"/>
      <c r="T3" s="133"/>
      <c r="U3" s="133"/>
      <c r="V3" s="133"/>
      <c r="W3" s="133"/>
      <c r="X3" s="133"/>
      <c r="Y3" s="133"/>
      <c r="Z3" s="133"/>
    </row>
    <row r="4" spans="1:40" ht="14.45" customHeight="1" x14ac:dyDescent="0.25">
      <c r="B4" t="s">
        <v>882</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33"/>
      <c r="T5" s="133"/>
      <c r="U5" s="133"/>
      <c r="V5" s="133"/>
      <c r="W5" s="133"/>
      <c r="X5" s="133"/>
      <c r="Y5" s="133"/>
      <c r="Z5" s="133"/>
    </row>
    <row r="6" spans="1:40" ht="45" x14ac:dyDescent="0.25">
      <c r="B6" s="268" t="s">
        <v>831</v>
      </c>
      <c r="C6" s="214"/>
      <c r="D6" s="449" t="s">
        <v>872</v>
      </c>
      <c r="E6" s="266" t="s">
        <v>694</v>
      </c>
      <c r="F6" s="266" t="s">
        <v>695</v>
      </c>
      <c r="G6" s="167" t="s">
        <v>828</v>
      </c>
      <c r="H6" s="167" t="s">
        <v>829</v>
      </c>
      <c r="I6" s="266" t="s">
        <v>830</v>
      </c>
      <c r="L6" s="449" t="s">
        <v>872</v>
      </c>
      <c r="M6" s="266" t="s">
        <v>694</v>
      </c>
      <c r="N6" s="266" t="s">
        <v>695</v>
      </c>
      <c r="O6" s="167" t="s">
        <v>828</v>
      </c>
      <c r="P6" s="167" t="s">
        <v>829</v>
      </c>
      <c r="Q6" s="266" t="s">
        <v>830</v>
      </c>
      <c r="R6" s="133"/>
      <c r="S6" s="133"/>
      <c r="T6" s="133"/>
      <c r="U6" s="133"/>
      <c r="V6" s="133"/>
      <c r="W6" s="133"/>
      <c r="X6" s="133"/>
      <c r="Y6" s="133"/>
      <c r="Z6" s="133"/>
      <c r="AJ6" s="297"/>
      <c r="AK6" s="297"/>
      <c r="AL6" s="297"/>
      <c r="AM6" s="297"/>
      <c r="AN6" s="297"/>
    </row>
    <row r="7" spans="1:40" x14ac:dyDescent="0.25">
      <c r="B7" s="231" t="s">
        <v>831</v>
      </c>
      <c r="C7" s="170"/>
      <c r="D7" s="405">
        <f>'Inputs and eligible population'!F44</f>
        <v>0</v>
      </c>
      <c r="E7" s="405">
        <f>'Inputs and eligible population'!G44</f>
        <v>0</v>
      </c>
      <c r="F7" s="405">
        <f>'Inputs and eligible population'!H44</f>
        <v>0</v>
      </c>
      <c r="G7" s="405">
        <f>'Inputs and eligible population'!I44</f>
        <v>0</v>
      </c>
      <c r="H7" s="405">
        <f>'Inputs and eligible population'!J44</f>
        <v>0</v>
      </c>
      <c r="I7" s="405">
        <f>'Inputs and eligible population'!K44</f>
        <v>0</v>
      </c>
      <c r="P7" s="133"/>
      <c r="Q7" s="133"/>
      <c r="R7" s="133"/>
      <c r="S7" s="133"/>
      <c r="T7" s="133"/>
      <c r="U7" s="133"/>
      <c r="V7" s="133"/>
      <c r="W7" s="133"/>
      <c r="X7" s="133"/>
      <c r="Y7" s="133"/>
      <c r="Z7" s="133"/>
      <c r="AJ7" s="297"/>
      <c r="AK7" s="297"/>
      <c r="AL7" s="297"/>
      <c r="AM7" s="297"/>
      <c r="AN7" s="297"/>
    </row>
    <row r="8" spans="1:40" x14ac:dyDescent="0.25">
      <c r="B8"/>
      <c r="P8" s="133"/>
      <c r="Q8" s="133"/>
      <c r="R8" s="133"/>
      <c r="S8" s="133"/>
      <c r="T8" s="133"/>
      <c r="U8" s="133"/>
      <c r="V8" s="133"/>
      <c r="W8" s="133"/>
      <c r="X8" s="133"/>
      <c r="Y8" s="133"/>
      <c r="Z8" s="133"/>
      <c r="AJ8" s="297"/>
      <c r="AK8" s="297"/>
      <c r="AL8" s="297"/>
      <c r="AM8" s="297"/>
      <c r="AN8" s="297"/>
    </row>
    <row r="9" spans="1:40" x14ac:dyDescent="0.25">
      <c r="B9" s="290" t="s">
        <v>883</v>
      </c>
      <c r="C9" s="468"/>
      <c r="D9" s="468"/>
      <c r="E9" s="469"/>
      <c r="F9" s="468"/>
      <c r="G9" s="470"/>
      <c r="H9" s="471"/>
      <c r="I9" s="644"/>
      <c r="L9" s="262" t="s">
        <v>835</v>
      </c>
      <c r="M9" s="262" t="s">
        <v>835</v>
      </c>
      <c r="N9" s="262" t="s">
        <v>835</v>
      </c>
      <c r="O9" s="262" t="s">
        <v>835</v>
      </c>
      <c r="P9" s="262" t="s">
        <v>835</v>
      </c>
      <c r="Q9" s="262" t="s">
        <v>835</v>
      </c>
      <c r="R9" s="133"/>
      <c r="S9" s="133"/>
      <c r="T9" s="133"/>
      <c r="U9" s="133"/>
      <c r="V9" s="133"/>
      <c r="W9" s="133"/>
      <c r="X9" s="133"/>
      <c r="Y9" s="133"/>
      <c r="Z9" s="133"/>
      <c r="AJ9" s="297"/>
      <c r="AK9" s="297"/>
      <c r="AL9" s="297"/>
      <c r="AM9" s="297"/>
      <c r="AN9" s="297"/>
    </row>
    <row r="10" spans="1:40" x14ac:dyDescent="0.25">
      <c r="A10" s="308"/>
      <c r="B10" s="637" t="str">
        <f>B31</f>
        <v>First attendances - hours and cost</v>
      </c>
      <c r="C10" s="411"/>
      <c r="D10" s="451">
        <f>D35</f>
        <v>0</v>
      </c>
      <c r="E10" s="451">
        <f t="shared" ref="E10:I10" si="0">E35</f>
        <v>0</v>
      </c>
      <c r="F10" s="451">
        <f t="shared" si="0"/>
        <v>0</v>
      </c>
      <c r="G10" s="451">
        <f t="shared" si="0"/>
        <v>0</v>
      </c>
      <c r="H10" s="451">
        <f t="shared" si="0"/>
        <v>0</v>
      </c>
      <c r="I10" s="451">
        <f t="shared" si="0"/>
        <v>0</v>
      </c>
      <c r="L10" s="724">
        <f>L33</f>
        <v>0</v>
      </c>
      <c r="M10" s="724">
        <f t="shared" ref="M10:Q11" si="1">M33</f>
        <v>0</v>
      </c>
      <c r="N10" s="724">
        <f t="shared" si="1"/>
        <v>0</v>
      </c>
      <c r="O10" s="724">
        <f t="shared" si="1"/>
        <v>0</v>
      </c>
      <c r="P10" s="724">
        <f t="shared" si="1"/>
        <v>0</v>
      </c>
      <c r="Q10" s="724">
        <f t="shared" si="1"/>
        <v>0</v>
      </c>
      <c r="R10" s="133"/>
      <c r="S10" s="133"/>
      <c r="T10" s="133"/>
      <c r="U10" s="133"/>
      <c r="V10" s="133"/>
      <c r="W10" s="133"/>
      <c r="X10" s="133"/>
      <c r="Y10" s="133"/>
      <c r="Z10" s="133"/>
      <c r="AJ10" s="297"/>
      <c r="AK10" s="297"/>
      <c r="AL10" s="297"/>
      <c r="AM10" s="297"/>
      <c r="AN10" s="297"/>
    </row>
    <row r="11" spans="1:40" x14ac:dyDescent="0.25">
      <c r="A11" s="308"/>
      <c r="B11" s="637" t="str">
        <f>B38</f>
        <v>Follow up attendances</v>
      </c>
      <c r="C11" s="411"/>
      <c r="D11" s="451">
        <f>D42</f>
        <v>0</v>
      </c>
      <c r="E11" s="451">
        <f t="shared" ref="E11:I11" si="2">E42</f>
        <v>0</v>
      </c>
      <c r="F11" s="451">
        <f t="shared" si="2"/>
        <v>0</v>
      </c>
      <c r="G11" s="451">
        <f t="shared" si="2"/>
        <v>0</v>
      </c>
      <c r="H11" s="451">
        <f t="shared" si="2"/>
        <v>0</v>
      </c>
      <c r="I11" s="451">
        <f t="shared" si="2"/>
        <v>0</v>
      </c>
      <c r="L11" s="724">
        <f>L34</f>
        <v>0</v>
      </c>
      <c r="M11" s="724">
        <f t="shared" si="1"/>
        <v>0</v>
      </c>
      <c r="N11" s="724">
        <f t="shared" si="1"/>
        <v>0</v>
      </c>
      <c r="O11" s="724">
        <f t="shared" si="1"/>
        <v>0</v>
      </c>
      <c r="P11" s="724">
        <f t="shared" si="1"/>
        <v>0</v>
      </c>
      <c r="Q11" s="724">
        <f t="shared" si="1"/>
        <v>0</v>
      </c>
      <c r="R11" s="133"/>
      <c r="S11" s="133"/>
      <c r="T11" s="133"/>
      <c r="U11" s="133"/>
      <c r="V11" s="133"/>
      <c r="W11" s="133"/>
      <c r="X11" s="133"/>
      <c r="Y11" s="133"/>
      <c r="Z11" s="133"/>
      <c r="AJ11" s="297"/>
      <c r="AK11" s="297"/>
      <c r="AL11" s="297"/>
      <c r="AM11" s="297"/>
      <c r="AN11" s="297"/>
    </row>
    <row r="12" spans="1:40" x14ac:dyDescent="0.25">
      <c r="A12" s="308"/>
      <c r="B12" s="472" t="str">
        <f>B59</f>
        <v>Administrations - number of cycles</v>
      </c>
      <c r="C12" s="445"/>
      <c r="D12" s="444">
        <f>D61</f>
        <v>0</v>
      </c>
      <c r="E12" s="444">
        <f t="shared" ref="E12:I12" si="3">E61</f>
        <v>0</v>
      </c>
      <c r="F12" s="444">
        <f t="shared" si="3"/>
        <v>0</v>
      </c>
      <c r="G12" s="444">
        <f t="shared" si="3"/>
        <v>0</v>
      </c>
      <c r="H12" s="444">
        <f t="shared" si="3"/>
        <v>0</v>
      </c>
      <c r="I12" s="444">
        <f t="shared" si="3"/>
        <v>0</v>
      </c>
      <c r="L12" s="212"/>
      <c r="M12" s="212"/>
      <c r="N12" s="212"/>
      <c r="O12" s="212"/>
      <c r="P12" s="443"/>
      <c r="Q12" s="443"/>
      <c r="R12" s="133"/>
      <c r="S12" s="133"/>
      <c r="T12" s="133"/>
      <c r="U12" s="133"/>
      <c r="V12" s="133"/>
      <c r="W12" s="133"/>
      <c r="X12" s="133"/>
      <c r="Y12" s="133"/>
      <c r="Z12" s="133"/>
      <c r="AJ12" s="297"/>
      <c r="AK12" s="297"/>
      <c r="AL12" s="297"/>
      <c r="AM12" s="297"/>
      <c r="AN12" s="297"/>
    </row>
    <row r="13" spans="1:40" hidden="1" x14ac:dyDescent="0.25">
      <c r="A13" s="298"/>
      <c r="B13" s="473" t="str">
        <f>B66</f>
        <v>Administrations - duration of administrations (hours)</v>
      </c>
      <c r="C13" s="480"/>
      <c r="D13" s="446" t="e">
        <f>D70</f>
        <v>#REF!</v>
      </c>
      <c r="E13" s="446" t="e">
        <f t="shared" ref="E13:I13" si="4">E70</f>
        <v>#REF!</v>
      </c>
      <c r="F13" s="446" t="e">
        <f t="shared" si="4"/>
        <v>#REF!</v>
      </c>
      <c r="G13" s="446" t="e">
        <f t="shared" si="4"/>
        <v>#REF!</v>
      </c>
      <c r="H13" s="446" t="e">
        <f t="shared" si="4"/>
        <v>#REF!</v>
      </c>
      <c r="I13" s="446" t="e">
        <f t="shared" si="4"/>
        <v>#REF!</v>
      </c>
      <c r="L13" s="304" t="e">
        <f>L70</f>
        <v>#REF!</v>
      </c>
      <c r="M13" s="304" t="e">
        <f t="shared" ref="M13:Q13" si="5">M70</f>
        <v>#REF!</v>
      </c>
      <c r="N13" s="304" t="e">
        <f t="shared" si="5"/>
        <v>#REF!</v>
      </c>
      <c r="O13" s="304" t="e">
        <f t="shared" si="5"/>
        <v>#REF!</v>
      </c>
      <c r="P13" s="304" t="e">
        <f t="shared" si="5"/>
        <v>#REF!</v>
      </c>
      <c r="Q13" s="304" t="e">
        <f t="shared" si="5"/>
        <v>#REF!</v>
      </c>
      <c r="R13" s="133"/>
      <c r="S13" s="133"/>
      <c r="T13" s="133"/>
      <c r="U13" s="133"/>
      <c r="V13" s="133"/>
      <c r="W13" s="133"/>
      <c r="X13" s="133"/>
      <c r="Y13" s="133"/>
      <c r="Z13" s="133"/>
      <c r="AJ13" s="297"/>
      <c r="AK13" s="297"/>
      <c r="AL13" s="297"/>
      <c r="AM13" s="297"/>
      <c r="AN13" s="297"/>
    </row>
    <row r="14" spans="1:40" hidden="1" x14ac:dyDescent="0.25">
      <c r="A14" s="298"/>
      <c r="B14" s="473" t="str">
        <f>B73</f>
        <v>Preparation time before administration (hours)</v>
      </c>
      <c r="C14" s="480"/>
      <c r="D14" s="446" t="e">
        <f>D77</f>
        <v>#REF!</v>
      </c>
      <c r="E14" s="446" t="e">
        <f t="shared" ref="E14:I14" si="6">E77</f>
        <v>#REF!</v>
      </c>
      <c r="F14" s="446" t="e">
        <f t="shared" si="6"/>
        <v>#REF!</v>
      </c>
      <c r="G14" s="446" t="e">
        <f t="shared" si="6"/>
        <v>#REF!</v>
      </c>
      <c r="H14" s="446" t="e">
        <f t="shared" si="6"/>
        <v>#REF!</v>
      </c>
      <c r="I14" s="446" t="e">
        <f t="shared" si="6"/>
        <v>#REF!</v>
      </c>
      <c r="L14" s="304" t="e">
        <f>L77</f>
        <v>#REF!</v>
      </c>
      <c r="M14" s="304" t="e">
        <f t="shared" ref="M14:Q14" si="7">M77</f>
        <v>#REF!</v>
      </c>
      <c r="N14" s="304" t="e">
        <f t="shared" si="7"/>
        <v>#REF!</v>
      </c>
      <c r="O14" s="304" t="e">
        <f t="shared" si="7"/>
        <v>#REF!</v>
      </c>
      <c r="P14" s="304" t="e">
        <f t="shared" si="7"/>
        <v>#REF!</v>
      </c>
      <c r="Q14" s="304" t="e">
        <f t="shared" si="7"/>
        <v>#REF!</v>
      </c>
      <c r="R14" s="133"/>
      <c r="S14" s="133"/>
      <c r="T14" s="133"/>
      <c r="U14" s="133"/>
      <c r="V14" s="133"/>
      <c r="W14" s="133"/>
      <c r="X14" s="133"/>
      <c r="Y14" s="133"/>
      <c r="Z14" s="133"/>
      <c r="AJ14" s="297"/>
      <c r="AK14" s="297"/>
      <c r="AL14" s="297"/>
      <c r="AM14" s="297"/>
      <c r="AN14" s="297"/>
    </row>
    <row r="15" spans="1:40" hidden="1" x14ac:dyDescent="0.25">
      <c r="A15" s="298"/>
      <c r="B15" s="473" t="str">
        <f>B80</f>
        <v>Post administration nursing time (hours)</v>
      </c>
      <c r="C15" s="480"/>
      <c r="D15" s="446" t="e">
        <f>D84</f>
        <v>#REF!</v>
      </c>
      <c r="E15" s="447" t="e">
        <f t="shared" ref="E15:I15" si="8">E84</f>
        <v>#REF!</v>
      </c>
      <c r="F15" s="446" t="e">
        <f t="shared" si="8"/>
        <v>#REF!</v>
      </c>
      <c r="G15" s="446" t="e">
        <f t="shared" si="8"/>
        <v>#REF!</v>
      </c>
      <c r="H15" s="446" t="e">
        <f t="shared" si="8"/>
        <v>#REF!</v>
      </c>
      <c r="I15" s="446" t="e">
        <f t="shared" si="8"/>
        <v>#REF!</v>
      </c>
      <c r="L15" s="304" t="e">
        <f>L84</f>
        <v>#REF!</v>
      </c>
      <c r="M15" s="304" t="e">
        <f t="shared" ref="M15:Q15" si="9">M84</f>
        <v>#REF!</v>
      </c>
      <c r="N15" s="304" t="e">
        <f t="shared" si="9"/>
        <v>#REF!</v>
      </c>
      <c r="O15" s="304" t="e">
        <f t="shared" si="9"/>
        <v>#REF!</v>
      </c>
      <c r="P15" s="304" t="e">
        <f t="shared" si="9"/>
        <v>#REF!</v>
      </c>
      <c r="Q15" s="304" t="e">
        <f t="shared" si="9"/>
        <v>#REF!</v>
      </c>
      <c r="R15" s="133"/>
      <c r="S15" s="133"/>
      <c r="T15" s="133"/>
      <c r="U15" s="133"/>
      <c r="V15" s="133"/>
      <c r="W15" s="133"/>
      <c r="X15" s="133"/>
      <c r="Y15" s="133"/>
      <c r="Z15" s="133"/>
      <c r="AJ15" s="297"/>
      <c r="AK15" s="297"/>
      <c r="AL15" s="297"/>
      <c r="AM15" s="297"/>
      <c r="AN15" s="297"/>
    </row>
    <row r="16" spans="1:40" hidden="1" x14ac:dyDescent="0.25">
      <c r="A16" s="300"/>
      <c r="B16" s="474" t="str">
        <f>B88</f>
        <v>In-house aseptic unit preparations, number made</v>
      </c>
      <c r="C16" s="481"/>
      <c r="D16" s="448" t="e">
        <f>D93</f>
        <v>#REF!</v>
      </c>
      <c r="E16" s="448" t="e">
        <f t="shared" ref="E16:I16" si="10">E93</f>
        <v>#REF!</v>
      </c>
      <c r="F16" s="448" t="e">
        <f t="shared" si="10"/>
        <v>#REF!</v>
      </c>
      <c r="G16" s="448" t="e">
        <f t="shared" si="10"/>
        <v>#REF!</v>
      </c>
      <c r="H16" s="448" t="e">
        <f t="shared" si="10"/>
        <v>#REF!</v>
      </c>
      <c r="I16" s="448" t="e">
        <f t="shared" si="10"/>
        <v>#REF!</v>
      </c>
      <c r="L16" s="212"/>
      <c r="M16" s="212"/>
      <c r="N16" s="212"/>
      <c r="O16" s="212"/>
      <c r="P16" s="443"/>
      <c r="Q16" s="443"/>
      <c r="R16" s="133"/>
      <c r="S16" s="133"/>
      <c r="T16" s="133"/>
      <c r="U16" s="133"/>
      <c r="V16" s="133"/>
      <c r="W16" s="133"/>
      <c r="X16" s="133"/>
      <c r="Y16" s="133"/>
      <c r="Z16" s="133"/>
      <c r="AJ16" s="297"/>
      <c r="AK16" s="297"/>
      <c r="AL16" s="297"/>
      <c r="AM16" s="297"/>
      <c r="AN16" s="297"/>
    </row>
    <row r="17" spans="1:40" hidden="1" x14ac:dyDescent="0.25">
      <c r="A17" s="300"/>
      <c r="B17" s="474" t="str">
        <f>B96</f>
        <v>Bought-in aseptic unit preparations, number bought in</v>
      </c>
      <c r="C17" s="481"/>
      <c r="D17" s="448" t="e">
        <f>D101</f>
        <v>#REF!</v>
      </c>
      <c r="E17" s="448" t="e">
        <f t="shared" ref="E17:I17" si="11">E101</f>
        <v>#REF!</v>
      </c>
      <c r="F17" s="448" t="e">
        <f t="shared" si="11"/>
        <v>#REF!</v>
      </c>
      <c r="G17" s="448" t="e">
        <f t="shared" si="11"/>
        <v>#REF!</v>
      </c>
      <c r="H17" s="448" t="e">
        <f t="shared" si="11"/>
        <v>#REF!</v>
      </c>
      <c r="I17" s="448" t="e">
        <f t="shared" si="11"/>
        <v>#REF!</v>
      </c>
      <c r="L17" s="212"/>
      <c r="M17" s="212"/>
      <c r="N17" s="212"/>
      <c r="O17" s="212"/>
      <c r="P17" s="443"/>
      <c r="Q17" s="443"/>
      <c r="R17" s="133"/>
      <c r="S17" s="133"/>
      <c r="T17" s="133"/>
      <c r="U17" s="133"/>
      <c r="V17" s="133"/>
      <c r="W17" s="133"/>
      <c r="X17" s="133"/>
      <c r="Y17" s="133"/>
      <c r="Z17" s="133"/>
      <c r="AJ17" s="297"/>
      <c r="AK17" s="297"/>
      <c r="AL17" s="297"/>
      <c r="AM17" s="297"/>
      <c r="AN17" s="297"/>
    </row>
    <row r="18" spans="1:40" hidden="1" x14ac:dyDescent="0.25">
      <c r="A18" s="300"/>
      <c r="B18" s="474" t="str">
        <f>B104</f>
        <v>In-house aseptic unit preparations, pharmacy time (hours)</v>
      </c>
      <c r="C18" s="481"/>
      <c r="D18" s="448" t="e">
        <f>D109</f>
        <v>#REF!</v>
      </c>
      <c r="E18" s="448" t="e">
        <f t="shared" ref="E18:I18" si="12">E109</f>
        <v>#REF!</v>
      </c>
      <c r="F18" s="448" t="e">
        <f t="shared" si="12"/>
        <v>#REF!</v>
      </c>
      <c r="G18" s="448" t="e">
        <f t="shared" si="12"/>
        <v>#REF!</v>
      </c>
      <c r="H18" s="448" t="e">
        <f t="shared" si="12"/>
        <v>#REF!</v>
      </c>
      <c r="I18" s="448" t="e">
        <f t="shared" si="12"/>
        <v>#REF!</v>
      </c>
      <c r="L18" s="304" t="e">
        <f>L109</f>
        <v>#REF!</v>
      </c>
      <c r="M18" s="304" t="e">
        <f t="shared" ref="M18:Q18" si="13">M109</f>
        <v>#REF!</v>
      </c>
      <c r="N18" s="304" t="e">
        <f t="shared" si="13"/>
        <v>#REF!</v>
      </c>
      <c r="O18" s="304" t="e">
        <f t="shared" si="13"/>
        <v>#REF!</v>
      </c>
      <c r="P18" s="304" t="e">
        <f t="shared" si="13"/>
        <v>#REF!</v>
      </c>
      <c r="Q18" s="304" t="e">
        <f t="shared" si="13"/>
        <v>#REF!</v>
      </c>
      <c r="R18" s="133"/>
      <c r="S18" s="133"/>
      <c r="T18" s="133"/>
      <c r="U18" s="133"/>
      <c r="V18" s="133"/>
      <c r="W18" s="133"/>
      <c r="X18" s="133"/>
      <c r="Y18" s="133"/>
      <c r="Z18" s="133"/>
      <c r="AJ18" s="297"/>
      <c r="AK18" s="297"/>
      <c r="AL18" s="297"/>
      <c r="AM18" s="297"/>
      <c r="AN18" s="297"/>
    </row>
    <row r="19" spans="1:40" hidden="1" x14ac:dyDescent="0.25">
      <c r="A19" s="300"/>
      <c r="B19" s="474" t="str">
        <f>B112</f>
        <v>Bought-in aseptic unit preparations, pharmacy time (hours)</v>
      </c>
      <c r="C19" s="481"/>
      <c r="D19" s="448" t="e">
        <f>D117</f>
        <v>#REF!</v>
      </c>
      <c r="E19" s="448" t="e">
        <f t="shared" ref="E19:I19" si="14">E117</f>
        <v>#REF!</v>
      </c>
      <c r="F19" s="448" t="e">
        <f t="shared" si="14"/>
        <v>#REF!</v>
      </c>
      <c r="G19" s="448" t="e">
        <f t="shared" si="14"/>
        <v>#REF!</v>
      </c>
      <c r="H19" s="448" t="e">
        <f t="shared" si="14"/>
        <v>#REF!</v>
      </c>
      <c r="I19" s="448" t="e">
        <f t="shared" si="14"/>
        <v>#REF!</v>
      </c>
      <c r="L19" s="304" t="e">
        <f>L117</f>
        <v>#REF!</v>
      </c>
      <c r="M19" s="304" t="e">
        <f t="shared" ref="M19:Q19" si="15">M117</f>
        <v>#REF!</v>
      </c>
      <c r="N19" s="304" t="e">
        <f t="shared" si="15"/>
        <v>#REF!</v>
      </c>
      <c r="O19" s="304" t="e">
        <f t="shared" si="15"/>
        <v>#REF!</v>
      </c>
      <c r="P19" s="304" t="e">
        <f t="shared" si="15"/>
        <v>#REF!</v>
      </c>
      <c r="Q19" s="304" t="e">
        <f t="shared" si="15"/>
        <v>#REF!</v>
      </c>
      <c r="R19" s="133"/>
      <c r="S19" s="133"/>
      <c r="T19" s="133"/>
      <c r="U19" s="133"/>
      <c r="V19" s="133"/>
      <c r="W19" s="133"/>
      <c r="X19" s="133"/>
      <c r="Y19" s="133"/>
      <c r="Z19" s="133"/>
      <c r="AJ19" s="297"/>
      <c r="AK19" s="297"/>
      <c r="AL19" s="297"/>
      <c r="AM19" s="297"/>
      <c r="AN19" s="297"/>
    </row>
    <row r="20" spans="1:40" hidden="1" x14ac:dyDescent="0.25">
      <c r="A20" s="300"/>
      <c r="B20" s="474" t="str">
        <f>B120</f>
        <v>Drug regimen prep (hours)</v>
      </c>
      <c r="C20" s="481"/>
      <c r="D20" s="448" t="e">
        <f>D125</f>
        <v>#REF!</v>
      </c>
      <c r="E20" s="448" t="e">
        <f t="shared" ref="E20:I20" si="16">E125</f>
        <v>#REF!</v>
      </c>
      <c r="F20" s="448" t="e">
        <f t="shared" si="16"/>
        <v>#REF!</v>
      </c>
      <c r="G20" s="448" t="e">
        <f t="shared" si="16"/>
        <v>#REF!</v>
      </c>
      <c r="H20" s="448" t="e">
        <f t="shared" si="16"/>
        <v>#REF!</v>
      </c>
      <c r="I20" s="448" t="e">
        <f t="shared" si="16"/>
        <v>#REF!</v>
      </c>
      <c r="L20" s="304" t="e">
        <f>L125</f>
        <v>#REF!</v>
      </c>
      <c r="M20" s="304" t="e">
        <f t="shared" ref="M20:Q20" si="17">M125</f>
        <v>#REF!</v>
      </c>
      <c r="N20" s="304" t="e">
        <f t="shared" si="17"/>
        <v>#REF!</v>
      </c>
      <c r="O20" s="304" t="e">
        <f t="shared" si="17"/>
        <v>#REF!</v>
      </c>
      <c r="P20" s="304" t="e">
        <f t="shared" si="17"/>
        <v>#REF!</v>
      </c>
      <c r="Q20" s="304" t="e">
        <f t="shared" si="17"/>
        <v>#REF!</v>
      </c>
      <c r="R20" s="133"/>
      <c r="S20" s="133"/>
      <c r="T20" s="133"/>
      <c r="U20" s="133"/>
      <c r="V20" s="133"/>
      <c r="W20" s="133"/>
      <c r="X20" s="133"/>
      <c r="Y20" s="133"/>
      <c r="Z20" s="133"/>
      <c r="AJ20" s="297"/>
      <c r="AK20" s="297"/>
      <c r="AL20" s="297"/>
      <c r="AM20" s="297"/>
      <c r="AN20" s="297"/>
    </row>
    <row r="21" spans="1:40" hidden="1" x14ac:dyDescent="0.25">
      <c r="A21" s="348"/>
      <c r="B21" s="476" t="str">
        <f>B129</f>
        <v>Appointments with supporting specialty x</v>
      </c>
      <c r="C21" s="482"/>
      <c r="D21" s="452" t="e">
        <f>D134</f>
        <v>#REF!</v>
      </c>
      <c r="E21" s="452" t="e">
        <f t="shared" ref="E21:I21" si="18">E134</f>
        <v>#REF!</v>
      </c>
      <c r="F21" s="452" t="e">
        <f t="shared" si="18"/>
        <v>#REF!</v>
      </c>
      <c r="G21" s="452" t="e">
        <f t="shared" si="18"/>
        <v>#REF!</v>
      </c>
      <c r="H21" s="452" t="e">
        <f t="shared" si="18"/>
        <v>#REF!</v>
      </c>
      <c r="I21" s="452" t="e">
        <f t="shared" si="18"/>
        <v>#REF!</v>
      </c>
      <c r="L21" s="304" t="e">
        <f>L134</f>
        <v>#REF!</v>
      </c>
      <c r="M21" s="304" t="e">
        <f t="shared" ref="M21:Q21" si="19">M134</f>
        <v>#REF!</v>
      </c>
      <c r="N21" s="304" t="e">
        <f t="shared" si="19"/>
        <v>#REF!</v>
      </c>
      <c r="O21" s="304" t="e">
        <f t="shared" si="19"/>
        <v>#REF!</v>
      </c>
      <c r="P21" s="304" t="e">
        <f t="shared" si="19"/>
        <v>#REF!</v>
      </c>
      <c r="Q21" s="304" t="e">
        <f t="shared" si="19"/>
        <v>#REF!</v>
      </c>
      <c r="R21" s="133"/>
      <c r="S21" s="133"/>
      <c r="T21" s="133"/>
      <c r="U21" s="133"/>
      <c r="V21" s="133"/>
      <c r="W21" s="133"/>
      <c r="X21" s="133"/>
      <c r="Y21" s="133"/>
      <c r="Z21" s="133"/>
      <c r="AJ21" s="297"/>
      <c r="AK21" s="297"/>
      <c r="AL21" s="297"/>
      <c r="AM21" s="297"/>
      <c r="AN21" s="297"/>
    </row>
    <row r="22" spans="1:40" hidden="1" x14ac:dyDescent="0.25">
      <c r="A22" s="301"/>
      <c r="B22" s="477" t="str">
        <f>B138</f>
        <v>Imaging MRI scans</v>
      </c>
      <c r="C22" s="483"/>
      <c r="D22" s="453" t="e">
        <f>D143</f>
        <v>#REF!</v>
      </c>
      <c r="E22" s="453" t="e">
        <f t="shared" ref="E22:I22" si="20">E143</f>
        <v>#REF!</v>
      </c>
      <c r="F22" s="453" t="e">
        <f t="shared" si="20"/>
        <v>#REF!</v>
      </c>
      <c r="G22" s="453" t="e">
        <f t="shared" si="20"/>
        <v>#REF!</v>
      </c>
      <c r="H22" s="453" t="e">
        <f t="shared" si="20"/>
        <v>#REF!</v>
      </c>
      <c r="I22" s="453" t="e">
        <f t="shared" si="20"/>
        <v>#REF!</v>
      </c>
      <c r="L22" s="304" t="e">
        <f>L143</f>
        <v>#REF!</v>
      </c>
      <c r="M22" s="304" t="e">
        <f t="shared" ref="M22:Q22" si="21">M143</f>
        <v>#REF!</v>
      </c>
      <c r="N22" s="304" t="e">
        <f t="shared" si="21"/>
        <v>#REF!</v>
      </c>
      <c r="O22" s="304" t="e">
        <f t="shared" si="21"/>
        <v>#REF!</v>
      </c>
      <c r="P22" s="304" t="e">
        <f t="shared" si="21"/>
        <v>#REF!</v>
      </c>
      <c r="Q22" s="304" t="e">
        <f t="shared" si="21"/>
        <v>#REF!</v>
      </c>
      <c r="R22" s="133"/>
      <c r="S22" s="133"/>
      <c r="T22" s="133"/>
      <c r="U22" s="133"/>
      <c r="V22" s="133"/>
      <c r="W22" s="133"/>
      <c r="X22" s="133"/>
      <c r="Y22" s="133"/>
      <c r="Z22" s="133"/>
      <c r="AJ22" s="297"/>
      <c r="AK22" s="297"/>
      <c r="AL22" s="297"/>
      <c r="AM22" s="297"/>
      <c r="AN22" s="297"/>
    </row>
    <row r="23" spans="1:40" hidden="1" x14ac:dyDescent="0.25">
      <c r="A23" s="301"/>
      <c r="B23" s="477" t="str">
        <f>B146</f>
        <v>Liver function tests per person</v>
      </c>
      <c r="C23" s="483"/>
      <c r="D23" s="453" t="e">
        <f>D151</f>
        <v>#REF!</v>
      </c>
      <c r="E23" s="453" t="e">
        <f t="shared" ref="E23:I23" si="22">E151</f>
        <v>#REF!</v>
      </c>
      <c r="F23" s="453" t="e">
        <f t="shared" si="22"/>
        <v>#REF!</v>
      </c>
      <c r="G23" s="453" t="e">
        <f t="shared" si="22"/>
        <v>#REF!</v>
      </c>
      <c r="H23" s="453" t="e">
        <f t="shared" si="22"/>
        <v>#REF!</v>
      </c>
      <c r="I23" s="453" t="e">
        <f t="shared" si="22"/>
        <v>#REF!</v>
      </c>
      <c r="L23" s="304" t="e">
        <f>L151</f>
        <v>#REF!</v>
      </c>
      <c r="M23" s="304" t="e">
        <f t="shared" ref="M23:Q23" si="23">M151</f>
        <v>#REF!</v>
      </c>
      <c r="N23" s="304" t="e">
        <f t="shared" si="23"/>
        <v>#REF!</v>
      </c>
      <c r="O23" s="304" t="e">
        <f t="shared" si="23"/>
        <v>#REF!</v>
      </c>
      <c r="P23" s="304" t="e">
        <f t="shared" si="23"/>
        <v>#REF!</v>
      </c>
      <c r="Q23" s="304" t="e">
        <f t="shared" si="23"/>
        <v>#REF!</v>
      </c>
      <c r="R23" s="133"/>
      <c r="S23" s="133"/>
      <c r="T23" s="133"/>
      <c r="U23" s="133"/>
      <c r="V23" s="133"/>
      <c r="W23" s="133"/>
      <c r="X23" s="133"/>
      <c r="Y23" s="133"/>
      <c r="Z23" s="133"/>
      <c r="AJ23" s="297"/>
      <c r="AK23" s="297"/>
      <c r="AL23" s="297"/>
      <c r="AM23" s="297"/>
      <c r="AN23" s="297"/>
    </row>
    <row r="24" spans="1:40" hidden="1" x14ac:dyDescent="0.25">
      <c r="A24" s="301"/>
      <c r="B24" s="477" t="str">
        <f>B154</f>
        <v>Genomic tests</v>
      </c>
      <c r="C24" s="483"/>
      <c r="D24" s="453" t="e">
        <f>D159</f>
        <v>#REF!</v>
      </c>
      <c r="E24" s="453" t="e">
        <f t="shared" ref="E24:I24" si="24">E159</f>
        <v>#REF!</v>
      </c>
      <c r="F24" s="453" t="e">
        <f t="shared" si="24"/>
        <v>#REF!</v>
      </c>
      <c r="G24" s="453" t="e">
        <f t="shared" si="24"/>
        <v>#REF!</v>
      </c>
      <c r="H24" s="453" t="e">
        <f t="shared" si="24"/>
        <v>#REF!</v>
      </c>
      <c r="I24" s="453" t="e">
        <f t="shared" si="24"/>
        <v>#REF!</v>
      </c>
      <c r="L24" s="212"/>
      <c r="M24" s="212"/>
      <c r="N24" s="212"/>
      <c r="O24" s="212"/>
      <c r="P24" s="443"/>
      <c r="Q24" s="443"/>
      <c r="R24" s="133"/>
      <c r="S24" s="133"/>
      <c r="T24" s="133"/>
      <c r="U24" s="133"/>
      <c r="V24" s="133"/>
      <c r="W24" s="133"/>
      <c r="X24" s="133"/>
      <c r="Y24" s="133"/>
      <c r="Z24" s="133"/>
      <c r="AJ24" s="297"/>
      <c r="AK24" s="297"/>
      <c r="AL24" s="297"/>
      <c r="AM24" s="297"/>
      <c r="AN24" s="297"/>
    </row>
    <row r="25" spans="1:40" hidden="1" x14ac:dyDescent="0.25">
      <c r="A25" s="301"/>
      <c r="B25" s="478" t="str">
        <f>B162</f>
        <v>Genomics staffing impact (hours)</v>
      </c>
      <c r="C25" s="464"/>
      <c r="D25" s="453" t="e">
        <f>D167</f>
        <v>#REF!</v>
      </c>
      <c r="E25" s="453" t="e">
        <f t="shared" ref="E25:I25" si="25">E167</f>
        <v>#REF!</v>
      </c>
      <c r="F25" s="453" t="e">
        <f t="shared" si="25"/>
        <v>#REF!</v>
      </c>
      <c r="G25" s="453" t="e">
        <f t="shared" si="25"/>
        <v>#REF!</v>
      </c>
      <c r="H25" s="453" t="e">
        <f t="shared" si="25"/>
        <v>#REF!</v>
      </c>
      <c r="I25" s="453" t="e">
        <f t="shared" si="25"/>
        <v>#REF!</v>
      </c>
      <c r="J25" s="133"/>
      <c r="K25" s="133"/>
      <c r="L25" s="304" t="e">
        <f>L167</f>
        <v>#REF!</v>
      </c>
      <c r="M25" s="304" t="e">
        <f t="shared" ref="M25:Q25" si="26">M167</f>
        <v>#REF!</v>
      </c>
      <c r="N25" s="304" t="e">
        <f t="shared" si="26"/>
        <v>#REF!</v>
      </c>
      <c r="O25" s="304" t="e">
        <f t="shared" si="26"/>
        <v>#REF!</v>
      </c>
      <c r="P25" s="304" t="e">
        <f t="shared" si="26"/>
        <v>#REF!</v>
      </c>
      <c r="Q25" s="304" t="e">
        <f t="shared" si="26"/>
        <v>#REF!</v>
      </c>
      <c r="R25" s="133"/>
      <c r="S25" s="133"/>
      <c r="T25" s="133"/>
      <c r="U25" s="133"/>
      <c r="V25" s="133"/>
      <c r="W25" s="133"/>
      <c r="X25" s="133"/>
      <c r="Y25" s="133"/>
      <c r="Z25" s="133"/>
    </row>
    <row r="26" spans="1:40" x14ac:dyDescent="0.25">
      <c r="A26" s="302"/>
      <c r="B26" s="479" t="str">
        <f>B171</f>
        <v>Annual number of bed days</v>
      </c>
      <c r="C26" s="459"/>
      <c r="D26" s="454">
        <f>D175</f>
        <v>0</v>
      </c>
      <c r="E26" s="454">
        <f t="shared" ref="E26:I26" si="27">E175</f>
        <v>0</v>
      </c>
      <c r="F26" s="454">
        <f t="shared" si="27"/>
        <v>0</v>
      </c>
      <c r="G26" s="454">
        <f t="shared" si="27"/>
        <v>0</v>
      </c>
      <c r="H26" s="454">
        <f t="shared" si="27"/>
        <v>0</v>
      </c>
      <c r="I26" s="454">
        <f t="shared" si="27"/>
        <v>0</v>
      </c>
      <c r="J26" s="133"/>
      <c r="K26" s="133"/>
      <c r="L26" s="304">
        <f>L175</f>
        <v>0</v>
      </c>
      <c r="M26" s="304">
        <f>M175</f>
        <v>0</v>
      </c>
      <c r="N26" s="304">
        <f t="shared" ref="N26:Q26" si="28">N175</f>
        <v>0</v>
      </c>
      <c r="O26" s="304">
        <f t="shared" si="28"/>
        <v>0</v>
      </c>
      <c r="P26" s="304">
        <f t="shared" si="28"/>
        <v>0</v>
      </c>
      <c r="Q26" s="304">
        <f t="shared" si="28"/>
        <v>0</v>
      </c>
      <c r="R26" s="133"/>
      <c r="S26" s="133"/>
      <c r="T26" s="133"/>
      <c r="U26" s="133"/>
      <c r="V26" s="133"/>
      <c r="W26" s="133"/>
      <c r="X26" s="133"/>
      <c r="Y26" s="133"/>
      <c r="Z26" s="133"/>
    </row>
    <row r="27" spans="1:40" x14ac:dyDescent="0.25">
      <c r="B27" s="254"/>
      <c r="D27" s="297"/>
      <c r="F27" s="133"/>
      <c r="G27" s="133"/>
      <c r="H27" s="133"/>
      <c r="I27" s="133"/>
      <c r="J27" s="133"/>
      <c r="K27" s="133"/>
      <c r="L27" s="305">
        <f>SUM(L10:L11)</f>
        <v>0</v>
      </c>
      <c r="M27" s="305">
        <f t="shared" ref="M27:Q27" si="29">SUM(M10:M11)</f>
        <v>0</v>
      </c>
      <c r="N27" s="305">
        <f t="shared" si="29"/>
        <v>0</v>
      </c>
      <c r="O27" s="305">
        <f t="shared" si="29"/>
        <v>0</v>
      </c>
      <c r="P27" s="305">
        <f t="shared" si="29"/>
        <v>0</v>
      </c>
      <c r="Q27" s="305">
        <f t="shared" si="29"/>
        <v>0</v>
      </c>
      <c r="R27" s="133"/>
      <c r="S27" s="133"/>
      <c r="T27" s="133"/>
      <c r="U27" s="133"/>
      <c r="V27" s="133"/>
      <c r="W27" s="133"/>
      <c r="X27" s="133"/>
      <c r="Y27" s="133"/>
      <c r="Z27" s="133"/>
    </row>
    <row r="28" spans="1:40" x14ac:dyDescent="0.25">
      <c r="B28" s="336"/>
      <c r="C28" s="336"/>
      <c r="D28" s="336"/>
      <c r="E28" s="336"/>
      <c r="F28" s="336"/>
      <c r="G28" s="336"/>
      <c r="H28" s="336"/>
      <c r="I28" s="336"/>
      <c r="J28" s="336"/>
      <c r="K28" s="336"/>
      <c r="L28" s="336"/>
      <c r="P28" s="133"/>
      <c r="Q28" s="133"/>
      <c r="R28" s="133"/>
      <c r="S28" s="133"/>
      <c r="V28" s="133"/>
      <c r="W28" s="133"/>
      <c r="X28" s="133"/>
      <c r="Y28" s="133"/>
      <c r="Z28" s="133"/>
      <c r="AJ28" s="297"/>
      <c r="AK28" s="297"/>
      <c r="AL28" s="297"/>
      <c r="AM28" s="297"/>
      <c r="AN28" s="297"/>
    </row>
    <row r="29" spans="1:40" x14ac:dyDescent="0.25">
      <c r="B29" s="397" t="s">
        <v>884</v>
      </c>
      <c r="C29" s="398"/>
      <c r="D29" s="398"/>
      <c r="E29" s="399"/>
      <c r="F29" s="398"/>
      <c r="G29" s="400"/>
      <c r="H29" s="401"/>
      <c r="I29" s="401"/>
      <c r="J29" s="401"/>
      <c r="K29" s="401"/>
      <c r="L29" s="401"/>
      <c r="M29" s="401"/>
      <c r="N29" s="401"/>
      <c r="O29" s="401"/>
      <c r="P29" s="401"/>
      <c r="Q29" s="402"/>
      <c r="R29" s="133"/>
      <c r="S29" s="133"/>
      <c r="T29" s="133"/>
      <c r="U29" s="133"/>
      <c r="V29" s="133"/>
      <c r="W29" s="133"/>
      <c r="X29" s="133"/>
      <c r="Y29" s="133"/>
      <c r="Z29" s="133"/>
      <c r="AJ29" s="297"/>
      <c r="AK29" s="297"/>
      <c r="AL29" s="297"/>
      <c r="AM29" s="297"/>
      <c r="AN29" s="297"/>
    </row>
    <row r="30" spans="1:40" x14ac:dyDescent="0.25">
      <c r="A30" s="299"/>
      <c r="B30" s="634" t="s">
        <v>734</v>
      </c>
      <c r="C30" s="627"/>
      <c r="D30" s="628"/>
      <c r="E30" s="629"/>
      <c r="F30" s="299"/>
      <c r="G30" s="299"/>
      <c r="H30" s="224"/>
      <c r="I30" s="224"/>
      <c r="J30" s="224"/>
      <c r="K30" s="224"/>
      <c r="L30" s="224"/>
      <c r="M30" s="224"/>
      <c r="N30" s="224"/>
      <c r="O30" s="224"/>
      <c r="P30" s="224"/>
      <c r="Q30" s="224"/>
      <c r="R30" s="133"/>
      <c r="S30" s="133"/>
      <c r="T30" s="133"/>
      <c r="U30" s="133"/>
      <c r="V30" s="133"/>
      <c r="W30" s="133"/>
      <c r="X30" s="133"/>
      <c r="Y30" s="133"/>
      <c r="Z30" s="133"/>
      <c r="AJ30" s="297"/>
      <c r="AK30" s="297"/>
      <c r="AL30" s="297"/>
      <c r="AM30" s="297"/>
      <c r="AN30" s="297"/>
    </row>
    <row r="31" spans="1:40" x14ac:dyDescent="0.25">
      <c r="A31" s="625"/>
      <c r="B31" s="630" t="s">
        <v>885</v>
      </c>
      <c r="C31" s="421"/>
      <c r="D31" s="421"/>
      <c r="E31" s="421"/>
      <c r="F31" s="421"/>
      <c r="G31" s="421"/>
      <c r="H31" s="421"/>
      <c r="I31" s="223"/>
      <c r="J31" s="224"/>
      <c r="K31" s="224"/>
      <c r="L31" s="224"/>
      <c r="M31" s="224"/>
      <c r="N31" s="224"/>
      <c r="O31" s="224"/>
      <c r="P31" s="224"/>
      <c r="Q31" s="224"/>
      <c r="R31" s="133"/>
      <c r="S31" s="133"/>
      <c r="T31" s="133"/>
      <c r="U31" s="133"/>
      <c r="V31" s="133"/>
      <c r="W31" s="133"/>
      <c r="X31" s="133"/>
      <c r="Y31" s="133"/>
      <c r="Z31" s="133"/>
      <c r="AJ31" s="297"/>
      <c r="AK31" s="297"/>
      <c r="AL31" s="297"/>
      <c r="AM31" s="297"/>
      <c r="AN31" s="297"/>
    </row>
    <row r="32" spans="1:40" ht="45" x14ac:dyDescent="0.25">
      <c r="A32" s="625"/>
      <c r="B32" s="335" t="s">
        <v>799</v>
      </c>
      <c r="C32" s="168" t="s">
        <v>886</v>
      </c>
      <c r="D32" s="449" t="s">
        <v>872</v>
      </c>
      <c r="E32" s="266" t="s">
        <v>694</v>
      </c>
      <c r="F32" s="266" t="s">
        <v>695</v>
      </c>
      <c r="G32" s="167" t="s">
        <v>828</v>
      </c>
      <c r="H32" s="167" t="s">
        <v>829</v>
      </c>
      <c r="I32" s="266" t="s">
        <v>830</v>
      </c>
      <c r="J32" s="633"/>
      <c r="K32" s="624" t="s">
        <v>801</v>
      </c>
      <c r="L32" s="449" t="s">
        <v>872</v>
      </c>
      <c r="M32" s="600" t="s">
        <v>694</v>
      </c>
      <c r="N32" s="600" t="s">
        <v>695</v>
      </c>
      <c r="O32" s="450" t="s">
        <v>828</v>
      </c>
      <c r="P32" s="450" t="s">
        <v>829</v>
      </c>
      <c r="Q32" s="600" t="s">
        <v>830</v>
      </c>
      <c r="R32" s="133"/>
      <c r="S32" s="133"/>
      <c r="T32" s="133"/>
      <c r="U32" s="133"/>
      <c r="V32" s="133"/>
      <c r="W32" s="133"/>
      <c r="X32" s="133"/>
      <c r="Y32" s="133"/>
      <c r="Z32" s="133"/>
      <c r="AJ32" s="297"/>
      <c r="AK32" s="297"/>
      <c r="AL32" s="297"/>
      <c r="AM32" s="297"/>
      <c r="AN32" s="297"/>
    </row>
    <row r="33" spans="1:40" x14ac:dyDescent="0.25">
      <c r="A33" s="625"/>
      <c r="B33" s="367" t="s">
        <v>721</v>
      </c>
      <c r="C33" s="149">
        <f>'Inputs and eligible population'!F73</f>
        <v>1</v>
      </c>
      <c r="D33" s="128">
        <f>'Financial impact (cash)'!D13*$C$33*'Inputs and eligible population'!$F$74/60</f>
        <v>0</v>
      </c>
      <c r="E33" s="128">
        <f>'Financial impact (cash)'!E13*$C$33*'Inputs and eligible population'!$F$74/60</f>
        <v>0</v>
      </c>
      <c r="F33" s="128">
        <f>'Financial impact (cash)'!F13*$C$33*'Inputs and eligible population'!$F$74/60</f>
        <v>0</v>
      </c>
      <c r="G33" s="128">
        <f>'Financial impact (cash)'!G13*$C$33*'Inputs and eligible population'!$F$74/60</f>
        <v>0</v>
      </c>
      <c r="H33" s="128">
        <f>'Financial impact (cash)'!H13*$C$33*'Inputs and eligible population'!$F$74/60</f>
        <v>0</v>
      </c>
      <c r="I33" s="128">
        <f>'Financial impact (cash)'!I13*$C$33*'Inputs and eligible population'!$F$74/60</f>
        <v>0</v>
      </c>
      <c r="J33" s="633"/>
      <c r="K33" s="636">
        <f>'Inputs and eligible population'!K74</f>
        <v>103.07</v>
      </c>
      <c r="L33" s="638">
        <f>$K33/1000*D33</f>
        <v>0</v>
      </c>
      <c r="M33" s="638">
        <f t="shared" ref="M33:Q34" si="30">$K33/1000*E33</f>
        <v>0</v>
      </c>
      <c r="N33" s="638">
        <f t="shared" si="30"/>
        <v>0</v>
      </c>
      <c r="O33" s="638">
        <f t="shared" si="30"/>
        <v>0</v>
      </c>
      <c r="P33" s="638">
        <f t="shared" si="30"/>
        <v>0</v>
      </c>
      <c r="Q33" s="638">
        <f t="shared" si="30"/>
        <v>0</v>
      </c>
      <c r="R33" s="133"/>
      <c r="S33" s="133"/>
      <c r="T33" s="133"/>
      <c r="U33" s="133"/>
      <c r="V33" s="133"/>
      <c r="W33" s="133"/>
      <c r="X33" s="133"/>
      <c r="Y33" s="133"/>
      <c r="Z33" s="133"/>
      <c r="AJ33" s="297"/>
      <c r="AK33" s="297"/>
      <c r="AL33" s="297"/>
      <c r="AM33" s="297"/>
      <c r="AN33" s="297"/>
    </row>
    <row r="34" spans="1:40" x14ac:dyDescent="0.25">
      <c r="A34" s="625"/>
      <c r="B34" s="367" t="s">
        <v>723</v>
      </c>
      <c r="C34" s="149">
        <f>'Inputs and eligible population'!G73</f>
        <v>1</v>
      </c>
      <c r="D34" s="128">
        <f>'Financial impact (cash)'!D15*$C$34*'Inputs and eligible population'!$G$74/60</f>
        <v>0</v>
      </c>
      <c r="E34" s="128">
        <f>'Financial impact (cash)'!E15*$C$34*'Inputs and eligible population'!$G$74/60</f>
        <v>0</v>
      </c>
      <c r="F34" s="128">
        <f>'Financial impact (cash)'!F15*$C$34*'Inputs and eligible population'!$G$74/60</f>
        <v>0</v>
      </c>
      <c r="G34" s="128">
        <f>'Financial impact (cash)'!G15*$C$34*'Inputs and eligible population'!$G$74/60</f>
        <v>0</v>
      </c>
      <c r="H34" s="128">
        <f>'Financial impact (cash)'!H15*$C$34*'Inputs and eligible population'!$G$74/60</f>
        <v>0</v>
      </c>
      <c r="I34" s="128">
        <f>'Financial impact (cash)'!I15*$C$34*'Inputs and eligible population'!$G$74/60</f>
        <v>0</v>
      </c>
      <c r="J34" s="633"/>
      <c r="K34" s="636">
        <f>'Inputs and eligible population'!K74</f>
        <v>103.07</v>
      </c>
      <c r="L34" s="638">
        <f t="shared" ref="L34" si="31">$K34/1000*D34</f>
        <v>0</v>
      </c>
      <c r="M34" s="638">
        <f t="shared" si="30"/>
        <v>0</v>
      </c>
      <c r="N34" s="638">
        <f t="shared" si="30"/>
        <v>0</v>
      </c>
      <c r="O34" s="638">
        <f t="shared" si="30"/>
        <v>0</v>
      </c>
      <c r="P34" s="638">
        <f t="shared" si="30"/>
        <v>0</v>
      </c>
      <c r="Q34" s="638">
        <f t="shared" si="30"/>
        <v>0</v>
      </c>
      <c r="R34" s="133"/>
      <c r="S34" s="133"/>
      <c r="T34" s="133"/>
      <c r="U34" s="133"/>
      <c r="V34" s="133"/>
      <c r="W34" s="133"/>
      <c r="X34" s="133"/>
      <c r="Y34" s="133"/>
      <c r="Z34" s="133"/>
      <c r="AJ34" s="297"/>
      <c r="AK34" s="297"/>
      <c r="AL34" s="297"/>
      <c r="AM34" s="297"/>
      <c r="AN34" s="297"/>
    </row>
    <row r="35" spans="1:40" x14ac:dyDescent="0.25">
      <c r="A35" s="625"/>
      <c r="B35" s="580"/>
      <c r="C35" s="294"/>
      <c r="D35" s="190">
        <f t="shared" ref="D35:I35" si="32">SUM(D33:D34)</f>
        <v>0</v>
      </c>
      <c r="E35" s="190">
        <f t="shared" si="32"/>
        <v>0</v>
      </c>
      <c r="F35" s="190">
        <f t="shared" si="32"/>
        <v>0</v>
      </c>
      <c r="G35" s="190">
        <f t="shared" si="32"/>
        <v>0</v>
      </c>
      <c r="H35" s="190">
        <f t="shared" si="32"/>
        <v>0</v>
      </c>
      <c r="I35" s="190">
        <f t="shared" si="32"/>
        <v>0</v>
      </c>
      <c r="J35" s="633"/>
      <c r="K35" s="224"/>
      <c r="L35" s="305">
        <f t="shared" ref="L35:Q35" si="33">SUM(L33:L34)</f>
        <v>0</v>
      </c>
      <c r="M35" s="305">
        <f t="shared" si="33"/>
        <v>0</v>
      </c>
      <c r="N35" s="305">
        <f t="shared" si="33"/>
        <v>0</v>
      </c>
      <c r="O35" s="305">
        <f t="shared" si="33"/>
        <v>0</v>
      </c>
      <c r="P35" s="305">
        <f t="shared" si="33"/>
        <v>0</v>
      </c>
      <c r="Q35" s="305">
        <f t="shared" si="33"/>
        <v>0</v>
      </c>
      <c r="R35" s="133"/>
      <c r="S35" s="133"/>
      <c r="T35" s="133"/>
      <c r="U35" s="133"/>
      <c r="V35" s="133"/>
      <c r="W35" s="133"/>
      <c r="X35" s="133"/>
      <c r="Y35" s="133"/>
      <c r="Z35" s="133"/>
      <c r="AJ35" s="297"/>
      <c r="AK35" s="297"/>
      <c r="AL35" s="297"/>
      <c r="AM35" s="297"/>
      <c r="AN35" s="297"/>
    </row>
    <row r="36" spans="1:40" x14ac:dyDescent="0.25">
      <c r="A36" s="625"/>
      <c r="B36" s="267"/>
      <c r="C36" s="267"/>
      <c r="D36" s="296" t="s">
        <v>887</v>
      </c>
      <c r="E36" s="190">
        <f>E35-$D$35</f>
        <v>0</v>
      </c>
      <c r="F36" s="190">
        <f>F35-$D$35</f>
        <v>0</v>
      </c>
      <c r="G36" s="190">
        <f>G35-$D$35</f>
        <v>0</v>
      </c>
      <c r="H36" s="190">
        <f>H35-$D$35</f>
        <v>0</v>
      </c>
      <c r="I36" s="190">
        <f>I35-$D$35</f>
        <v>0</v>
      </c>
      <c r="J36" s="633"/>
      <c r="K36" s="224"/>
      <c r="L36" s="224"/>
      <c r="M36" s="305">
        <f>M35-$L35</f>
        <v>0</v>
      </c>
      <c r="N36" s="305">
        <f t="shared" ref="N36:Q36" si="34">N35-$L35</f>
        <v>0</v>
      </c>
      <c r="O36" s="305">
        <f t="shared" si="34"/>
        <v>0</v>
      </c>
      <c r="P36" s="305">
        <f t="shared" si="34"/>
        <v>0</v>
      </c>
      <c r="Q36" s="305">
        <f t="shared" si="34"/>
        <v>0</v>
      </c>
      <c r="R36" s="133"/>
      <c r="S36" s="133"/>
      <c r="T36" s="133"/>
      <c r="U36" s="133"/>
      <c r="V36" s="133"/>
      <c r="W36" s="133"/>
      <c r="X36" s="133"/>
      <c r="Y36" s="133"/>
      <c r="Z36" s="133"/>
      <c r="AJ36" s="297"/>
      <c r="AK36" s="297"/>
      <c r="AL36" s="297"/>
      <c r="AM36" s="297"/>
      <c r="AN36" s="297"/>
    </row>
    <row r="37" spans="1:40" x14ac:dyDescent="0.25">
      <c r="A37" s="299"/>
      <c r="B37" s="626"/>
      <c r="C37" s="627"/>
      <c r="D37" s="628"/>
      <c r="E37" s="629"/>
      <c r="F37" s="299"/>
      <c r="G37" s="299"/>
      <c r="H37" s="299"/>
      <c r="I37" s="322"/>
      <c r="J37" s="224"/>
      <c r="K37" s="224"/>
      <c r="L37" s="224"/>
      <c r="M37" s="224"/>
      <c r="N37" s="224"/>
      <c r="O37" s="224"/>
      <c r="P37" s="224"/>
      <c r="Q37" s="224"/>
      <c r="R37" s="133"/>
      <c r="S37" s="133"/>
      <c r="T37" s="133"/>
      <c r="U37" s="133"/>
      <c r="V37" s="133"/>
      <c r="W37" s="133"/>
      <c r="X37" s="133"/>
      <c r="Y37" s="133"/>
      <c r="Z37" s="133"/>
      <c r="AJ37" s="297"/>
      <c r="AK37" s="297"/>
      <c r="AL37" s="297"/>
      <c r="AM37" s="297"/>
      <c r="AN37" s="297"/>
    </row>
    <row r="38" spans="1:40" x14ac:dyDescent="0.25">
      <c r="A38" s="299"/>
      <c r="B38" s="420" t="s">
        <v>848</v>
      </c>
      <c r="C38" s="421"/>
      <c r="D38" s="421"/>
      <c r="E38" s="421"/>
      <c r="F38" s="421"/>
      <c r="G38" s="421"/>
      <c r="H38" s="421"/>
      <c r="I38" s="223"/>
      <c r="J38" s="224"/>
      <c r="K38" s="224"/>
      <c r="L38" s="224"/>
      <c r="M38" s="224"/>
      <c r="N38" s="224"/>
      <c r="O38" s="224"/>
      <c r="P38" s="224"/>
      <c r="Q38" s="224"/>
      <c r="R38" s="133"/>
      <c r="S38" s="133"/>
      <c r="T38" s="133"/>
      <c r="U38" s="133"/>
      <c r="V38" s="133"/>
      <c r="W38" s="133"/>
      <c r="X38" s="133"/>
      <c r="Y38" s="133"/>
      <c r="Z38" s="133"/>
      <c r="AJ38" s="297"/>
      <c r="AK38" s="297"/>
      <c r="AL38" s="297"/>
      <c r="AM38" s="297"/>
      <c r="AN38" s="297"/>
    </row>
    <row r="39" spans="1:40" ht="45" x14ac:dyDescent="0.25">
      <c r="A39" s="299"/>
      <c r="B39" s="293" t="s">
        <v>799</v>
      </c>
      <c r="C39" s="168" t="s">
        <v>886</v>
      </c>
      <c r="D39" s="449" t="s">
        <v>872</v>
      </c>
      <c r="E39" s="266" t="s">
        <v>694</v>
      </c>
      <c r="F39" s="266" t="s">
        <v>695</v>
      </c>
      <c r="G39" s="167" t="s">
        <v>828</v>
      </c>
      <c r="H39" s="167" t="s">
        <v>829</v>
      </c>
      <c r="I39" s="266" t="s">
        <v>830</v>
      </c>
      <c r="J39" s="224"/>
      <c r="K39" s="624" t="s">
        <v>801</v>
      </c>
      <c r="L39" s="449" t="s">
        <v>872</v>
      </c>
      <c r="M39" s="600" t="s">
        <v>694</v>
      </c>
      <c r="N39" s="600" t="s">
        <v>695</v>
      </c>
      <c r="O39" s="450" t="s">
        <v>828</v>
      </c>
      <c r="P39" s="450" t="s">
        <v>829</v>
      </c>
      <c r="Q39" s="600" t="s">
        <v>830</v>
      </c>
      <c r="R39" s="133"/>
      <c r="S39" s="133"/>
      <c r="T39" s="133"/>
      <c r="U39" s="133"/>
      <c r="V39" s="133"/>
      <c r="W39" s="133"/>
      <c r="X39" s="133"/>
      <c r="Y39" s="133"/>
      <c r="Z39" s="133"/>
      <c r="AJ39" s="297"/>
      <c r="AK39" s="297"/>
      <c r="AL39" s="297"/>
      <c r="AM39" s="297"/>
      <c r="AN39" s="297"/>
    </row>
    <row r="40" spans="1:40" x14ac:dyDescent="0.25">
      <c r="A40" s="299"/>
      <c r="B40" s="367" t="s">
        <v>721</v>
      </c>
      <c r="C40" s="149">
        <f>'Inputs and eligible population'!F75</f>
        <v>0</v>
      </c>
      <c r="D40" s="128">
        <f>'Financial impact (cash)'!D13*$C$40*'Inputs and eligible population'!$F$76/60</f>
        <v>0</v>
      </c>
      <c r="E40" s="128">
        <f>'Financial impact (cash)'!E13*$C$40*'Inputs and eligible population'!$F$76/60</f>
        <v>0</v>
      </c>
      <c r="F40" s="128">
        <f>'Financial impact (cash)'!F13*$C$40*'Inputs and eligible population'!$F$76/60</f>
        <v>0</v>
      </c>
      <c r="G40" s="128">
        <f>'Financial impact (cash)'!G13*$C$40*'Inputs and eligible population'!$F$76/60</f>
        <v>0</v>
      </c>
      <c r="H40" s="128">
        <f>'Financial impact (cash)'!H13*$C$40*'Inputs and eligible population'!$F$76/60</f>
        <v>0</v>
      </c>
      <c r="I40" s="128">
        <f>'Financial impact (cash)'!I13*$C$40*'Inputs and eligible population'!$F$76/60</f>
        <v>0</v>
      </c>
      <c r="J40" s="224"/>
      <c r="K40" s="636">
        <f>'Inputs and eligible population'!K76</f>
        <v>103.07</v>
      </c>
      <c r="L40" s="638">
        <f>$K40/1000*D40</f>
        <v>0</v>
      </c>
      <c r="M40" s="638">
        <f t="shared" ref="M40:M41" si="35">$K40/1000*E40</f>
        <v>0</v>
      </c>
      <c r="N40" s="638">
        <f t="shared" ref="N40:N41" si="36">$K40/1000*F40</f>
        <v>0</v>
      </c>
      <c r="O40" s="638">
        <f t="shared" ref="O40:O41" si="37">$K40/1000*G40</f>
        <v>0</v>
      </c>
      <c r="P40" s="638">
        <f t="shared" ref="P40:P41" si="38">$K40/1000*H40</f>
        <v>0</v>
      </c>
      <c r="Q40" s="638">
        <f t="shared" ref="Q40:Q41" si="39">$K40/1000*I40</f>
        <v>0</v>
      </c>
      <c r="R40" s="133"/>
      <c r="S40" s="133"/>
      <c r="T40" s="133"/>
      <c r="U40" s="133"/>
      <c r="V40" s="133"/>
      <c r="W40" s="133"/>
      <c r="X40" s="133"/>
      <c r="Y40" s="133"/>
      <c r="Z40" s="133"/>
      <c r="AJ40" s="297"/>
      <c r="AK40" s="297"/>
      <c r="AL40" s="297"/>
      <c r="AM40" s="297"/>
      <c r="AN40" s="297"/>
    </row>
    <row r="41" spans="1:40" x14ac:dyDescent="0.25">
      <c r="A41" s="299"/>
      <c r="B41" s="367" t="s">
        <v>723</v>
      </c>
      <c r="C41" s="149">
        <f>'Inputs and eligible population'!G75</f>
        <v>0</v>
      </c>
      <c r="D41" s="128">
        <f>'Financial impact (cash)'!D15*$C$41*'Inputs and eligible population'!$G$76/60</f>
        <v>0</v>
      </c>
      <c r="E41" s="128">
        <f>'Financial impact (cash)'!E15*$C$41*'Inputs and eligible population'!$G$76/60</f>
        <v>0</v>
      </c>
      <c r="F41" s="128">
        <f>'Financial impact (cash)'!F15*$C$41*'Inputs and eligible population'!$G$76/60</f>
        <v>0</v>
      </c>
      <c r="G41" s="128">
        <f>'Financial impact (cash)'!G15*$C$41*'Inputs and eligible population'!$G$76/60</f>
        <v>0</v>
      </c>
      <c r="H41" s="128">
        <f>'Financial impact (cash)'!H15*$C$41*'Inputs and eligible population'!$G$76/60</f>
        <v>0</v>
      </c>
      <c r="I41" s="128">
        <f>'Financial impact (cash)'!I15*$C$41*'Inputs and eligible population'!$G$76/60</f>
        <v>0</v>
      </c>
      <c r="J41" s="224"/>
      <c r="K41" s="636">
        <f>'Inputs and eligible population'!K76</f>
        <v>103.07</v>
      </c>
      <c r="L41" s="638">
        <f t="shared" ref="L41" si="40">$K41/1000*D41</f>
        <v>0</v>
      </c>
      <c r="M41" s="638">
        <f t="shared" si="35"/>
        <v>0</v>
      </c>
      <c r="N41" s="638">
        <f t="shared" si="36"/>
        <v>0</v>
      </c>
      <c r="O41" s="638">
        <f t="shared" si="37"/>
        <v>0</v>
      </c>
      <c r="P41" s="638">
        <f t="shared" si="38"/>
        <v>0</v>
      </c>
      <c r="Q41" s="638">
        <f t="shared" si="39"/>
        <v>0</v>
      </c>
      <c r="R41" s="133"/>
      <c r="S41" s="133"/>
      <c r="T41" s="133"/>
      <c r="U41" s="133"/>
      <c r="V41" s="133"/>
      <c r="W41" s="133"/>
      <c r="X41" s="133"/>
      <c r="Y41" s="133"/>
      <c r="Z41" s="133"/>
      <c r="AJ41" s="297"/>
      <c r="AK41" s="297"/>
      <c r="AL41" s="297"/>
      <c r="AM41" s="297"/>
      <c r="AN41" s="297"/>
    </row>
    <row r="42" spans="1:40" x14ac:dyDescent="0.25">
      <c r="A42" s="625"/>
      <c r="B42" s="580"/>
      <c r="C42" s="294"/>
      <c r="D42" s="190">
        <f t="shared" ref="D42:I42" si="41">SUM(D40:D41)</f>
        <v>0</v>
      </c>
      <c r="E42" s="190">
        <f t="shared" si="41"/>
        <v>0</v>
      </c>
      <c r="F42" s="190">
        <f t="shared" si="41"/>
        <v>0</v>
      </c>
      <c r="G42" s="190">
        <f t="shared" si="41"/>
        <v>0</v>
      </c>
      <c r="H42" s="190">
        <f t="shared" si="41"/>
        <v>0</v>
      </c>
      <c r="I42" s="190">
        <f t="shared" si="41"/>
        <v>0</v>
      </c>
      <c r="J42" s="633"/>
      <c r="K42" s="224"/>
      <c r="L42" s="305">
        <f t="shared" ref="L42:Q42" si="42">SUM(L40:L41)</f>
        <v>0</v>
      </c>
      <c r="M42" s="305">
        <f t="shared" si="42"/>
        <v>0</v>
      </c>
      <c r="N42" s="305">
        <f t="shared" si="42"/>
        <v>0</v>
      </c>
      <c r="O42" s="305">
        <f t="shared" si="42"/>
        <v>0</v>
      </c>
      <c r="P42" s="305">
        <f t="shared" si="42"/>
        <v>0</v>
      </c>
      <c r="Q42" s="305">
        <f t="shared" si="42"/>
        <v>0</v>
      </c>
      <c r="R42" s="133"/>
      <c r="S42" s="133"/>
      <c r="T42" s="133"/>
      <c r="U42" s="133"/>
      <c r="V42" s="133"/>
      <c r="W42" s="133"/>
      <c r="X42" s="133"/>
      <c r="Y42" s="133"/>
      <c r="Z42" s="133"/>
      <c r="AJ42" s="297"/>
      <c r="AK42" s="297"/>
      <c r="AL42" s="297"/>
      <c r="AM42" s="297"/>
      <c r="AN42" s="297"/>
    </row>
    <row r="43" spans="1:40" x14ac:dyDescent="0.25">
      <c r="A43" s="625"/>
      <c r="B43" s="267"/>
      <c r="C43" s="267"/>
      <c r="D43" s="296" t="s">
        <v>887</v>
      </c>
      <c r="E43" s="190">
        <f>E42-$D$42</f>
        <v>0</v>
      </c>
      <c r="F43" s="190">
        <f t="shared" ref="F43:I43" si="43">F42-$D$42</f>
        <v>0</v>
      </c>
      <c r="G43" s="190">
        <f t="shared" si="43"/>
        <v>0</v>
      </c>
      <c r="H43" s="190">
        <f t="shared" si="43"/>
        <v>0</v>
      </c>
      <c r="I43" s="190">
        <f t="shared" si="43"/>
        <v>0</v>
      </c>
      <c r="J43" s="633"/>
      <c r="K43" s="224"/>
      <c r="L43" s="224"/>
      <c r="M43" s="305">
        <f>M42-$L42</f>
        <v>0</v>
      </c>
      <c r="N43" s="305">
        <f t="shared" ref="N43:Q43" si="44">N42-$L42</f>
        <v>0</v>
      </c>
      <c r="O43" s="305">
        <f t="shared" si="44"/>
        <v>0</v>
      </c>
      <c r="P43" s="305">
        <f t="shared" si="44"/>
        <v>0</v>
      </c>
      <c r="Q43" s="305">
        <f t="shared" si="44"/>
        <v>0</v>
      </c>
      <c r="R43" s="133"/>
      <c r="S43" s="133"/>
      <c r="T43" s="133"/>
      <c r="U43" s="133"/>
      <c r="V43" s="133"/>
      <c r="W43" s="133"/>
      <c r="X43" s="133"/>
      <c r="Y43" s="133"/>
      <c r="Z43" s="133"/>
      <c r="AJ43" s="297"/>
      <c r="AK43" s="297"/>
      <c r="AL43" s="297"/>
      <c r="AM43" s="297"/>
      <c r="AN43" s="297"/>
    </row>
    <row r="44" spans="1:40" x14ac:dyDescent="0.25">
      <c r="A44" s="299"/>
      <c r="B44" s="626"/>
      <c r="C44" s="627"/>
      <c r="D44" s="628"/>
      <c r="E44" s="629"/>
      <c r="F44" s="299"/>
      <c r="G44" s="299"/>
      <c r="H44" s="299"/>
      <c r="I44" s="299"/>
      <c r="J44" s="224"/>
      <c r="K44" s="224"/>
      <c r="L44" s="224"/>
      <c r="M44" s="224"/>
      <c r="N44" s="224"/>
      <c r="O44" s="224"/>
      <c r="P44" s="224"/>
      <c r="Q44" s="224"/>
      <c r="R44" s="133"/>
      <c r="S44" s="133"/>
      <c r="T44" s="133"/>
      <c r="U44" s="133"/>
      <c r="V44" s="133"/>
      <c r="W44" s="133"/>
      <c r="X44" s="133"/>
      <c r="Y44" s="133"/>
      <c r="Z44" s="133"/>
      <c r="AJ44" s="297"/>
      <c r="AK44" s="297"/>
      <c r="AL44" s="297"/>
      <c r="AM44" s="297"/>
      <c r="AN44" s="297"/>
    </row>
    <row r="45" spans="1:40" x14ac:dyDescent="0.25">
      <c r="A45" s="308"/>
      <c r="B45" s="337" t="s">
        <v>888</v>
      </c>
      <c r="C45" s="309"/>
      <c r="D45" s="309"/>
      <c r="E45" s="310"/>
      <c r="F45" s="311"/>
      <c r="G45" s="312"/>
      <c r="H45" s="312"/>
      <c r="I45" s="460"/>
      <c r="J45" s="461"/>
      <c r="K45" s="308"/>
      <c r="L45" s="308"/>
      <c r="M45" s="308"/>
      <c r="N45" s="308"/>
      <c r="O45" s="308"/>
      <c r="P45" s="308"/>
      <c r="Q45" s="220"/>
      <c r="R45" s="133"/>
      <c r="S45" s="133"/>
      <c r="V45" s="133"/>
    </row>
    <row r="46" spans="1:40" x14ac:dyDescent="0.25">
      <c r="A46" s="316"/>
      <c r="B46" s="413" t="s">
        <v>889</v>
      </c>
      <c r="C46" s="414"/>
      <c r="D46" s="414"/>
      <c r="E46" s="414"/>
      <c r="F46" s="414"/>
      <c r="G46" s="414"/>
      <c r="H46" s="414"/>
      <c r="I46" s="414"/>
      <c r="J46" s="455"/>
      <c r="K46" s="220"/>
      <c r="L46" s="220"/>
      <c r="M46" s="220"/>
      <c r="N46" s="220"/>
      <c r="O46" s="220"/>
      <c r="P46" s="220"/>
      <c r="Q46" s="220"/>
      <c r="R46" s="133"/>
      <c r="S46" s="133"/>
      <c r="T46" s="133"/>
      <c r="U46" s="133"/>
      <c r="V46" s="133"/>
      <c r="W46" s="133"/>
      <c r="X46" s="133"/>
      <c r="Y46" s="133"/>
      <c r="Z46" s="133"/>
      <c r="AJ46" s="297"/>
      <c r="AK46" s="297"/>
      <c r="AL46" s="297"/>
      <c r="AM46" s="297"/>
      <c r="AN46" s="297"/>
    </row>
    <row r="47" spans="1:40" ht="45" x14ac:dyDescent="0.25">
      <c r="A47" s="316"/>
      <c r="B47" s="335" t="s">
        <v>799</v>
      </c>
      <c r="C47" s="582"/>
      <c r="D47" s="449" t="s">
        <v>872</v>
      </c>
      <c r="E47" s="266" t="s">
        <v>694</v>
      </c>
      <c r="F47" s="266" t="s">
        <v>695</v>
      </c>
      <c r="G47" s="167" t="s">
        <v>828</v>
      </c>
      <c r="H47" s="167" t="s">
        <v>829</v>
      </c>
      <c r="I47" s="266" t="s">
        <v>830</v>
      </c>
      <c r="J47" s="455"/>
      <c r="K47" s="220"/>
      <c r="L47" s="220"/>
      <c r="M47" s="220"/>
      <c r="N47" s="220"/>
      <c r="O47" s="220"/>
      <c r="P47" s="220"/>
      <c r="Q47" s="220"/>
      <c r="R47" s="133"/>
      <c r="S47" s="133"/>
      <c r="T47" s="133"/>
      <c r="U47" s="133"/>
      <c r="V47" s="133"/>
      <c r="W47" s="133"/>
      <c r="X47" s="133"/>
      <c r="Y47" s="133"/>
      <c r="Z47" s="133"/>
      <c r="AJ47" s="297"/>
      <c r="AK47" s="297"/>
      <c r="AL47" s="297"/>
      <c r="AM47" s="297"/>
      <c r="AN47" s="297"/>
    </row>
    <row r="48" spans="1:40" x14ac:dyDescent="0.25">
      <c r="A48" s="316"/>
      <c r="B48" s="581" t="s">
        <v>12</v>
      </c>
      <c r="C48" s="565"/>
      <c r="D48" s="128">
        <f>D61</f>
        <v>0</v>
      </c>
      <c r="E48" s="128">
        <f t="shared" ref="E48:I48" si="45">E61</f>
        <v>0</v>
      </c>
      <c r="F48" s="128">
        <f t="shared" si="45"/>
        <v>0</v>
      </c>
      <c r="G48" s="128">
        <f t="shared" si="45"/>
        <v>0</v>
      </c>
      <c r="H48" s="128">
        <f t="shared" si="45"/>
        <v>0</v>
      </c>
      <c r="I48" s="128">
        <f t="shared" si="45"/>
        <v>0</v>
      </c>
      <c r="J48" s="455"/>
      <c r="K48" s="220"/>
      <c r="L48" s="220"/>
      <c r="M48" s="220"/>
      <c r="N48" s="220"/>
      <c r="O48" s="220"/>
      <c r="P48" s="220"/>
      <c r="Q48" s="220"/>
      <c r="R48" s="133"/>
      <c r="S48" s="133"/>
      <c r="T48" s="133"/>
      <c r="U48" s="133"/>
      <c r="V48" s="133"/>
      <c r="W48" s="133"/>
      <c r="X48" s="133"/>
      <c r="Y48" s="133"/>
      <c r="Z48" s="133"/>
      <c r="AJ48" s="297"/>
      <c r="AK48" s="297"/>
      <c r="AL48" s="297"/>
      <c r="AM48" s="297"/>
      <c r="AN48" s="297"/>
    </row>
    <row r="49" spans="1:40" x14ac:dyDescent="0.25">
      <c r="A49" s="316"/>
      <c r="B49" s="580"/>
      <c r="C49" s="339"/>
      <c r="D49" s="190">
        <f t="shared" ref="D49" si="46">SUM(D48:D48)</f>
        <v>0</v>
      </c>
      <c r="E49" s="190">
        <f>SUM(E48:E48)</f>
        <v>0</v>
      </c>
      <c r="F49" s="190">
        <f>SUM(F48:F48)</f>
        <v>0</v>
      </c>
      <c r="G49" s="190">
        <f>SUM(G48:G48)</f>
        <v>0</v>
      </c>
      <c r="H49" s="190">
        <f>SUM(H48:H48)</f>
        <v>0</v>
      </c>
      <c r="I49" s="190">
        <f>SUM(I48:I48)</f>
        <v>0</v>
      </c>
      <c r="J49" s="455"/>
      <c r="K49" s="220"/>
      <c r="L49" s="220"/>
      <c r="M49" s="220"/>
      <c r="N49" s="220"/>
      <c r="O49" s="220"/>
      <c r="P49" s="220"/>
      <c r="Q49" s="220"/>
      <c r="R49" s="133"/>
      <c r="S49" s="133"/>
      <c r="T49" s="133"/>
      <c r="U49" s="133"/>
      <c r="V49" s="133"/>
      <c r="W49" s="133"/>
      <c r="X49" s="133"/>
      <c r="Y49" s="133"/>
      <c r="Z49" s="133"/>
      <c r="AJ49" s="297"/>
      <c r="AK49" s="297"/>
      <c r="AL49" s="297"/>
      <c r="AM49" s="297"/>
      <c r="AN49" s="297"/>
    </row>
    <row r="50" spans="1:40" x14ac:dyDescent="0.25">
      <c r="A50" s="316"/>
      <c r="B50" s="267"/>
      <c r="C50" s="267"/>
      <c r="D50" s="296" t="s">
        <v>890</v>
      </c>
      <c r="E50" s="190">
        <f>E49-$D$49</f>
        <v>0</v>
      </c>
      <c r="F50" s="190">
        <f>F49-$D$49</f>
        <v>0</v>
      </c>
      <c r="G50" s="190">
        <f>G49-$D$49</f>
        <v>0</v>
      </c>
      <c r="H50" s="190">
        <f>H49-$D$49</f>
        <v>0</v>
      </c>
      <c r="I50" s="190">
        <f>I49-$D$49</f>
        <v>0</v>
      </c>
      <c r="J50" s="455"/>
      <c r="K50" s="220"/>
      <c r="L50" s="220"/>
      <c r="M50" s="220"/>
      <c r="N50" s="220"/>
      <c r="O50" s="220"/>
      <c r="P50" s="220"/>
      <c r="Q50" s="220"/>
      <c r="R50" s="133"/>
      <c r="S50" s="133"/>
      <c r="T50" s="133"/>
      <c r="U50" s="133"/>
      <c r="V50" s="133"/>
      <c r="W50" s="133"/>
      <c r="X50" s="133"/>
      <c r="Y50" s="133"/>
      <c r="Z50" s="133"/>
      <c r="AJ50" s="297"/>
      <c r="AK50" s="297"/>
      <c r="AL50" s="297"/>
      <c r="AM50" s="297"/>
      <c r="AN50" s="297"/>
    </row>
    <row r="51" spans="1:40" x14ac:dyDescent="0.25">
      <c r="A51" s="308"/>
      <c r="B51" s="338"/>
      <c r="C51" s="314"/>
      <c r="D51" s="313"/>
      <c r="E51" s="314"/>
      <c r="F51" s="315"/>
      <c r="G51" s="308"/>
      <c r="H51" s="308"/>
      <c r="I51" s="312"/>
      <c r="J51" s="220"/>
      <c r="K51" s="220"/>
      <c r="L51" s="220"/>
      <c r="M51" s="220"/>
      <c r="N51" s="220"/>
      <c r="O51" s="220"/>
      <c r="P51" s="220"/>
      <c r="Q51" s="220"/>
      <c r="R51" s="133"/>
      <c r="S51" s="133"/>
      <c r="T51" s="133"/>
      <c r="U51" s="133"/>
      <c r="V51" s="133"/>
      <c r="W51" s="133"/>
      <c r="X51" s="133"/>
      <c r="Y51" s="133"/>
      <c r="Z51" s="133"/>
      <c r="AJ51" s="297"/>
      <c r="AK51" s="297"/>
      <c r="AL51" s="297"/>
      <c r="AM51" s="297"/>
      <c r="AN51" s="297"/>
    </row>
    <row r="52" spans="1:40" hidden="1" x14ac:dyDescent="0.25">
      <c r="A52" s="316"/>
      <c r="B52" s="413" t="s">
        <v>891</v>
      </c>
      <c r="C52" s="414"/>
      <c r="D52" s="414"/>
      <c r="E52" s="414"/>
      <c r="F52" s="414"/>
      <c r="G52" s="414"/>
      <c r="H52" s="414"/>
      <c r="I52" s="414"/>
      <c r="J52" s="455"/>
      <c r="K52" s="220"/>
      <c r="L52" s="220"/>
      <c r="M52" s="220"/>
      <c r="N52" s="220"/>
      <c r="O52" s="220"/>
      <c r="P52" s="220"/>
      <c r="Q52" s="220"/>
      <c r="R52" s="133"/>
      <c r="S52" s="133"/>
      <c r="T52" s="133"/>
      <c r="U52" s="133"/>
      <c r="V52" s="133"/>
      <c r="W52" s="133"/>
      <c r="X52" s="133"/>
      <c r="Y52" s="133"/>
      <c r="Z52" s="133"/>
      <c r="AJ52" s="297"/>
      <c r="AK52" s="297"/>
      <c r="AL52" s="297"/>
      <c r="AM52" s="297"/>
      <c r="AN52" s="297"/>
    </row>
    <row r="53" spans="1:40" ht="45" hidden="1" x14ac:dyDescent="0.25">
      <c r="A53" s="316"/>
      <c r="B53" s="335" t="s">
        <v>799</v>
      </c>
      <c r="C53" s="582"/>
      <c r="D53" s="449" t="s">
        <v>872</v>
      </c>
      <c r="E53" s="266" t="s">
        <v>694</v>
      </c>
      <c r="F53" s="266" t="s">
        <v>695</v>
      </c>
      <c r="G53" s="167" t="s">
        <v>828</v>
      </c>
      <c r="H53" s="167" t="s">
        <v>829</v>
      </c>
      <c r="I53" s="266" t="s">
        <v>830</v>
      </c>
      <c r="J53" s="455"/>
      <c r="K53" s="220"/>
      <c r="L53" s="220"/>
      <c r="M53" s="220"/>
      <c r="N53" s="220"/>
      <c r="O53" s="220"/>
      <c r="P53" s="220"/>
      <c r="Q53" s="220"/>
      <c r="R53" s="133"/>
      <c r="S53" s="133"/>
      <c r="T53" s="133"/>
      <c r="U53" s="133"/>
      <c r="V53" s="133"/>
      <c r="W53" s="133"/>
      <c r="X53" s="133"/>
      <c r="Y53" s="133"/>
      <c r="Z53" s="133"/>
      <c r="AJ53" s="297"/>
      <c r="AK53" s="297"/>
      <c r="AL53" s="297"/>
      <c r="AM53" s="297"/>
      <c r="AN53" s="297"/>
    </row>
    <row r="54" spans="1:40" hidden="1" x14ac:dyDescent="0.25">
      <c r="A54" s="316"/>
      <c r="B54" s="581"/>
      <c r="C54" s="565"/>
      <c r="D54" s="128" t="e">
        <f>D61+#REF!+#REF!</f>
        <v>#REF!</v>
      </c>
      <c r="E54" s="128" t="e">
        <f>E61+#REF!+#REF!</f>
        <v>#REF!</v>
      </c>
      <c r="F54" s="128" t="e">
        <f>F61+#REF!+#REF!</f>
        <v>#REF!</v>
      </c>
      <c r="G54" s="128" t="e">
        <f>G61+#REF!+#REF!</f>
        <v>#REF!</v>
      </c>
      <c r="H54" s="128" t="e">
        <f>H61+#REF!+#REF!</f>
        <v>#REF!</v>
      </c>
      <c r="I54" s="128" t="e">
        <f>I61+#REF!+#REF!</f>
        <v>#REF!</v>
      </c>
      <c r="J54" s="455"/>
      <c r="K54" s="220"/>
      <c r="L54" s="220"/>
      <c r="M54" s="220"/>
      <c r="N54" s="220"/>
      <c r="O54" s="220"/>
      <c r="P54" s="220"/>
      <c r="Q54" s="220"/>
      <c r="R54" s="133"/>
      <c r="S54" s="133"/>
      <c r="T54" s="133"/>
      <c r="U54" s="133"/>
      <c r="V54" s="133"/>
      <c r="W54" s="133"/>
      <c r="X54" s="133"/>
      <c r="Y54" s="133"/>
      <c r="Z54" s="133"/>
      <c r="AJ54" s="297"/>
      <c r="AK54" s="297"/>
      <c r="AL54" s="297"/>
      <c r="AM54" s="297"/>
      <c r="AN54" s="297"/>
    </row>
    <row r="55" spans="1:40" hidden="1" x14ac:dyDescent="0.25">
      <c r="A55" s="316"/>
      <c r="B55" s="581"/>
      <c r="C55" s="565"/>
      <c r="D55" s="128" t="e">
        <f>#REF!</f>
        <v>#REF!</v>
      </c>
      <c r="E55" s="128" t="e">
        <f>#REF!</f>
        <v>#REF!</v>
      </c>
      <c r="F55" s="128" t="e">
        <f>#REF!</f>
        <v>#REF!</v>
      </c>
      <c r="G55" s="128" t="e">
        <f>#REF!</f>
        <v>#REF!</v>
      </c>
      <c r="H55" s="128" t="e">
        <f>#REF!</f>
        <v>#REF!</v>
      </c>
      <c r="I55" s="128" t="e">
        <f>#REF!</f>
        <v>#REF!</v>
      </c>
      <c r="J55" s="455"/>
      <c r="K55" s="220"/>
      <c r="L55" s="220"/>
      <c r="M55" s="220"/>
      <c r="N55" s="220"/>
      <c r="O55" s="220"/>
      <c r="P55" s="220"/>
      <c r="Q55" s="220"/>
      <c r="R55" s="133"/>
      <c r="S55" s="133"/>
      <c r="T55" s="133"/>
      <c r="U55" s="133"/>
      <c r="V55" s="133"/>
      <c r="W55" s="133"/>
      <c r="X55" s="133"/>
      <c r="Y55" s="133"/>
      <c r="Z55" s="133"/>
      <c r="AJ55" s="297"/>
      <c r="AK55" s="297"/>
      <c r="AL55" s="297"/>
      <c r="AM55" s="297"/>
      <c r="AN55" s="297"/>
    </row>
    <row r="56" spans="1:40" hidden="1" x14ac:dyDescent="0.25">
      <c r="A56" s="316"/>
      <c r="B56" s="580"/>
      <c r="C56" s="339"/>
      <c r="D56" s="190" t="e">
        <f>SUM(D54:D55)</f>
        <v>#REF!</v>
      </c>
      <c r="E56" s="190" t="e">
        <f t="shared" ref="E56:I56" si="47">SUM(E54:E55)</f>
        <v>#REF!</v>
      </c>
      <c r="F56" s="190" t="e">
        <f t="shared" si="47"/>
        <v>#REF!</v>
      </c>
      <c r="G56" s="190" t="e">
        <f t="shared" si="47"/>
        <v>#REF!</v>
      </c>
      <c r="H56" s="190" t="e">
        <f t="shared" si="47"/>
        <v>#REF!</v>
      </c>
      <c r="I56" s="190" t="e">
        <f t="shared" si="47"/>
        <v>#REF!</v>
      </c>
      <c r="J56" s="455"/>
      <c r="K56" s="220"/>
      <c r="L56" s="220"/>
      <c r="M56" s="220"/>
      <c r="N56" s="220"/>
      <c r="O56" s="220"/>
      <c r="P56" s="220"/>
      <c r="Q56" s="220"/>
      <c r="R56" s="133"/>
      <c r="S56" s="133"/>
      <c r="T56" s="133"/>
      <c r="U56" s="133"/>
      <c r="V56" s="133"/>
      <c r="W56" s="133"/>
      <c r="X56" s="133"/>
      <c r="Y56" s="133"/>
      <c r="Z56" s="133"/>
      <c r="AJ56" s="297"/>
      <c r="AK56" s="297"/>
      <c r="AL56" s="297"/>
      <c r="AM56" s="297"/>
      <c r="AN56" s="297"/>
    </row>
    <row r="57" spans="1:40" hidden="1" x14ac:dyDescent="0.25">
      <c r="A57" s="316"/>
      <c r="B57" s="267"/>
      <c r="C57" s="267"/>
      <c r="D57" s="296" t="s">
        <v>892</v>
      </c>
      <c r="E57" s="190" t="e">
        <f>E56-D56</f>
        <v>#REF!</v>
      </c>
      <c r="F57" s="190" t="e">
        <f>F56-$D$56</f>
        <v>#REF!</v>
      </c>
      <c r="G57" s="190" t="e">
        <f t="shared" ref="G57:I57" si="48">G56-$D$56</f>
        <v>#REF!</v>
      </c>
      <c r="H57" s="190" t="e">
        <f t="shared" si="48"/>
        <v>#REF!</v>
      </c>
      <c r="I57" s="190" t="e">
        <f t="shared" si="48"/>
        <v>#REF!</v>
      </c>
      <c r="J57" s="455"/>
      <c r="K57" s="220"/>
      <c r="L57" s="220"/>
      <c r="M57" s="220"/>
      <c r="N57" s="220"/>
      <c r="O57" s="220"/>
      <c r="P57" s="220"/>
      <c r="Q57" s="220"/>
      <c r="R57" s="133"/>
      <c r="S57" s="133"/>
      <c r="T57" s="133"/>
      <c r="U57" s="133"/>
      <c r="V57" s="133"/>
      <c r="W57" s="133"/>
      <c r="X57" s="133"/>
      <c r="Y57" s="133"/>
      <c r="Z57" s="133"/>
      <c r="AJ57" s="297"/>
      <c r="AK57" s="297"/>
      <c r="AL57" s="297"/>
      <c r="AM57" s="297"/>
      <c r="AN57" s="297"/>
    </row>
    <row r="58" spans="1:40" hidden="1" x14ac:dyDescent="0.25">
      <c r="A58" s="308"/>
      <c r="B58" s="338"/>
      <c r="C58" s="314"/>
      <c r="D58" s="313"/>
      <c r="E58" s="314"/>
      <c r="F58" s="315"/>
      <c r="G58" s="308"/>
      <c r="H58" s="308"/>
      <c r="I58" s="312"/>
      <c r="J58" s="220"/>
      <c r="K58" s="220"/>
      <c r="L58" s="220"/>
      <c r="M58" s="220"/>
      <c r="N58" s="220"/>
      <c r="O58" s="220"/>
      <c r="P58" s="220"/>
      <c r="Q58" s="220"/>
      <c r="R58" s="133"/>
      <c r="S58" s="133"/>
      <c r="T58" s="133"/>
      <c r="U58" s="133"/>
      <c r="V58" s="133"/>
      <c r="W58" s="133"/>
      <c r="X58" s="133"/>
      <c r="Y58" s="133"/>
      <c r="Z58" s="133"/>
      <c r="AJ58" s="297"/>
      <c r="AK58" s="297"/>
      <c r="AL58" s="297"/>
      <c r="AM58" s="297"/>
      <c r="AN58" s="297"/>
    </row>
    <row r="59" spans="1:40" x14ac:dyDescent="0.25">
      <c r="A59" s="316"/>
      <c r="B59" s="413" t="s">
        <v>893</v>
      </c>
      <c r="C59" s="414"/>
      <c r="D59" s="414"/>
      <c r="E59" s="414"/>
      <c r="F59" s="414"/>
      <c r="G59" s="414"/>
      <c r="H59" s="414"/>
      <c r="I59" s="414"/>
      <c r="J59" s="455"/>
      <c r="K59" s="220"/>
      <c r="L59" s="220"/>
      <c r="M59" s="220"/>
      <c r="N59" s="220"/>
      <c r="O59" s="220"/>
      <c r="P59" s="220"/>
      <c r="Q59" s="220"/>
      <c r="R59" s="133"/>
      <c r="S59" s="133"/>
      <c r="T59" s="133"/>
      <c r="U59" s="133"/>
      <c r="V59" s="133"/>
      <c r="W59" s="133"/>
      <c r="X59" s="133"/>
      <c r="Y59" s="133"/>
      <c r="Z59" s="133"/>
      <c r="AJ59" s="297"/>
      <c r="AK59" s="297"/>
      <c r="AL59" s="297"/>
      <c r="AM59" s="297"/>
      <c r="AN59" s="297"/>
    </row>
    <row r="60" spans="1:40" ht="45" x14ac:dyDescent="0.25">
      <c r="A60" s="316"/>
      <c r="B60" s="335" t="s">
        <v>799</v>
      </c>
      <c r="C60" s="168" t="s">
        <v>800</v>
      </c>
      <c r="D60" s="449" t="s">
        <v>872</v>
      </c>
      <c r="E60" s="266" t="s">
        <v>694</v>
      </c>
      <c r="F60" s="266" t="s">
        <v>695</v>
      </c>
      <c r="G60" s="167" t="s">
        <v>828</v>
      </c>
      <c r="H60" s="167" t="s">
        <v>829</v>
      </c>
      <c r="I60" s="266" t="s">
        <v>830</v>
      </c>
      <c r="J60" s="455"/>
      <c r="K60" s="220"/>
      <c r="L60" s="220"/>
      <c r="M60" s="220"/>
      <c r="N60" s="220"/>
      <c r="O60" s="220"/>
      <c r="P60" s="220"/>
      <c r="Q60" s="220"/>
      <c r="V60" s="133"/>
      <c r="AJ60" s="297"/>
      <c r="AK60" s="297"/>
      <c r="AL60" s="297"/>
      <c r="AM60" s="297"/>
      <c r="AN60" s="297"/>
    </row>
    <row r="61" spans="1:40" x14ac:dyDescent="0.25">
      <c r="A61" s="316"/>
      <c r="B61" s="367" t="s">
        <v>721</v>
      </c>
      <c r="C61" s="307">
        <f>'Inputs and eligible population'!D50</f>
        <v>0</v>
      </c>
      <c r="D61" s="128">
        <f>'Inputs and eligible population'!L60*'Capacity (local prices)'!$C61</f>
        <v>0</v>
      </c>
      <c r="E61" s="128">
        <f>'Inputs and eligible population'!M60*'Capacity (local prices)'!$C61</f>
        <v>0</v>
      </c>
      <c r="F61" s="128">
        <f>'Inputs and eligible population'!N60*'Capacity (local prices)'!$C61</f>
        <v>0</v>
      </c>
      <c r="G61" s="128">
        <f>'Inputs and eligible population'!O60*'Capacity (local prices)'!$C61</f>
        <v>0</v>
      </c>
      <c r="H61" s="128">
        <f>'Inputs and eligible population'!P60*'Capacity (local prices)'!$C61</f>
        <v>0</v>
      </c>
      <c r="I61" s="128">
        <f>'Inputs and eligible population'!Q60*'Capacity (local prices)'!$C61</f>
        <v>0</v>
      </c>
      <c r="J61" s="455"/>
      <c r="K61" s="220"/>
      <c r="L61" s="220"/>
      <c r="M61" s="220"/>
      <c r="N61" s="220"/>
      <c r="O61" s="220"/>
      <c r="P61" s="220"/>
      <c r="Q61" s="220"/>
      <c r="V61" s="133"/>
      <c r="AJ61" s="297"/>
      <c r="AK61" s="297"/>
      <c r="AL61" s="297"/>
      <c r="AM61" s="297"/>
      <c r="AN61" s="297"/>
    </row>
    <row r="62" spans="1:40" x14ac:dyDescent="0.25">
      <c r="A62" s="316"/>
      <c r="B62" s="339"/>
      <c r="C62" s="339"/>
      <c r="D62" s="190">
        <f t="shared" ref="D62:I62" si="49">SUM(D61:D61)</f>
        <v>0</v>
      </c>
      <c r="E62" s="190">
        <f t="shared" si="49"/>
        <v>0</v>
      </c>
      <c r="F62" s="190">
        <f t="shared" si="49"/>
        <v>0</v>
      </c>
      <c r="G62" s="190">
        <f t="shared" si="49"/>
        <v>0</v>
      </c>
      <c r="H62" s="190">
        <f t="shared" si="49"/>
        <v>0</v>
      </c>
      <c r="I62" s="190">
        <f t="shared" si="49"/>
        <v>0</v>
      </c>
      <c r="J62" s="308"/>
      <c r="K62" s="308"/>
      <c r="L62" s="308"/>
      <c r="M62" s="308"/>
      <c r="N62" s="308"/>
      <c r="O62" s="308"/>
      <c r="P62" s="308"/>
      <c r="Q62" s="308"/>
      <c r="V62" s="133"/>
      <c r="AJ62" s="297"/>
      <c r="AK62" s="297"/>
      <c r="AL62" s="297"/>
      <c r="AM62" s="297"/>
      <c r="AN62" s="297"/>
    </row>
    <row r="63" spans="1:40" x14ac:dyDescent="0.25">
      <c r="A63" s="316"/>
      <c r="B63" s="267"/>
      <c r="C63" s="267"/>
      <c r="D63" s="296" t="s">
        <v>894</v>
      </c>
      <c r="E63" s="190">
        <f>E62-$D$62</f>
        <v>0</v>
      </c>
      <c r="F63" s="190">
        <f>F62-$D$62</f>
        <v>0</v>
      </c>
      <c r="G63" s="190">
        <f>G62-$D$62</f>
        <v>0</v>
      </c>
      <c r="H63" s="190">
        <f>H62-$D$62</f>
        <v>0</v>
      </c>
      <c r="I63" s="190">
        <f>I62-$D$62</f>
        <v>0</v>
      </c>
      <c r="J63" s="308"/>
      <c r="K63" s="308"/>
      <c r="L63" s="308"/>
      <c r="M63" s="308"/>
      <c r="N63" s="308"/>
      <c r="O63" s="308"/>
      <c r="P63" s="308"/>
      <c r="Q63" s="308"/>
      <c r="S63" s="133"/>
      <c r="T63" s="133"/>
      <c r="U63" s="133"/>
      <c r="V63" s="133"/>
      <c r="W63" s="133"/>
      <c r="X63" s="133"/>
      <c r="Y63" s="133"/>
      <c r="Z63" s="133"/>
      <c r="AJ63" s="297"/>
      <c r="AK63" s="297"/>
      <c r="AL63" s="297"/>
      <c r="AM63" s="297"/>
      <c r="AN63" s="297"/>
    </row>
    <row r="64" spans="1:40" x14ac:dyDescent="0.25">
      <c r="A64" s="308"/>
      <c r="B64" s="338"/>
      <c r="C64" s="314"/>
      <c r="D64" s="314"/>
      <c r="E64" s="315"/>
      <c r="F64" s="308"/>
      <c r="G64" s="308"/>
      <c r="H64" s="220"/>
      <c r="I64" s="220"/>
      <c r="J64" s="220"/>
      <c r="K64" s="220"/>
      <c r="L64" s="220"/>
      <c r="M64" s="220"/>
      <c r="N64" s="220"/>
      <c r="O64" s="220"/>
      <c r="P64" s="220"/>
      <c r="Q64" s="220"/>
      <c r="S64" s="133"/>
      <c r="T64" s="133"/>
      <c r="U64" s="133"/>
      <c r="V64" s="133"/>
      <c r="W64" s="133"/>
      <c r="X64" s="133"/>
      <c r="Y64" s="133"/>
      <c r="Z64" s="133"/>
      <c r="AJ64" s="297"/>
      <c r="AK64" s="297"/>
      <c r="AL64" s="297"/>
      <c r="AM64" s="297"/>
      <c r="AN64" s="297"/>
    </row>
    <row r="65" spans="1:40" hidden="1" x14ac:dyDescent="0.25">
      <c r="A65" s="298"/>
      <c r="B65" s="340" t="s">
        <v>895</v>
      </c>
      <c r="C65" s="317"/>
      <c r="D65" s="317"/>
      <c r="E65" s="318"/>
      <c r="F65" s="319"/>
      <c r="G65" s="320"/>
      <c r="H65" s="320"/>
      <c r="I65" s="320"/>
      <c r="J65" s="462"/>
      <c r="K65" s="298"/>
      <c r="L65" s="298"/>
      <c r="M65" s="298"/>
      <c r="N65" s="298"/>
      <c r="O65" s="298"/>
      <c r="P65" s="298"/>
      <c r="Q65" s="222"/>
      <c r="V65" s="133"/>
    </row>
    <row r="66" spans="1:40" hidden="1" x14ac:dyDescent="0.25">
      <c r="A66" s="298"/>
      <c r="B66" s="415" t="s">
        <v>896</v>
      </c>
      <c r="C66" s="416"/>
      <c r="D66" s="416"/>
      <c r="E66" s="416"/>
      <c r="F66" s="416"/>
      <c r="G66" s="416"/>
      <c r="H66" s="416"/>
      <c r="I66" s="221"/>
      <c r="J66" s="457"/>
      <c r="K66" s="222"/>
      <c r="L66" s="456"/>
      <c r="M66" s="456"/>
      <c r="N66" s="456"/>
      <c r="O66" s="456"/>
      <c r="P66" s="456"/>
      <c r="Q66" s="456"/>
      <c r="V66" s="133"/>
    </row>
    <row r="67" spans="1:40" ht="74.45" hidden="1" customHeight="1" x14ac:dyDescent="0.25">
      <c r="A67" s="298"/>
      <c r="B67" s="293" t="s">
        <v>799</v>
      </c>
      <c r="C67" s="168" t="s">
        <v>897</v>
      </c>
      <c r="D67" s="449" t="s">
        <v>872</v>
      </c>
      <c r="E67" s="266" t="s">
        <v>694</v>
      </c>
      <c r="F67" s="266" t="s">
        <v>695</v>
      </c>
      <c r="G67" s="167" t="s">
        <v>828</v>
      </c>
      <c r="H67" s="167" t="s">
        <v>829</v>
      </c>
      <c r="I67" s="266" t="s">
        <v>830</v>
      </c>
      <c r="J67" s="298"/>
      <c r="K67" s="624" t="s">
        <v>801</v>
      </c>
      <c r="L67" s="449" t="s">
        <v>872</v>
      </c>
      <c r="M67" s="600" t="s">
        <v>694</v>
      </c>
      <c r="N67" s="600" t="s">
        <v>695</v>
      </c>
      <c r="O67" s="450" t="s">
        <v>828</v>
      </c>
      <c r="P67" s="450" t="s">
        <v>829</v>
      </c>
      <c r="Q67" s="600" t="s">
        <v>830</v>
      </c>
      <c r="V67" s="133"/>
    </row>
    <row r="68" spans="1:40" hidden="1" x14ac:dyDescent="0.25">
      <c r="A68" s="298"/>
      <c r="B68" s="367"/>
      <c r="C68" s="149">
        <f>'Inputs and eligible population'!F77</f>
        <v>0</v>
      </c>
      <c r="D68" s="128">
        <f t="shared" ref="D68:I68" si="50">(D61*$C$68)/60</f>
        <v>0</v>
      </c>
      <c r="E68" s="128">
        <f t="shared" si="50"/>
        <v>0</v>
      </c>
      <c r="F68" s="128">
        <f t="shared" si="50"/>
        <v>0</v>
      </c>
      <c r="G68" s="128">
        <f t="shared" si="50"/>
        <v>0</v>
      </c>
      <c r="H68" s="128">
        <f t="shared" si="50"/>
        <v>0</v>
      </c>
      <c r="I68" s="128">
        <f t="shared" si="50"/>
        <v>0</v>
      </c>
      <c r="J68" s="298"/>
      <c r="K68" s="639">
        <f>'Inputs and eligible population'!K77</f>
        <v>38.99</v>
      </c>
      <c r="L68" s="304">
        <f>(D68*$K68)/1000</f>
        <v>0</v>
      </c>
      <c r="M68" s="304">
        <f t="shared" ref="M68:Q69" si="51">(E68*$K68)/1000</f>
        <v>0</v>
      </c>
      <c r="N68" s="304">
        <f t="shared" si="51"/>
        <v>0</v>
      </c>
      <c r="O68" s="304">
        <f t="shared" si="51"/>
        <v>0</v>
      </c>
      <c r="P68" s="304">
        <f t="shared" si="51"/>
        <v>0</v>
      </c>
      <c r="Q68" s="304">
        <f t="shared" si="51"/>
        <v>0</v>
      </c>
      <c r="S68" s="133"/>
      <c r="T68" s="133"/>
      <c r="U68" s="133"/>
      <c r="V68" s="133"/>
      <c r="W68" s="133"/>
      <c r="X68" s="133"/>
      <c r="Y68" s="133"/>
      <c r="Z68" s="133"/>
      <c r="AJ68" s="297"/>
      <c r="AK68" s="297"/>
      <c r="AL68" s="297"/>
      <c r="AM68" s="297"/>
      <c r="AN68" s="297"/>
    </row>
    <row r="69" spans="1:40" hidden="1" x14ac:dyDescent="0.25">
      <c r="A69" s="298"/>
      <c r="B69" s="367"/>
      <c r="C69" s="149">
        <f>'Inputs and eligible population'!G77</f>
        <v>0</v>
      </c>
      <c r="D69" s="128" t="e">
        <f>(#REF!*$C$69)/60</f>
        <v>#REF!</v>
      </c>
      <c r="E69" s="128" t="e">
        <f>(#REF!*$C$69)/60</f>
        <v>#REF!</v>
      </c>
      <c r="F69" s="128" t="e">
        <f>(#REF!*$C$69)/60</f>
        <v>#REF!</v>
      </c>
      <c r="G69" s="128" t="e">
        <f>(#REF!*$C$69)/60</f>
        <v>#REF!</v>
      </c>
      <c r="H69" s="128" t="e">
        <f>(#REF!*$C$69)/60</f>
        <v>#REF!</v>
      </c>
      <c r="I69" s="128" t="e">
        <f>(#REF!*$C$69)/60</f>
        <v>#REF!</v>
      </c>
      <c r="J69" s="298"/>
      <c r="K69" s="639">
        <f>'Inputs and eligible population'!K77</f>
        <v>38.99</v>
      </c>
      <c r="L69" s="304" t="e">
        <f t="shared" ref="L69" si="52">(D69*$K69)/1000</f>
        <v>#REF!</v>
      </c>
      <c r="M69" s="304" t="e">
        <f t="shared" si="51"/>
        <v>#REF!</v>
      </c>
      <c r="N69" s="304" t="e">
        <f t="shared" si="51"/>
        <v>#REF!</v>
      </c>
      <c r="O69" s="304" t="e">
        <f t="shared" si="51"/>
        <v>#REF!</v>
      </c>
      <c r="P69" s="304" t="e">
        <f t="shared" si="51"/>
        <v>#REF!</v>
      </c>
      <c r="Q69" s="304" t="e">
        <f t="shared" si="51"/>
        <v>#REF!</v>
      </c>
      <c r="S69" s="133"/>
      <c r="T69" s="133"/>
      <c r="U69" s="133"/>
      <c r="V69" s="133"/>
      <c r="W69" s="133"/>
      <c r="X69" s="133"/>
      <c r="Y69" s="133"/>
      <c r="Z69" s="133"/>
      <c r="AJ69" s="297"/>
      <c r="AK69" s="297"/>
      <c r="AL69" s="297"/>
      <c r="AM69" s="297"/>
      <c r="AN69" s="297"/>
    </row>
    <row r="70" spans="1:40" hidden="1" x14ac:dyDescent="0.25">
      <c r="A70" s="298"/>
      <c r="B70" s="294" t="s">
        <v>898</v>
      </c>
      <c r="C70" s="339"/>
      <c r="D70" s="190" t="e">
        <f t="shared" ref="D70:I70" si="53">SUM(D68:D69)</f>
        <v>#REF!</v>
      </c>
      <c r="E70" s="190" t="e">
        <f t="shared" si="53"/>
        <v>#REF!</v>
      </c>
      <c r="F70" s="190" t="e">
        <f t="shared" si="53"/>
        <v>#REF!</v>
      </c>
      <c r="G70" s="190" t="e">
        <f t="shared" si="53"/>
        <v>#REF!</v>
      </c>
      <c r="H70" s="190" t="e">
        <f t="shared" si="53"/>
        <v>#REF!</v>
      </c>
      <c r="I70" s="190" t="e">
        <f t="shared" si="53"/>
        <v>#REF!</v>
      </c>
      <c r="J70" s="298"/>
      <c r="K70" s="298"/>
      <c r="L70" s="305" t="e">
        <f t="shared" ref="L70:Q70" si="54">SUM(L68:L69)</f>
        <v>#REF!</v>
      </c>
      <c r="M70" s="305" t="e">
        <f t="shared" si="54"/>
        <v>#REF!</v>
      </c>
      <c r="N70" s="305" t="e">
        <f t="shared" si="54"/>
        <v>#REF!</v>
      </c>
      <c r="O70" s="305" t="e">
        <f t="shared" si="54"/>
        <v>#REF!</v>
      </c>
      <c r="P70" s="305" t="e">
        <f t="shared" si="54"/>
        <v>#REF!</v>
      </c>
      <c r="Q70" s="305" t="e">
        <f t="shared" si="54"/>
        <v>#REF!</v>
      </c>
      <c r="S70" s="133"/>
      <c r="T70" s="133"/>
      <c r="U70" s="133"/>
      <c r="V70" s="133"/>
      <c r="W70" s="133"/>
      <c r="X70" s="133"/>
      <c r="Y70" s="133"/>
      <c r="Z70" s="133"/>
      <c r="AJ70" s="297"/>
      <c r="AK70" s="297"/>
      <c r="AL70" s="297"/>
      <c r="AM70" s="297"/>
      <c r="AN70" s="297"/>
    </row>
    <row r="71" spans="1:40" hidden="1" x14ac:dyDescent="0.25">
      <c r="A71" s="298"/>
      <c r="B71" s="321"/>
      <c r="C71" s="267"/>
      <c r="D71" s="296" t="s">
        <v>899</v>
      </c>
      <c r="E71" s="190" t="e">
        <f>E70-$D$70</f>
        <v>#REF!</v>
      </c>
      <c r="F71" s="190" t="e">
        <f>F70-$D$70</f>
        <v>#REF!</v>
      </c>
      <c r="G71" s="190" t="e">
        <f>G70-$D$70</f>
        <v>#REF!</v>
      </c>
      <c r="H71" s="190" t="e">
        <f>H70-$D$70</f>
        <v>#REF!</v>
      </c>
      <c r="I71" s="190" t="e">
        <f>I70-$D$70</f>
        <v>#REF!</v>
      </c>
      <c r="J71" s="298"/>
      <c r="K71" s="298"/>
      <c r="L71" s="601"/>
      <c r="M71" s="305" t="e">
        <f>M70-$L$70</f>
        <v>#REF!</v>
      </c>
      <c r="N71" s="305" t="e">
        <f t="shared" ref="N71:Q71" si="55">N70-$L$70</f>
        <v>#REF!</v>
      </c>
      <c r="O71" s="305" t="e">
        <f t="shared" si="55"/>
        <v>#REF!</v>
      </c>
      <c r="P71" s="305" t="e">
        <f t="shared" si="55"/>
        <v>#REF!</v>
      </c>
      <c r="Q71" s="305" t="e">
        <f t="shared" si="55"/>
        <v>#REF!</v>
      </c>
      <c r="S71" s="133"/>
      <c r="T71" s="133"/>
      <c r="U71" s="133"/>
      <c r="V71" s="133"/>
      <c r="W71" s="133"/>
      <c r="X71" s="133"/>
      <c r="Y71" s="133"/>
      <c r="Z71" s="133"/>
      <c r="AJ71" s="297"/>
      <c r="AK71" s="297"/>
      <c r="AL71" s="297"/>
      <c r="AM71" s="297"/>
      <c r="AN71" s="297"/>
    </row>
    <row r="72" spans="1:40" hidden="1" x14ac:dyDescent="0.25">
      <c r="A72" s="298"/>
      <c r="B72" s="341"/>
      <c r="C72" s="222"/>
      <c r="D72" s="222"/>
      <c r="E72" s="222"/>
      <c r="F72" s="222"/>
      <c r="G72" s="222"/>
      <c r="H72" s="222"/>
      <c r="I72" s="222"/>
      <c r="J72" s="222"/>
      <c r="K72" s="222"/>
      <c r="L72" s="222"/>
      <c r="M72" s="222"/>
      <c r="N72" s="222"/>
      <c r="O72" s="222"/>
      <c r="P72" s="222"/>
      <c r="Q72" s="222"/>
      <c r="S72" s="133"/>
      <c r="T72" s="133"/>
      <c r="U72" s="133"/>
      <c r="V72" s="133"/>
      <c r="W72" s="133"/>
      <c r="X72" s="133"/>
      <c r="Y72" s="133"/>
      <c r="Z72" s="133"/>
      <c r="AJ72" s="297"/>
      <c r="AK72" s="297"/>
      <c r="AL72" s="297"/>
      <c r="AM72" s="297"/>
      <c r="AN72" s="297"/>
    </row>
    <row r="73" spans="1:40" hidden="1" x14ac:dyDescent="0.25">
      <c r="A73" s="298"/>
      <c r="B73" s="417" t="s">
        <v>900</v>
      </c>
      <c r="C73" s="416"/>
      <c r="D73" s="416"/>
      <c r="E73" s="416"/>
      <c r="F73" s="416"/>
      <c r="G73" s="416"/>
      <c r="H73" s="416"/>
      <c r="I73" s="221"/>
      <c r="J73" s="457"/>
      <c r="K73" s="222"/>
      <c r="L73" s="456"/>
      <c r="M73" s="456"/>
      <c r="N73" s="456"/>
      <c r="O73" s="456"/>
      <c r="P73" s="456"/>
      <c r="Q73" s="456"/>
      <c r="S73" s="133"/>
      <c r="T73" s="133"/>
      <c r="U73" s="133"/>
      <c r="V73" s="133"/>
      <c r="W73" s="133"/>
      <c r="X73" s="133"/>
      <c r="Y73" s="133"/>
      <c r="Z73" s="133"/>
      <c r="AJ73" s="297"/>
      <c r="AK73" s="297"/>
      <c r="AL73" s="297"/>
      <c r="AM73" s="297"/>
      <c r="AN73" s="297"/>
    </row>
    <row r="74" spans="1:40" ht="75" hidden="1" x14ac:dyDescent="0.25">
      <c r="A74" s="298"/>
      <c r="B74" s="293" t="s">
        <v>799</v>
      </c>
      <c r="C74" s="168" t="s">
        <v>745</v>
      </c>
      <c r="D74" s="449" t="s">
        <v>872</v>
      </c>
      <c r="E74" s="266" t="s">
        <v>694</v>
      </c>
      <c r="F74" s="266" t="s">
        <v>695</v>
      </c>
      <c r="G74" s="167" t="s">
        <v>828</v>
      </c>
      <c r="H74" s="167" t="s">
        <v>829</v>
      </c>
      <c r="I74" s="266" t="s">
        <v>830</v>
      </c>
      <c r="J74" s="298"/>
      <c r="K74" s="624" t="s">
        <v>801</v>
      </c>
      <c r="L74" s="449" t="s">
        <v>872</v>
      </c>
      <c r="M74" s="266" t="s">
        <v>694</v>
      </c>
      <c r="N74" s="266" t="s">
        <v>695</v>
      </c>
      <c r="O74" s="167" t="s">
        <v>828</v>
      </c>
      <c r="P74" s="167" t="s">
        <v>829</v>
      </c>
      <c r="Q74" s="266" t="s">
        <v>830</v>
      </c>
      <c r="S74" s="133"/>
      <c r="T74" s="133"/>
      <c r="U74" s="133"/>
      <c r="V74" s="133"/>
      <c r="W74" s="133"/>
      <c r="X74" s="133"/>
      <c r="Y74" s="133"/>
      <c r="Z74" s="133"/>
      <c r="AJ74" s="297"/>
      <c r="AK74" s="297"/>
      <c r="AL74" s="297"/>
      <c r="AM74" s="297"/>
      <c r="AN74" s="297"/>
    </row>
    <row r="75" spans="1:40" hidden="1" x14ac:dyDescent="0.25">
      <c r="A75" s="298"/>
      <c r="B75" s="367"/>
      <c r="C75" s="149">
        <f>'Inputs and eligible population'!F78</f>
        <v>0</v>
      </c>
      <c r="D75" s="128">
        <f>($C61*$C75*'Financial impact (cash)'!D13)/60</f>
        <v>0</v>
      </c>
      <c r="E75" s="128">
        <f>($C61*$C75*'Financial impact (cash)'!E13)/60</f>
        <v>0</v>
      </c>
      <c r="F75" s="128">
        <f>($C61*$C75*'Financial impact (cash)'!F13)/60</f>
        <v>0</v>
      </c>
      <c r="G75" s="128">
        <f>($C61*$C75*'Financial impact (cash)'!G13)/60</f>
        <v>0</v>
      </c>
      <c r="H75" s="128">
        <f>($C61*$C75*'Financial impact (cash)'!H13)/60</f>
        <v>0</v>
      </c>
      <c r="I75" s="128">
        <f>($C61*$C75*'Financial impact (cash)'!I13)/60</f>
        <v>0</v>
      </c>
      <c r="J75" s="298"/>
      <c r="K75" s="639">
        <f>'Inputs and eligible population'!K78</f>
        <v>38.99</v>
      </c>
      <c r="L75" s="304">
        <f>(D75*$K75)/1000</f>
        <v>0</v>
      </c>
      <c r="M75" s="304">
        <f t="shared" ref="M75:Q76" si="56">(E75*$K75)/1000</f>
        <v>0</v>
      </c>
      <c r="N75" s="304">
        <f t="shared" si="56"/>
        <v>0</v>
      </c>
      <c r="O75" s="304">
        <f t="shared" si="56"/>
        <v>0</v>
      </c>
      <c r="P75" s="304">
        <f t="shared" si="56"/>
        <v>0</v>
      </c>
      <c r="Q75" s="304">
        <f t="shared" si="56"/>
        <v>0</v>
      </c>
      <c r="S75" s="133"/>
      <c r="T75" s="133"/>
      <c r="U75" s="133"/>
      <c r="V75" s="133"/>
      <c r="W75" s="133"/>
      <c r="X75" s="133"/>
      <c r="Y75" s="133"/>
      <c r="Z75" s="133"/>
      <c r="AJ75" s="297"/>
      <c r="AK75" s="297"/>
      <c r="AL75" s="297"/>
      <c r="AM75" s="297"/>
      <c r="AN75" s="297"/>
    </row>
    <row r="76" spans="1:40" hidden="1" x14ac:dyDescent="0.25">
      <c r="A76" s="298"/>
      <c r="B76" s="367"/>
      <c r="C76" s="149">
        <f>'Inputs and eligible population'!G78</f>
        <v>0</v>
      </c>
      <c r="D76" s="128" t="e">
        <f>(#REF!*$C76*'Financial impact (cash)'!D15)/60</f>
        <v>#REF!</v>
      </c>
      <c r="E76" s="128" t="e">
        <f>(#REF!*$C76*'Financial impact (cash)'!E15)/60</f>
        <v>#REF!</v>
      </c>
      <c r="F76" s="128" t="e">
        <f>(#REF!*$C76*'Financial impact (cash)'!F15)/60</f>
        <v>#REF!</v>
      </c>
      <c r="G76" s="128" t="e">
        <f>(#REF!*$C76*'Financial impact (cash)'!G15)/60</f>
        <v>#REF!</v>
      </c>
      <c r="H76" s="128" t="e">
        <f>(#REF!*$C76*'Financial impact (cash)'!H15)/60</f>
        <v>#REF!</v>
      </c>
      <c r="I76" s="128" t="e">
        <f>(#REF!*$C76*'Financial impact (cash)'!I15)/60</f>
        <v>#REF!</v>
      </c>
      <c r="J76" s="298"/>
      <c r="K76" s="639">
        <f>'Inputs and eligible population'!K78</f>
        <v>38.99</v>
      </c>
      <c r="L76" s="304" t="e">
        <f t="shared" ref="L76" si="57">(D76*$K76)/1000</f>
        <v>#REF!</v>
      </c>
      <c r="M76" s="304" t="e">
        <f t="shared" si="56"/>
        <v>#REF!</v>
      </c>
      <c r="N76" s="304" t="e">
        <f t="shared" si="56"/>
        <v>#REF!</v>
      </c>
      <c r="O76" s="304" t="e">
        <f t="shared" si="56"/>
        <v>#REF!</v>
      </c>
      <c r="P76" s="304" t="e">
        <f t="shared" si="56"/>
        <v>#REF!</v>
      </c>
      <c r="Q76" s="304" t="e">
        <f t="shared" si="56"/>
        <v>#REF!</v>
      </c>
      <c r="S76" s="133"/>
      <c r="T76" s="133"/>
      <c r="U76" s="133"/>
      <c r="V76" s="133"/>
      <c r="W76" s="133"/>
      <c r="X76" s="133"/>
      <c r="Y76" s="133"/>
      <c r="Z76" s="133"/>
      <c r="AJ76" s="297"/>
      <c r="AK76" s="297"/>
      <c r="AL76" s="297"/>
      <c r="AM76" s="297"/>
      <c r="AN76" s="297"/>
    </row>
    <row r="77" spans="1:40" hidden="1" x14ac:dyDescent="0.25">
      <c r="A77" s="298"/>
      <c r="B77" s="294"/>
      <c r="C77" s="294"/>
      <c r="D77" s="190" t="e">
        <f t="shared" ref="D77:I77" si="58">SUM(D75:D76)</f>
        <v>#REF!</v>
      </c>
      <c r="E77" s="190" t="e">
        <f t="shared" si="58"/>
        <v>#REF!</v>
      </c>
      <c r="F77" s="190" t="e">
        <f t="shared" si="58"/>
        <v>#REF!</v>
      </c>
      <c r="G77" s="190" t="e">
        <f t="shared" si="58"/>
        <v>#REF!</v>
      </c>
      <c r="H77" s="190" t="e">
        <f t="shared" si="58"/>
        <v>#REF!</v>
      </c>
      <c r="I77" s="190" t="e">
        <f t="shared" si="58"/>
        <v>#REF!</v>
      </c>
      <c r="J77" s="298"/>
      <c r="K77" s="298"/>
      <c r="L77" s="305" t="e">
        <f t="shared" ref="L77:Q77" si="59">SUM(L75:L76)</f>
        <v>#REF!</v>
      </c>
      <c r="M77" s="305" t="e">
        <f t="shared" si="59"/>
        <v>#REF!</v>
      </c>
      <c r="N77" s="305" t="e">
        <f t="shared" si="59"/>
        <v>#REF!</v>
      </c>
      <c r="O77" s="305" t="e">
        <f t="shared" si="59"/>
        <v>#REF!</v>
      </c>
      <c r="P77" s="305" t="e">
        <f t="shared" si="59"/>
        <v>#REF!</v>
      </c>
      <c r="Q77" s="305" t="e">
        <f t="shared" si="59"/>
        <v>#REF!</v>
      </c>
      <c r="S77" s="133"/>
      <c r="T77" s="133"/>
      <c r="U77" s="133"/>
      <c r="V77" s="133"/>
      <c r="W77" s="133"/>
      <c r="X77" s="133"/>
      <c r="Y77" s="133"/>
      <c r="Z77" s="133"/>
      <c r="AJ77" s="297"/>
      <c r="AK77" s="297"/>
      <c r="AL77" s="297"/>
      <c r="AM77" s="297"/>
      <c r="AN77" s="297"/>
    </row>
    <row r="78" spans="1:40" hidden="1" x14ac:dyDescent="0.25">
      <c r="A78" s="298"/>
      <c r="B78" s="294"/>
      <c r="C78" s="294"/>
      <c r="D78" s="296" t="s">
        <v>901</v>
      </c>
      <c r="E78" s="190" t="e">
        <f>E77-$D$77</f>
        <v>#REF!</v>
      </c>
      <c r="F78" s="190" t="e">
        <f>F77-$D$77</f>
        <v>#REF!</v>
      </c>
      <c r="G78" s="190" t="e">
        <f>G77-$D$77</f>
        <v>#REF!</v>
      </c>
      <c r="H78" s="190" t="e">
        <f>H77-$D$77</f>
        <v>#REF!</v>
      </c>
      <c r="I78" s="190" t="e">
        <f>I77-$D$77</f>
        <v>#REF!</v>
      </c>
      <c r="J78" s="298"/>
      <c r="K78" s="298"/>
      <c r="L78" s="601"/>
      <c r="M78" s="305" t="e">
        <f>M77-$L$77</f>
        <v>#REF!</v>
      </c>
      <c r="N78" s="305" t="e">
        <f t="shared" ref="N78:Q78" si="60">N77-$L$77</f>
        <v>#REF!</v>
      </c>
      <c r="O78" s="305" t="e">
        <f t="shared" si="60"/>
        <v>#REF!</v>
      </c>
      <c r="P78" s="305" t="e">
        <f t="shared" si="60"/>
        <v>#REF!</v>
      </c>
      <c r="Q78" s="305" t="e">
        <f t="shared" si="60"/>
        <v>#REF!</v>
      </c>
      <c r="S78" s="133"/>
      <c r="T78" s="133"/>
      <c r="U78" s="133"/>
      <c r="V78" s="133"/>
      <c r="W78" s="133"/>
      <c r="X78" s="133"/>
      <c r="Y78" s="133"/>
      <c r="Z78" s="133"/>
      <c r="AJ78" s="297"/>
      <c r="AK78" s="297"/>
      <c r="AL78" s="297"/>
      <c r="AM78" s="297"/>
      <c r="AN78" s="297"/>
    </row>
    <row r="79" spans="1:40" hidden="1" x14ac:dyDescent="0.25">
      <c r="A79" s="298"/>
      <c r="B79" s="341"/>
      <c r="C79" s="222"/>
      <c r="D79" s="222"/>
      <c r="E79" s="222"/>
      <c r="F79" s="222"/>
      <c r="G79" s="222"/>
      <c r="H79" s="222"/>
      <c r="I79" s="222"/>
      <c r="J79" s="222"/>
      <c r="K79" s="222"/>
      <c r="L79" s="222"/>
      <c r="M79" s="222"/>
      <c r="N79" s="222"/>
      <c r="O79" s="222"/>
      <c r="P79" s="222"/>
      <c r="Q79" s="222"/>
      <c r="S79" s="133"/>
      <c r="T79" s="133"/>
      <c r="U79" s="133"/>
      <c r="V79" s="133"/>
      <c r="W79" s="133"/>
      <c r="X79" s="133"/>
      <c r="Y79" s="133"/>
      <c r="Z79" s="133"/>
      <c r="AJ79" s="297"/>
      <c r="AK79" s="297"/>
      <c r="AL79" s="297"/>
      <c r="AM79" s="297"/>
      <c r="AN79" s="297"/>
    </row>
    <row r="80" spans="1:40" hidden="1" x14ac:dyDescent="0.25">
      <c r="A80" s="298"/>
      <c r="B80" s="417" t="s">
        <v>855</v>
      </c>
      <c r="C80" s="416"/>
      <c r="D80" s="416"/>
      <c r="E80" s="416"/>
      <c r="F80" s="416"/>
      <c r="G80" s="416"/>
      <c r="H80" s="416"/>
      <c r="I80" s="221"/>
      <c r="J80" s="457"/>
      <c r="K80" s="222"/>
      <c r="L80" s="456"/>
      <c r="M80" s="456"/>
      <c r="N80" s="456"/>
      <c r="O80" s="456"/>
      <c r="P80" s="456"/>
      <c r="Q80" s="456"/>
      <c r="V80" s="133"/>
      <c r="AJ80" s="297"/>
      <c r="AK80" s="297"/>
      <c r="AL80" s="297"/>
      <c r="AM80" s="297"/>
      <c r="AN80" s="297"/>
    </row>
    <row r="81" spans="1:40" ht="60" hidden="1" x14ac:dyDescent="0.25">
      <c r="A81" s="298"/>
      <c r="B81" s="293" t="s">
        <v>799</v>
      </c>
      <c r="C81" s="168" t="s">
        <v>746</v>
      </c>
      <c r="D81" s="449" t="s">
        <v>872</v>
      </c>
      <c r="E81" s="266" t="s">
        <v>694</v>
      </c>
      <c r="F81" s="266" t="s">
        <v>695</v>
      </c>
      <c r="G81" s="167" t="s">
        <v>828</v>
      </c>
      <c r="H81" s="167" t="s">
        <v>829</v>
      </c>
      <c r="I81" s="266" t="s">
        <v>830</v>
      </c>
      <c r="J81" s="298"/>
      <c r="K81" s="624" t="s">
        <v>801</v>
      </c>
      <c r="L81" s="449" t="s">
        <v>872</v>
      </c>
      <c r="M81" s="266" t="s">
        <v>694</v>
      </c>
      <c r="N81" s="266" t="s">
        <v>695</v>
      </c>
      <c r="O81" s="167" t="s">
        <v>828</v>
      </c>
      <c r="P81" s="167" t="s">
        <v>829</v>
      </c>
      <c r="Q81" s="266" t="s">
        <v>830</v>
      </c>
      <c r="V81" s="133"/>
      <c r="AJ81" s="297"/>
      <c r="AK81" s="297"/>
      <c r="AL81" s="297"/>
      <c r="AM81" s="297"/>
      <c r="AN81" s="297"/>
    </row>
    <row r="82" spans="1:40" hidden="1" x14ac:dyDescent="0.25">
      <c r="A82" s="298"/>
      <c r="B82" s="367"/>
      <c r="C82" s="149">
        <f>'Inputs and eligible population'!F79</f>
        <v>0</v>
      </c>
      <c r="D82" s="128">
        <f>($C61*$C82*'Financial impact (cash)'!D13)/60</f>
        <v>0</v>
      </c>
      <c r="E82" s="128">
        <f>($C61*$C82*'Financial impact (cash)'!E13)/60</f>
        <v>0</v>
      </c>
      <c r="F82" s="128">
        <f>($C61*$C82*'Financial impact (cash)'!F13)/60</f>
        <v>0</v>
      </c>
      <c r="G82" s="128">
        <f>($C61*$C82*'Financial impact (cash)'!G13)/60</f>
        <v>0</v>
      </c>
      <c r="H82" s="128">
        <f>($C61*$C82*'Financial impact (cash)'!H13)/60</f>
        <v>0</v>
      </c>
      <c r="I82" s="128">
        <f>($C61*$C82*'Financial impact (cash)'!I13)/60</f>
        <v>0</v>
      </c>
      <c r="J82" s="298"/>
      <c r="K82" s="639">
        <f>'Inputs and eligible population'!K79</f>
        <v>38.99</v>
      </c>
      <c r="L82" s="304">
        <f>(D82*$K82)/1000</f>
        <v>0</v>
      </c>
      <c r="M82" s="304">
        <f t="shared" ref="M82:Q83" si="61">(E82*$K82)/1000</f>
        <v>0</v>
      </c>
      <c r="N82" s="304">
        <f t="shared" si="61"/>
        <v>0</v>
      </c>
      <c r="O82" s="304">
        <f t="shared" si="61"/>
        <v>0</v>
      </c>
      <c r="P82" s="304">
        <f t="shared" si="61"/>
        <v>0</v>
      </c>
      <c r="Q82" s="304">
        <f t="shared" si="61"/>
        <v>0</v>
      </c>
      <c r="V82" s="133"/>
      <c r="AJ82" s="297"/>
      <c r="AK82" s="297"/>
      <c r="AL82" s="297"/>
      <c r="AM82" s="297"/>
      <c r="AN82" s="297"/>
    </row>
    <row r="83" spans="1:40" hidden="1" x14ac:dyDescent="0.25">
      <c r="A83" s="298"/>
      <c r="B83" s="367"/>
      <c r="C83" s="149">
        <f>'Inputs and eligible population'!G79</f>
        <v>0</v>
      </c>
      <c r="D83" s="128" t="e">
        <f>(#REF!*$C83*'Financial impact (cash)'!D15)/60</f>
        <v>#REF!</v>
      </c>
      <c r="E83" s="128" t="e">
        <f>(#REF!*$C83*'Financial impact (cash)'!E15)/60</f>
        <v>#REF!</v>
      </c>
      <c r="F83" s="128" t="e">
        <f>(#REF!*$C83*'Financial impact (cash)'!F15)/60</f>
        <v>#REF!</v>
      </c>
      <c r="G83" s="128" t="e">
        <f>(#REF!*$C83*'Financial impact (cash)'!G15)/60</f>
        <v>#REF!</v>
      </c>
      <c r="H83" s="128" t="e">
        <f>(#REF!*$C83*'Financial impact (cash)'!H15)/60</f>
        <v>#REF!</v>
      </c>
      <c r="I83" s="128" t="e">
        <f>(#REF!*$C83*'Financial impact (cash)'!I15)/60</f>
        <v>#REF!</v>
      </c>
      <c r="J83" s="298"/>
      <c r="K83" s="639">
        <f>'Inputs and eligible population'!K79</f>
        <v>38.99</v>
      </c>
      <c r="L83" s="304" t="e">
        <f t="shared" ref="L83" si="62">(D83*$K83)/1000</f>
        <v>#REF!</v>
      </c>
      <c r="M83" s="304" t="e">
        <f t="shared" si="61"/>
        <v>#REF!</v>
      </c>
      <c r="N83" s="304" t="e">
        <f t="shared" si="61"/>
        <v>#REF!</v>
      </c>
      <c r="O83" s="304" t="e">
        <f t="shared" si="61"/>
        <v>#REF!</v>
      </c>
      <c r="P83" s="304" t="e">
        <f t="shared" si="61"/>
        <v>#REF!</v>
      </c>
      <c r="Q83" s="304" t="e">
        <f t="shared" si="61"/>
        <v>#REF!</v>
      </c>
      <c r="V83" s="133"/>
      <c r="AJ83" s="297"/>
      <c r="AK83" s="297"/>
      <c r="AL83" s="297"/>
      <c r="AM83" s="297"/>
      <c r="AN83" s="297"/>
    </row>
    <row r="84" spans="1:40" hidden="1" x14ac:dyDescent="0.25">
      <c r="A84" s="298"/>
      <c r="B84" s="294"/>
      <c r="C84" s="294"/>
      <c r="D84" s="190" t="e">
        <f t="shared" ref="D84:I84" si="63">SUM(D82:D83)</f>
        <v>#REF!</v>
      </c>
      <c r="E84" s="190" t="e">
        <f t="shared" si="63"/>
        <v>#REF!</v>
      </c>
      <c r="F84" s="190" t="e">
        <f t="shared" si="63"/>
        <v>#REF!</v>
      </c>
      <c r="G84" s="190" t="e">
        <f t="shared" si="63"/>
        <v>#REF!</v>
      </c>
      <c r="H84" s="190" t="e">
        <f t="shared" si="63"/>
        <v>#REF!</v>
      </c>
      <c r="I84" s="190" t="e">
        <f t="shared" si="63"/>
        <v>#REF!</v>
      </c>
      <c r="J84" s="298"/>
      <c r="K84" s="298"/>
      <c r="L84" s="305" t="e">
        <f t="shared" ref="L84:Q84" si="64">SUM(L82:L83)</f>
        <v>#REF!</v>
      </c>
      <c r="M84" s="305" t="e">
        <f t="shared" si="64"/>
        <v>#REF!</v>
      </c>
      <c r="N84" s="305" t="e">
        <f t="shared" si="64"/>
        <v>#REF!</v>
      </c>
      <c r="O84" s="305" t="e">
        <f t="shared" si="64"/>
        <v>#REF!</v>
      </c>
      <c r="P84" s="305" t="e">
        <f t="shared" si="64"/>
        <v>#REF!</v>
      </c>
      <c r="Q84" s="305" t="e">
        <f t="shared" si="64"/>
        <v>#REF!</v>
      </c>
      <c r="R84" s="133"/>
      <c r="S84" s="133"/>
      <c r="T84" s="133"/>
      <c r="U84" s="133"/>
      <c r="V84" s="133"/>
      <c r="W84" s="133"/>
      <c r="X84" s="133"/>
      <c r="Y84" s="133"/>
      <c r="Z84" s="133"/>
      <c r="AJ84" s="297"/>
      <c r="AK84" s="297"/>
      <c r="AL84" s="297"/>
      <c r="AM84" s="297"/>
      <c r="AN84" s="297"/>
    </row>
    <row r="85" spans="1:40" hidden="1" x14ac:dyDescent="0.25">
      <c r="A85" s="298"/>
      <c r="B85" s="321"/>
      <c r="C85" s="294"/>
      <c r="D85" s="296" t="s">
        <v>902</v>
      </c>
      <c r="E85" s="190" t="e">
        <f>E84-$D$84</f>
        <v>#REF!</v>
      </c>
      <c r="F85" s="190" t="e">
        <f>F84-$D$84</f>
        <v>#REF!</v>
      </c>
      <c r="G85" s="190" t="e">
        <f>G84-$D$84</f>
        <v>#REF!</v>
      </c>
      <c r="H85" s="190" t="e">
        <f>H84-$D$84</f>
        <v>#REF!</v>
      </c>
      <c r="I85" s="190" t="e">
        <f>I84-$D$84</f>
        <v>#REF!</v>
      </c>
      <c r="J85" s="298"/>
      <c r="K85" s="298"/>
      <c r="L85" s="601"/>
      <c r="M85" s="305" t="e">
        <f>M84-$L$84</f>
        <v>#REF!</v>
      </c>
      <c r="N85" s="305" t="e">
        <f t="shared" ref="N85:Q85" si="65">N84-$L$84</f>
        <v>#REF!</v>
      </c>
      <c r="O85" s="305" t="e">
        <f t="shared" si="65"/>
        <v>#REF!</v>
      </c>
      <c r="P85" s="305" t="e">
        <f t="shared" si="65"/>
        <v>#REF!</v>
      </c>
      <c r="Q85" s="305" t="e">
        <f t="shared" si="65"/>
        <v>#REF!</v>
      </c>
      <c r="R85" s="133"/>
      <c r="S85" s="133"/>
      <c r="T85" s="133"/>
      <c r="U85" s="133"/>
      <c r="V85" s="133"/>
      <c r="W85" s="133"/>
      <c r="X85" s="133"/>
      <c r="Y85" s="133"/>
      <c r="Z85" s="133"/>
      <c r="AJ85" s="297"/>
      <c r="AK85" s="297"/>
      <c r="AL85" s="297"/>
      <c r="AM85" s="297"/>
      <c r="AN85" s="297"/>
    </row>
    <row r="86" spans="1:40" hidden="1" x14ac:dyDescent="0.25">
      <c r="A86" s="298"/>
      <c r="B86" s="341"/>
      <c r="C86" s="222"/>
      <c r="D86" s="222"/>
      <c r="E86" s="222"/>
      <c r="F86" s="222"/>
      <c r="G86" s="222"/>
      <c r="H86" s="222"/>
      <c r="I86" s="222"/>
      <c r="J86" s="298"/>
      <c r="K86" s="298"/>
      <c r="L86" s="222"/>
      <c r="M86" s="222"/>
      <c r="N86" s="222"/>
      <c r="O86" s="222"/>
      <c r="P86" s="222"/>
      <c r="Q86" s="222"/>
      <c r="R86" s="133"/>
      <c r="S86" s="133"/>
      <c r="T86" s="133"/>
      <c r="U86" s="133"/>
      <c r="V86" s="133"/>
      <c r="W86" s="133"/>
      <c r="X86" s="133"/>
      <c r="Y86" s="133"/>
      <c r="Z86" s="133"/>
      <c r="AJ86" s="297"/>
      <c r="AK86" s="297"/>
      <c r="AL86" s="297"/>
      <c r="AM86" s="297"/>
      <c r="AN86" s="297"/>
    </row>
    <row r="87" spans="1:40" hidden="1" x14ac:dyDescent="0.25">
      <c r="A87" s="300"/>
      <c r="B87" s="342" t="s">
        <v>903</v>
      </c>
      <c r="C87" s="324"/>
      <c r="D87" s="323"/>
      <c r="E87" s="324"/>
      <c r="F87" s="325"/>
      <c r="G87" s="326"/>
      <c r="H87" s="326"/>
      <c r="I87" s="388"/>
      <c r="J87" s="300"/>
      <c r="K87" s="300"/>
      <c r="L87" s="300"/>
      <c r="M87" s="300"/>
      <c r="N87" s="300"/>
      <c r="O87" s="300"/>
      <c r="P87" s="300"/>
      <c r="Q87" s="300"/>
      <c r="R87" s="133"/>
      <c r="S87" s="133"/>
      <c r="T87" s="133"/>
      <c r="U87" s="133"/>
      <c r="V87" s="133"/>
      <c r="W87" s="133"/>
      <c r="X87" s="133"/>
      <c r="Y87" s="133"/>
      <c r="Z87" s="133"/>
      <c r="AJ87" s="297"/>
      <c r="AK87" s="297"/>
      <c r="AL87" s="297"/>
      <c r="AM87" s="297"/>
      <c r="AN87" s="297"/>
    </row>
    <row r="88" spans="1:40" hidden="1" x14ac:dyDescent="0.25">
      <c r="A88" s="300"/>
      <c r="B88" s="418" t="s">
        <v>904</v>
      </c>
      <c r="C88" s="419"/>
      <c r="D88" s="419"/>
      <c r="E88" s="419"/>
      <c r="F88" s="419"/>
      <c r="G88" s="419"/>
      <c r="H88" s="419"/>
      <c r="I88" s="225"/>
      <c r="J88" s="300"/>
      <c r="K88" s="300"/>
      <c r="L88" s="300"/>
      <c r="M88" s="300"/>
      <c r="N88" s="300"/>
      <c r="O88" s="300"/>
      <c r="P88" s="300"/>
      <c r="Q88" s="300"/>
      <c r="R88" s="133"/>
      <c r="S88" s="133"/>
      <c r="T88" s="133"/>
      <c r="U88" s="133"/>
      <c r="V88" s="133"/>
      <c r="W88" s="133"/>
      <c r="X88" s="133"/>
      <c r="Y88" s="133"/>
      <c r="Z88" s="133"/>
      <c r="AJ88" s="297"/>
      <c r="AK88" s="297"/>
      <c r="AL88" s="297"/>
      <c r="AM88" s="297"/>
      <c r="AN88" s="297"/>
    </row>
    <row r="89" spans="1:40" ht="75" hidden="1" x14ac:dyDescent="0.25">
      <c r="A89" s="300"/>
      <c r="B89" s="290" t="s">
        <v>799</v>
      </c>
      <c r="C89" s="168" t="s">
        <v>905</v>
      </c>
      <c r="D89" s="449" t="s">
        <v>872</v>
      </c>
      <c r="E89" s="266" t="s">
        <v>694</v>
      </c>
      <c r="F89" s="266" t="s">
        <v>695</v>
      </c>
      <c r="G89" s="167" t="s">
        <v>828</v>
      </c>
      <c r="H89" s="167" t="s">
        <v>829</v>
      </c>
      <c r="I89" s="266" t="s">
        <v>830</v>
      </c>
      <c r="J89" s="300"/>
      <c r="K89" s="300"/>
      <c r="L89" s="300"/>
      <c r="M89" s="300"/>
      <c r="N89" s="300"/>
      <c r="O89" s="300"/>
      <c r="P89" s="300"/>
      <c r="Q89" s="300"/>
      <c r="R89" s="133"/>
      <c r="S89" s="133"/>
      <c r="T89" s="133"/>
      <c r="U89" s="133"/>
      <c r="V89" s="133"/>
      <c r="W89" s="133"/>
      <c r="X89" s="133"/>
      <c r="Y89" s="133"/>
      <c r="Z89" s="133"/>
      <c r="AJ89" s="297"/>
      <c r="AK89" s="297"/>
      <c r="AL89" s="297"/>
      <c r="AM89" s="297"/>
      <c r="AN89" s="297"/>
    </row>
    <row r="90" spans="1:40" hidden="1" x14ac:dyDescent="0.25">
      <c r="A90" s="300"/>
      <c r="B90" s="367"/>
      <c r="C90" s="149">
        <f>'Inputs and eligible population'!F80</f>
        <v>0</v>
      </c>
      <c r="D90" s="128">
        <f>D$7*'Inputs and eligible population'!E60*'Inputs and eligible population'!$D50*'Capacity (local prices)'!$C90</f>
        <v>0</v>
      </c>
      <c r="E90" s="128">
        <f>E$7*'Inputs and eligible population'!F60*'Inputs and eligible population'!$D50*'Capacity (local prices)'!$C90</f>
        <v>0</v>
      </c>
      <c r="F90" s="128">
        <f>F$7*'Inputs and eligible population'!G60*'Inputs and eligible population'!$D50*'Capacity (local prices)'!$C90</f>
        <v>0</v>
      </c>
      <c r="G90" s="128">
        <f>G$7*'Inputs and eligible population'!H60*'Inputs and eligible population'!$D50*'Capacity (local prices)'!$C90</f>
        <v>0</v>
      </c>
      <c r="H90" s="128">
        <f>H$7*'Inputs and eligible population'!I60*'Inputs and eligible population'!$D50*'Capacity (local prices)'!$C90</f>
        <v>0</v>
      </c>
      <c r="I90" s="128">
        <f>I$7*'Inputs and eligible population'!J60*'Inputs and eligible population'!$D50*'Capacity (local prices)'!$C90</f>
        <v>0</v>
      </c>
      <c r="J90" s="300"/>
      <c r="K90" s="300"/>
      <c r="L90" s="300"/>
      <c r="M90" s="300"/>
      <c r="N90" s="300"/>
      <c r="O90" s="300"/>
      <c r="P90" s="300"/>
      <c r="Q90" s="300"/>
      <c r="R90" s="133"/>
      <c r="S90" s="133"/>
      <c r="T90" s="133"/>
      <c r="U90" s="133"/>
      <c r="V90" s="133"/>
      <c r="W90" s="133"/>
      <c r="X90" s="133"/>
      <c r="Y90" s="133"/>
      <c r="Z90" s="133"/>
      <c r="AJ90" s="297"/>
      <c r="AK90" s="297"/>
      <c r="AL90" s="297"/>
      <c r="AM90" s="297"/>
      <c r="AN90" s="297"/>
    </row>
    <row r="91" spans="1:40" hidden="1" x14ac:dyDescent="0.25">
      <c r="A91" s="300"/>
      <c r="B91" s="367"/>
      <c r="C91" s="149">
        <f>'Inputs and eligible population'!G80</f>
        <v>0</v>
      </c>
      <c r="D91" s="128" t="e">
        <f>D$7*'Inputs and eligible population'!E62*'Inputs and eligible population'!#REF!*'Capacity (local prices)'!$C91</f>
        <v>#REF!</v>
      </c>
      <c r="E91" s="128" t="e">
        <f>E$7*'Inputs and eligible population'!F62*'Inputs and eligible population'!#REF!*'Capacity (local prices)'!$C91</f>
        <v>#REF!</v>
      </c>
      <c r="F91" s="128" t="e">
        <f>F$7*'Inputs and eligible population'!G62*'Inputs and eligible population'!#REF!*'Capacity (local prices)'!$C91</f>
        <v>#REF!</v>
      </c>
      <c r="G91" s="128" t="e">
        <f>G$7*'Inputs and eligible population'!H62*'Inputs and eligible population'!#REF!*'Capacity (local prices)'!$C91</f>
        <v>#REF!</v>
      </c>
      <c r="H91" s="128" t="e">
        <f>H$7*'Inputs and eligible population'!I62*'Inputs and eligible population'!#REF!*'Capacity (local prices)'!$C91</f>
        <v>#REF!</v>
      </c>
      <c r="I91" s="128" t="e">
        <f>I$7*'Inputs and eligible population'!J62*'Inputs and eligible population'!#REF!*'Capacity (local prices)'!$C91</f>
        <v>#REF!</v>
      </c>
      <c r="J91" s="300"/>
      <c r="K91" s="300"/>
      <c r="L91" s="300"/>
      <c r="M91" s="300"/>
      <c r="N91" s="300"/>
      <c r="O91" s="300"/>
      <c r="P91" s="300"/>
      <c r="Q91" s="300"/>
      <c r="R91" s="133"/>
      <c r="S91" s="133"/>
      <c r="T91" s="133"/>
      <c r="U91" s="133"/>
      <c r="V91" s="133"/>
      <c r="W91" s="133"/>
      <c r="X91" s="133"/>
      <c r="Y91" s="133"/>
      <c r="Z91" s="133"/>
      <c r="AJ91" s="297"/>
      <c r="AK91" s="297"/>
      <c r="AL91" s="297"/>
      <c r="AM91" s="297"/>
      <c r="AN91" s="297"/>
    </row>
    <row r="92" spans="1:40" hidden="1" x14ac:dyDescent="0.25">
      <c r="A92" s="300"/>
      <c r="B92" s="367"/>
      <c r="C92" s="149">
        <f>'Inputs and eligible population'!H80</f>
        <v>0</v>
      </c>
      <c r="D92" s="128" t="e">
        <f>D$7*'Inputs and eligible population'!#REF!*'Inputs and eligible population'!#REF!*'Capacity (local prices)'!$C92</f>
        <v>#REF!</v>
      </c>
      <c r="E92" s="128" t="e">
        <f>E$7*'Inputs and eligible population'!#REF!*'Inputs and eligible population'!#REF!*'Capacity (local prices)'!$C92</f>
        <v>#REF!</v>
      </c>
      <c r="F92" s="128" t="e">
        <f>F$7*'Inputs and eligible population'!#REF!*'Inputs and eligible population'!#REF!*'Capacity (local prices)'!$C92</f>
        <v>#REF!</v>
      </c>
      <c r="G92" s="128" t="e">
        <f>G$7*'Inputs and eligible population'!#REF!*'Inputs and eligible population'!#REF!*'Capacity (local prices)'!$C92</f>
        <v>#REF!</v>
      </c>
      <c r="H92" s="128" t="e">
        <f>H$7*'Inputs and eligible population'!#REF!*'Inputs and eligible population'!#REF!*'Capacity (local prices)'!$C92</f>
        <v>#REF!</v>
      </c>
      <c r="I92" s="128" t="e">
        <f>I$7*'Inputs and eligible population'!#REF!*'Inputs and eligible population'!#REF!*'Capacity (local prices)'!$C92</f>
        <v>#REF!</v>
      </c>
      <c r="J92" s="300"/>
      <c r="K92" s="300"/>
      <c r="L92" s="300"/>
      <c r="M92" s="300"/>
      <c r="N92" s="300"/>
      <c r="O92" s="300"/>
      <c r="P92" s="300"/>
      <c r="Q92" s="300"/>
      <c r="R92" s="133"/>
      <c r="S92" s="133"/>
      <c r="T92" s="133"/>
      <c r="U92" s="133"/>
      <c r="V92" s="133"/>
      <c r="W92" s="133"/>
      <c r="X92" s="133"/>
      <c r="Y92" s="133"/>
      <c r="Z92" s="133"/>
      <c r="AJ92" s="297"/>
      <c r="AK92" s="297"/>
      <c r="AL92" s="297"/>
      <c r="AM92" s="297"/>
      <c r="AN92" s="297"/>
    </row>
    <row r="93" spans="1:40" hidden="1" x14ac:dyDescent="0.25">
      <c r="A93" s="300"/>
      <c r="B93" s="294"/>
      <c r="C93" s="212"/>
      <c r="D93" s="190" t="e">
        <f t="shared" ref="D93:I93" si="66">SUM(D90:D92)</f>
        <v>#REF!</v>
      </c>
      <c r="E93" s="190" t="e">
        <f>SUM(E90:E92)</f>
        <v>#REF!</v>
      </c>
      <c r="F93" s="190" t="e">
        <f t="shared" si="66"/>
        <v>#REF!</v>
      </c>
      <c r="G93" s="190" t="e">
        <f t="shared" si="66"/>
        <v>#REF!</v>
      </c>
      <c r="H93" s="190" t="e">
        <f t="shared" si="66"/>
        <v>#REF!</v>
      </c>
      <c r="I93" s="190" t="e">
        <f t="shared" si="66"/>
        <v>#REF!</v>
      </c>
      <c r="J93" s="300"/>
      <c r="K93" s="300"/>
      <c r="L93" s="300"/>
      <c r="M93" s="300"/>
      <c r="N93" s="300"/>
      <c r="O93" s="300"/>
      <c r="P93" s="300"/>
      <c r="Q93" s="300"/>
      <c r="R93" s="133"/>
      <c r="S93" s="133"/>
      <c r="T93" s="133"/>
      <c r="U93" s="133"/>
      <c r="V93" s="133"/>
      <c r="W93" s="133"/>
      <c r="X93" s="133"/>
      <c r="Y93" s="133"/>
      <c r="Z93" s="133"/>
      <c r="AJ93" s="297"/>
      <c r="AK93" s="297"/>
      <c r="AL93" s="297"/>
      <c r="AM93" s="297"/>
      <c r="AN93" s="297"/>
    </row>
    <row r="94" spans="1:40" hidden="1" x14ac:dyDescent="0.25">
      <c r="A94" s="300"/>
      <c r="B94" s="321"/>
      <c r="C94" s="230"/>
      <c r="D94" s="296" t="s">
        <v>857</v>
      </c>
      <c r="E94" s="190" t="e">
        <f>E93-$D$93</f>
        <v>#REF!</v>
      </c>
      <c r="F94" s="190" t="e">
        <f>F93-$D$93</f>
        <v>#REF!</v>
      </c>
      <c r="G94" s="190" t="e">
        <f>G93-$D$93</f>
        <v>#REF!</v>
      </c>
      <c r="H94" s="190" t="e">
        <f>H93-$D$93</f>
        <v>#REF!</v>
      </c>
      <c r="I94" s="190" t="e">
        <f>I93-$D$93</f>
        <v>#REF!</v>
      </c>
      <c r="J94" s="300"/>
      <c r="K94" s="300"/>
      <c r="L94" s="300"/>
      <c r="M94" s="300"/>
      <c r="N94" s="300"/>
      <c r="O94" s="300"/>
      <c r="P94" s="300"/>
      <c r="Q94" s="300"/>
      <c r="R94" s="133"/>
      <c r="S94" s="133"/>
      <c r="T94" s="133"/>
      <c r="U94" s="133"/>
      <c r="V94" s="133"/>
      <c r="W94" s="133"/>
      <c r="X94" s="133"/>
      <c r="Y94" s="133"/>
      <c r="Z94" s="133"/>
      <c r="AJ94" s="297"/>
      <c r="AK94" s="297"/>
      <c r="AL94" s="297"/>
      <c r="AM94" s="297"/>
      <c r="AN94" s="297"/>
    </row>
    <row r="95" spans="1:40" hidden="1" x14ac:dyDescent="0.25">
      <c r="A95" s="300"/>
      <c r="B95" s="343"/>
      <c r="C95" s="419"/>
      <c r="D95" s="226"/>
      <c r="E95" s="226"/>
      <c r="F95" s="226"/>
      <c r="G95" s="226"/>
      <c r="H95" s="326"/>
      <c r="I95" s="326"/>
      <c r="J95" s="300"/>
      <c r="K95" s="300"/>
      <c r="L95" s="300"/>
      <c r="M95" s="300"/>
      <c r="N95" s="300"/>
      <c r="O95" s="300"/>
      <c r="P95" s="300"/>
      <c r="Q95" s="300"/>
      <c r="R95" s="133"/>
      <c r="S95" s="133"/>
      <c r="T95" s="133"/>
      <c r="U95" s="133"/>
      <c r="V95" s="133"/>
      <c r="W95" s="133"/>
      <c r="X95" s="133"/>
      <c r="Y95" s="133"/>
      <c r="Z95" s="133"/>
      <c r="AJ95" s="297"/>
      <c r="AK95" s="297"/>
      <c r="AL95" s="297"/>
      <c r="AM95" s="297"/>
      <c r="AN95" s="297"/>
    </row>
    <row r="96" spans="1:40" hidden="1" x14ac:dyDescent="0.25">
      <c r="A96" s="300"/>
      <c r="B96" s="418" t="s">
        <v>906</v>
      </c>
      <c r="C96" s="419"/>
      <c r="D96" s="419"/>
      <c r="E96" s="419"/>
      <c r="F96" s="419"/>
      <c r="G96" s="419"/>
      <c r="H96" s="419"/>
      <c r="I96" s="225"/>
      <c r="J96" s="300"/>
      <c r="K96" s="300"/>
      <c r="L96" s="300"/>
      <c r="M96" s="300"/>
      <c r="N96" s="300"/>
      <c r="O96" s="300"/>
      <c r="P96" s="300"/>
      <c r="Q96" s="300"/>
      <c r="R96" s="133"/>
      <c r="S96" s="133"/>
      <c r="T96" s="133"/>
      <c r="U96" s="133"/>
      <c r="V96" s="133"/>
      <c r="W96" s="133"/>
      <c r="X96" s="133"/>
      <c r="Y96" s="133"/>
      <c r="Z96" s="133"/>
      <c r="AJ96" s="297"/>
      <c r="AK96" s="297"/>
      <c r="AL96" s="297"/>
      <c r="AM96" s="297"/>
      <c r="AN96" s="297"/>
    </row>
    <row r="97" spans="1:40" ht="75" hidden="1" x14ac:dyDescent="0.25">
      <c r="A97" s="300"/>
      <c r="B97" s="290" t="s">
        <v>799</v>
      </c>
      <c r="C97" s="168" t="s">
        <v>907</v>
      </c>
      <c r="D97" s="449" t="s">
        <v>872</v>
      </c>
      <c r="E97" s="266" t="s">
        <v>694</v>
      </c>
      <c r="F97" s="266" t="s">
        <v>695</v>
      </c>
      <c r="G97" s="167" t="s">
        <v>828</v>
      </c>
      <c r="H97" s="167" t="s">
        <v>829</v>
      </c>
      <c r="I97" s="266" t="s">
        <v>830</v>
      </c>
      <c r="J97" s="300"/>
      <c r="K97" s="300"/>
      <c r="L97" s="300"/>
      <c r="M97" s="300"/>
      <c r="N97" s="300"/>
      <c r="O97" s="300"/>
      <c r="P97" s="300"/>
      <c r="Q97" s="300"/>
      <c r="R97" s="133"/>
      <c r="S97" s="133"/>
      <c r="T97" s="133"/>
      <c r="U97" s="133"/>
      <c r="V97" s="133"/>
      <c r="W97" s="133"/>
      <c r="X97" s="133"/>
      <c r="Y97" s="133"/>
      <c r="Z97" s="133"/>
      <c r="AJ97" s="297"/>
      <c r="AK97" s="297"/>
      <c r="AL97" s="297"/>
      <c r="AM97" s="297"/>
      <c r="AN97" s="297"/>
    </row>
    <row r="98" spans="1:40" hidden="1" x14ac:dyDescent="0.25">
      <c r="A98" s="300"/>
      <c r="B98" s="367"/>
      <c r="C98" s="149">
        <f>'Inputs and eligible population'!F81</f>
        <v>0</v>
      </c>
      <c r="D98" s="128">
        <f>D$7*'Inputs and eligible population'!E60*'Inputs and eligible population'!$D50*'Capacity (local prices)'!$C98</f>
        <v>0</v>
      </c>
      <c r="E98" s="128">
        <f>E$7*'Inputs and eligible population'!F60*'Inputs and eligible population'!$D50*'Capacity (local prices)'!$C98</f>
        <v>0</v>
      </c>
      <c r="F98" s="128">
        <f>F$7*'Inputs and eligible population'!G60*'Inputs and eligible population'!$D50*'Capacity (local prices)'!$C98</f>
        <v>0</v>
      </c>
      <c r="G98" s="128">
        <f>G$7*'Inputs and eligible population'!H60*'Inputs and eligible population'!$D50*'Capacity (local prices)'!$C98</f>
        <v>0</v>
      </c>
      <c r="H98" s="128">
        <f>H$7*'Inputs and eligible population'!I60*'Inputs and eligible population'!$D50*'Capacity (local prices)'!$C98</f>
        <v>0</v>
      </c>
      <c r="I98" s="128">
        <f>I$7*'Inputs and eligible population'!J60*'Inputs and eligible population'!$D50*'Capacity (local prices)'!$C98</f>
        <v>0</v>
      </c>
      <c r="J98" s="300"/>
      <c r="K98" s="300"/>
      <c r="L98" s="226"/>
      <c r="M98" s="226"/>
      <c r="N98" s="300"/>
      <c r="O98" s="226"/>
      <c r="P98" s="226"/>
      <c r="Q98" s="226"/>
      <c r="R98" s="133"/>
      <c r="S98" s="133"/>
      <c r="T98" s="133"/>
      <c r="U98" s="133"/>
      <c r="V98" s="133"/>
      <c r="W98" s="133"/>
      <c r="X98" s="133"/>
      <c r="Y98" s="133"/>
      <c r="Z98" s="133"/>
      <c r="AJ98" s="297"/>
      <c r="AK98" s="297"/>
      <c r="AL98" s="297"/>
      <c r="AM98" s="297"/>
      <c r="AN98" s="297"/>
    </row>
    <row r="99" spans="1:40" hidden="1" x14ac:dyDescent="0.25">
      <c r="A99" s="300"/>
      <c r="B99" s="367"/>
      <c r="C99" s="149">
        <f>'Inputs and eligible population'!G81</f>
        <v>0</v>
      </c>
      <c r="D99" s="128" t="e">
        <f>D$7*'Inputs and eligible population'!E62*'Inputs and eligible population'!#REF!*'Capacity (local prices)'!$C99</f>
        <v>#REF!</v>
      </c>
      <c r="E99" s="128" t="e">
        <f>E$7*'Inputs and eligible population'!F62*'Inputs and eligible population'!#REF!*'Capacity (local prices)'!$C99</f>
        <v>#REF!</v>
      </c>
      <c r="F99" s="128" t="e">
        <f>F$7*'Inputs and eligible population'!G62*'Inputs and eligible population'!#REF!*'Capacity (local prices)'!$C99</f>
        <v>#REF!</v>
      </c>
      <c r="G99" s="128" t="e">
        <f>G$7*'Inputs and eligible population'!H62*'Inputs and eligible population'!#REF!*'Capacity (local prices)'!$C99</f>
        <v>#REF!</v>
      </c>
      <c r="H99" s="128" t="e">
        <f>H$7*'Inputs and eligible population'!I62*'Inputs and eligible population'!#REF!*'Capacity (local prices)'!$C99</f>
        <v>#REF!</v>
      </c>
      <c r="I99" s="128" t="e">
        <f>I$7*'Inputs and eligible population'!J62*'Inputs and eligible population'!#REF!*'Capacity (local prices)'!$C99</f>
        <v>#REF!</v>
      </c>
      <c r="J99" s="300"/>
      <c r="K99" s="300"/>
      <c r="L99" s="226"/>
      <c r="M99" s="226"/>
      <c r="N99" s="300"/>
      <c r="O99" s="226"/>
      <c r="P99" s="226"/>
      <c r="Q99" s="226"/>
      <c r="R99" s="133"/>
      <c r="S99" s="133"/>
      <c r="T99" s="133"/>
      <c r="U99" s="133"/>
      <c r="V99" s="133"/>
      <c r="W99" s="133"/>
      <c r="X99" s="133"/>
      <c r="Y99" s="133"/>
      <c r="Z99" s="133"/>
      <c r="AJ99" s="297"/>
      <c r="AK99" s="297"/>
      <c r="AL99" s="297"/>
      <c r="AM99" s="297"/>
      <c r="AN99" s="297"/>
    </row>
    <row r="100" spans="1:40" hidden="1" x14ac:dyDescent="0.25">
      <c r="A100" s="300"/>
      <c r="B100" s="367"/>
      <c r="C100" s="149">
        <f>'Inputs and eligible population'!H81</f>
        <v>0</v>
      </c>
      <c r="D100" s="128" t="e">
        <f>D$7*'Inputs and eligible population'!#REF!*'Inputs and eligible population'!#REF!*'Capacity (local prices)'!$C100</f>
        <v>#REF!</v>
      </c>
      <c r="E100" s="128" t="e">
        <f>E$7*'Inputs and eligible population'!#REF!*'Inputs and eligible population'!#REF!*'Capacity (local prices)'!$C100</f>
        <v>#REF!</v>
      </c>
      <c r="F100" s="128" t="e">
        <f>F$7*'Inputs and eligible population'!#REF!*'Inputs and eligible population'!#REF!*'Capacity (local prices)'!$C100</f>
        <v>#REF!</v>
      </c>
      <c r="G100" s="128" t="e">
        <f>G$7*'Inputs and eligible population'!#REF!*'Inputs and eligible population'!#REF!*'Capacity (local prices)'!$C100</f>
        <v>#REF!</v>
      </c>
      <c r="H100" s="128" t="e">
        <f>H$7*'Inputs and eligible population'!#REF!*'Inputs and eligible population'!#REF!*'Capacity (local prices)'!$C100</f>
        <v>#REF!</v>
      </c>
      <c r="I100" s="128" t="e">
        <f>I$7*'Inputs and eligible population'!#REF!*'Inputs and eligible population'!#REF!*'Capacity (local prices)'!$C100</f>
        <v>#REF!</v>
      </c>
      <c r="J100" s="300"/>
      <c r="K100" s="300"/>
      <c r="L100" s="226"/>
      <c r="M100" s="226"/>
      <c r="N100" s="300"/>
      <c r="O100" s="226"/>
      <c r="P100" s="226"/>
      <c r="Q100" s="226"/>
      <c r="R100" s="133"/>
      <c r="S100" s="133"/>
      <c r="T100" s="133"/>
      <c r="U100" s="133"/>
      <c r="V100" s="133"/>
      <c r="W100" s="133"/>
      <c r="X100" s="133"/>
      <c r="Y100" s="133"/>
      <c r="Z100" s="133"/>
      <c r="AJ100" s="297"/>
      <c r="AK100" s="297"/>
      <c r="AL100" s="297"/>
      <c r="AM100" s="297"/>
      <c r="AN100" s="297"/>
    </row>
    <row r="101" spans="1:40" hidden="1" x14ac:dyDescent="0.25">
      <c r="A101" s="300"/>
      <c r="B101" s="294"/>
      <c r="C101" s="212"/>
      <c r="D101" s="190" t="e">
        <f t="shared" ref="D101:I101" si="67">SUM(D98:D100)</f>
        <v>#REF!</v>
      </c>
      <c r="E101" s="190" t="e">
        <f t="shared" si="67"/>
        <v>#REF!</v>
      </c>
      <c r="F101" s="190" t="e">
        <f t="shared" si="67"/>
        <v>#REF!</v>
      </c>
      <c r="G101" s="190" t="e">
        <f t="shared" si="67"/>
        <v>#REF!</v>
      </c>
      <c r="H101" s="190" t="e">
        <f t="shared" si="67"/>
        <v>#REF!</v>
      </c>
      <c r="I101" s="190" t="e">
        <f t="shared" si="67"/>
        <v>#REF!</v>
      </c>
      <c r="J101" s="300"/>
      <c r="K101" s="300"/>
      <c r="L101" s="226"/>
      <c r="M101" s="226"/>
      <c r="N101" s="300"/>
      <c r="O101" s="226"/>
      <c r="P101" s="226"/>
      <c r="Q101" s="226"/>
      <c r="V101" s="133"/>
    </row>
    <row r="102" spans="1:40" hidden="1" x14ac:dyDescent="0.25">
      <c r="A102" s="300"/>
      <c r="B102" s="321"/>
      <c r="C102" s="230"/>
      <c r="D102" s="296" t="s">
        <v>858</v>
      </c>
      <c r="E102" s="190" t="e">
        <f>E101-$D$101</f>
        <v>#REF!</v>
      </c>
      <c r="F102" s="190" t="e">
        <f>F101-$D$101</f>
        <v>#REF!</v>
      </c>
      <c r="G102" s="190" t="e">
        <f>G101-$D$101</f>
        <v>#REF!</v>
      </c>
      <c r="H102" s="190" t="e">
        <f>H101-$D$101</f>
        <v>#REF!</v>
      </c>
      <c r="I102" s="190" t="e">
        <f>I101-$D$101</f>
        <v>#REF!</v>
      </c>
      <c r="J102" s="300"/>
      <c r="K102" s="300"/>
      <c r="L102" s="226"/>
      <c r="M102" s="226"/>
      <c r="N102" s="300"/>
      <c r="O102" s="226"/>
      <c r="P102" s="226"/>
      <c r="Q102" s="226"/>
      <c r="V102" s="133"/>
    </row>
    <row r="103" spans="1:40" hidden="1" x14ac:dyDescent="0.25">
      <c r="A103" s="300"/>
      <c r="B103" s="343"/>
      <c r="C103" s="419"/>
      <c r="D103" s="226"/>
      <c r="E103" s="226"/>
      <c r="F103" s="226"/>
      <c r="G103" s="226"/>
      <c r="H103" s="326"/>
      <c r="I103" s="326"/>
      <c r="J103" s="300"/>
      <c r="K103" s="300"/>
      <c r="L103" s="226"/>
      <c r="M103" s="226"/>
      <c r="N103" s="300"/>
      <c r="O103" s="226"/>
      <c r="P103" s="226"/>
      <c r="Q103" s="226"/>
      <c r="V103" s="133"/>
    </row>
    <row r="104" spans="1:40" hidden="1" x14ac:dyDescent="0.25">
      <c r="A104" s="300"/>
      <c r="B104" s="418" t="s">
        <v>908</v>
      </c>
      <c r="C104" s="419"/>
      <c r="D104" s="419"/>
      <c r="E104" s="419"/>
      <c r="F104" s="419"/>
      <c r="G104" s="419"/>
      <c r="H104" s="419"/>
      <c r="I104" s="225"/>
      <c r="J104" s="300"/>
      <c r="K104" s="300"/>
      <c r="L104" s="300"/>
      <c r="M104" s="300"/>
      <c r="N104" s="300"/>
      <c r="O104" s="300"/>
      <c r="P104" s="300"/>
      <c r="Q104" s="300"/>
      <c r="V104" s="133"/>
    </row>
    <row r="105" spans="1:40" ht="75" hidden="1" x14ac:dyDescent="0.25">
      <c r="A105" s="300"/>
      <c r="B105" s="290" t="s">
        <v>799</v>
      </c>
      <c r="C105" s="168" t="s">
        <v>909</v>
      </c>
      <c r="D105" s="449" t="s">
        <v>872</v>
      </c>
      <c r="E105" s="266" t="s">
        <v>694</v>
      </c>
      <c r="F105" s="266" t="s">
        <v>695</v>
      </c>
      <c r="G105" s="167" t="s">
        <v>828</v>
      </c>
      <c r="H105" s="167" t="s">
        <v>829</v>
      </c>
      <c r="I105" s="266" t="s">
        <v>830</v>
      </c>
      <c r="J105" s="300"/>
      <c r="K105" s="624" t="s">
        <v>801</v>
      </c>
      <c r="L105" s="449" t="s">
        <v>872</v>
      </c>
      <c r="M105" s="266" t="s">
        <v>694</v>
      </c>
      <c r="N105" s="266" t="s">
        <v>695</v>
      </c>
      <c r="O105" s="167" t="s">
        <v>828</v>
      </c>
      <c r="P105" s="167" t="s">
        <v>829</v>
      </c>
      <c r="Q105" s="266" t="s">
        <v>830</v>
      </c>
      <c r="V105" s="133"/>
    </row>
    <row r="106" spans="1:40" hidden="1" x14ac:dyDescent="0.25">
      <c r="A106" s="300"/>
      <c r="B106" s="367"/>
      <c r="C106" s="149">
        <f>'Inputs and eligible population'!F82</f>
        <v>0</v>
      </c>
      <c r="D106" s="128">
        <f>(D$7*'Inputs and eligible population'!E60*'Inputs and eligible population'!$D50*'Capacity (local prices)'!$C106)/60</f>
        <v>0</v>
      </c>
      <c r="E106" s="128">
        <f>(E$7*'Inputs and eligible population'!F60*'Inputs and eligible population'!$D50*'Capacity (local prices)'!$C106)/60</f>
        <v>0</v>
      </c>
      <c r="F106" s="128">
        <f>(F$7*'Inputs and eligible population'!G60*'Inputs and eligible population'!$D50*'Capacity (local prices)'!$C106)/60</f>
        <v>0</v>
      </c>
      <c r="G106" s="128">
        <f>(G$7*'Inputs and eligible population'!H60*'Inputs and eligible population'!$D50*'Capacity (local prices)'!$C106)/60</f>
        <v>0</v>
      </c>
      <c r="H106" s="128">
        <f>(H$7*'Inputs and eligible population'!I60*'Inputs and eligible population'!$D50*'Capacity (local prices)'!$C106)/60</f>
        <v>0</v>
      </c>
      <c r="I106" s="128">
        <f>(I$7*'Inputs and eligible population'!J60*'Inputs and eligible population'!$D50*'Capacity (local prices)'!$C106)/60</f>
        <v>0</v>
      </c>
      <c r="J106" s="300"/>
      <c r="K106" s="639">
        <f>'Inputs and eligible population'!K82</f>
        <v>38.99</v>
      </c>
      <c r="L106" s="304">
        <f>(D106*$K106)/1000</f>
        <v>0</v>
      </c>
      <c r="M106" s="304">
        <f t="shared" ref="M106:Q108" si="68">(E106*$K106)/1000</f>
        <v>0</v>
      </c>
      <c r="N106" s="304">
        <f t="shared" si="68"/>
        <v>0</v>
      </c>
      <c r="O106" s="304">
        <f t="shared" si="68"/>
        <v>0</v>
      </c>
      <c r="P106" s="304">
        <f t="shared" si="68"/>
        <v>0</v>
      </c>
      <c r="Q106" s="304">
        <f t="shared" si="68"/>
        <v>0</v>
      </c>
      <c r="V106" s="133"/>
    </row>
    <row r="107" spans="1:40" hidden="1" x14ac:dyDescent="0.25">
      <c r="A107" s="300"/>
      <c r="B107" s="367"/>
      <c r="C107" s="149">
        <f>'Inputs and eligible population'!G82</f>
        <v>0</v>
      </c>
      <c r="D107" s="128" t="e">
        <f>(D$7*'Inputs and eligible population'!E62*'Inputs and eligible population'!#REF!*'Capacity (local prices)'!$C107)/60</f>
        <v>#REF!</v>
      </c>
      <c r="E107" s="128" t="e">
        <f>(E$7*'Inputs and eligible population'!F62*'Inputs and eligible population'!#REF!*'Capacity (local prices)'!$C107)/60</f>
        <v>#REF!</v>
      </c>
      <c r="F107" s="128" t="e">
        <f>(F$7*'Inputs and eligible population'!G62*'Inputs and eligible population'!#REF!*'Capacity (local prices)'!$C107)/60</f>
        <v>#REF!</v>
      </c>
      <c r="G107" s="128" t="e">
        <f>(G$7*'Inputs and eligible population'!H62*'Inputs and eligible population'!#REF!*'Capacity (local prices)'!$C107)/60</f>
        <v>#REF!</v>
      </c>
      <c r="H107" s="128" t="e">
        <f>(H$7*'Inputs and eligible population'!I62*'Inputs and eligible population'!#REF!*'Capacity (local prices)'!$C107)/60</f>
        <v>#REF!</v>
      </c>
      <c r="I107" s="128" t="e">
        <f>(I$7*'Inputs and eligible population'!J62*'Inputs and eligible population'!#REF!*'Capacity (local prices)'!$C107)/60</f>
        <v>#REF!</v>
      </c>
      <c r="J107" s="300"/>
      <c r="K107" s="639">
        <f>'Inputs and eligible population'!K82</f>
        <v>38.99</v>
      </c>
      <c r="L107" s="304" t="e">
        <f>(D107*$K107)/1000</f>
        <v>#REF!</v>
      </c>
      <c r="M107" s="304" t="e">
        <f t="shared" si="68"/>
        <v>#REF!</v>
      </c>
      <c r="N107" s="304" t="e">
        <f t="shared" si="68"/>
        <v>#REF!</v>
      </c>
      <c r="O107" s="304" t="e">
        <f t="shared" si="68"/>
        <v>#REF!</v>
      </c>
      <c r="P107" s="304" t="e">
        <f t="shared" si="68"/>
        <v>#REF!</v>
      </c>
      <c r="Q107" s="304" t="e">
        <f t="shared" si="68"/>
        <v>#REF!</v>
      </c>
      <c r="V107" s="133"/>
    </row>
    <row r="108" spans="1:40" hidden="1" x14ac:dyDescent="0.25">
      <c r="A108" s="300"/>
      <c r="B108" s="367"/>
      <c r="C108" s="149">
        <f>'Inputs and eligible population'!H82</f>
        <v>0</v>
      </c>
      <c r="D108" s="128" t="e">
        <f>(D$7*'Inputs and eligible population'!#REF!*'Inputs and eligible population'!#REF!*'Capacity (local prices)'!$C108)/60</f>
        <v>#REF!</v>
      </c>
      <c r="E108" s="128" t="e">
        <f>(E$7*'Inputs and eligible population'!#REF!*'Inputs and eligible population'!#REF!*'Capacity (local prices)'!$C108)/60</f>
        <v>#REF!</v>
      </c>
      <c r="F108" s="128" t="e">
        <f>(F$7*'Inputs and eligible population'!#REF!*'Inputs and eligible population'!#REF!*'Capacity (local prices)'!$C108)/60</f>
        <v>#REF!</v>
      </c>
      <c r="G108" s="128" t="e">
        <f>(G$7*'Inputs and eligible population'!#REF!*'Inputs and eligible population'!#REF!*'Capacity (local prices)'!$C108)/60</f>
        <v>#REF!</v>
      </c>
      <c r="H108" s="128" t="e">
        <f>(H$7*'Inputs and eligible population'!#REF!*'Inputs and eligible population'!#REF!*'Capacity (local prices)'!$C108)/60</f>
        <v>#REF!</v>
      </c>
      <c r="I108" s="128" t="e">
        <f>(I$7*'Inputs and eligible population'!#REF!*'Inputs and eligible population'!#REF!*'Capacity (local prices)'!$C108)/60</f>
        <v>#REF!</v>
      </c>
      <c r="J108" s="300"/>
      <c r="K108" s="639">
        <f>'Inputs and eligible population'!K82</f>
        <v>38.99</v>
      </c>
      <c r="L108" s="304" t="e">
        <f>(D108*$K108)/1000</f>
        <v>#REF!</v>
      </c>
      <c r="M108" s="304" t="e">
        <f t="shared" si="68"/>
        <v>#REF!</v>
      </c>
      <c r="N108" s="304" t="e">
        <f t="shared" si="68"/>
        <v>#REF!</v>
      </c>
      <c r="O108" s="304" t="e">
        <f t="shared" si="68"/>
        <v>#REF!</v>
      </c>
      <c r="P108" s="304" t="e">
        <f t="shared" si="68"/>
        <v>#REF!</v>
      </c>
      <c r="Q108" s="304" t="e">
        <f t="shared" si="68"/>
        <v>#REF!</v>
      </c>
      <c r="V108" s="133"/>
    </row>
    <row r="109" spans="1:40" hidden="1" x14ac:dyDescent="0.25">
      <c r="A109" s="300"/>
      <c r="B109" s="294"/>
      <c r="C109" s="212"/>
      <c r="D109" s="190" t="e">
        <f t="shared" ref="D109:I109" si="69">SUM(D106:D108)</f>
        <v>#REF!</v>
      </c>
      <c r="E109" s="190" t="e">
        <f t="shared" si="69"/>
        <v>#REF!</v>
      </c>
      <c r="F109" s="190" t="e">
        <f t="shared" si="69"/>
        <v>#REF!</v>
      </c>
      <c r="G109" s="190" t="e">
        <f t="shared" si="69"/>
        <v>#REF!</v>
      </c>
      <c r="H109" s="190" t="e">
        <f t="shared" si="69"/>
        <v>#REF!</v>
      </c>
      <c r="I109" s="190" t="e">
        <f t="shared" si="69"/>
        <v>#REF!</v>
      </c>
      <c r="J109" s="300"/>
      <c r="K109" s="300"/>
      <c r="L109" s="305" t="e">
        <f>SUM(L106:L108)</f>
        <v>#REF!</v>
      </c>
      <c r="M109" s="305" t="e">
        <f t="shared" ref="M109" si="70">SUM(M106:M108)</f>
        <v>#REF!</v>
      </c>
      <c r="N109" s="305" t="e">
        <f t="shared" ref="N109" si="71">SUM(N106:N108)</f>
        <v>#REF!</v>
      </c>
      <c r="O109" s="305" t="e">
        <f t="shared" ref="O109" si="72">SUM(O106:O108)</f>
        <v>#REF!</v>
      </c>
      <c r="P109" s="305" t="e">
        <f t="shared" ref="P109" si="73">SUM(P106:P108)</f>
        <v>#REF!</v>
      </c>
      <c r="Q109" s="305" t="e">
        <f t="shared" ref="Q109" si="74">SUM(Q106:Q108)</f>
        <v>#REF!</v>
      </c>
      <c r="V109" s="133"/>
    </row>
    <row r="110" spans="1:40" hidden="1" x14ac:dyDescent="0.25">
      <c r="A110" s="300"/>
      <c r="B110" s="321"/>
      <c r="C110" s="230"/>
      <c r="D110" s="296" t="s">
        <v>859</v>
      </c>
      <c r="E110" s="190" t="e">
        <f>E109-$D$109</f>
        <v>#REF!</v>
      </c>
      <c r="F110" s="190" t="e">
        <f>F109-$D$109</f>
        <v>#REF!</v>
      </c>
      <c r="G110" s="190" t="e">
        <f>G109-$D$109</f>
        <v>#REF!</v>
      </c>
      <c r="H110" s="190" t="e">
        <f>H109-$D$109</f>
        <v>#REF!</v>
      </c>
      <c r="I110" s="190" t="e">
        <f>I109-$D$109</f>
        <v>#REF!</v>
      </c>
      <c r="J110" s="300"/>
      <c r="K110" s="300"/>
      <c r="L110" s="602"/>
      <c r="M110" s="305" t="e">
        <f>M109-$L$109</f>
        <v>#REF!</v>
      </c>
      <c r="N110" s="305" t="e">
        <f t="shared" ref="N110:Q110" si="75">N109-$L$109</f>
        <v>#REF!</v>
      </c>
      <c r="O110" s="305" t="e">
        <f t="shared" si="75"/>
        <v>#REF!</v>
      </c>
      <c r="P110" s="305" t="e">
        <f t="shared" si="75"/>
        <v>#REF!</v>
      </c>
      <c r="Q110" s="305" t="e">
        <f t="shared" si="75"/>
        <v>#REF!</v>
      </c>
      <c r="V110" s="133"/>
    </row>
    <row r="111" spans="1:40" hidden="1" x14ac:dyDescent="0.25">
      <c r="A111" s="300"/>
      <c r="B111" s="343"/>
      <c r="C111" s="419"/>
      <c r="D111" s="226"/>
      <c r="E111" s="226"/>
      <c r="F111" s="226"/>
      <c r="G111" s="226"/>
      <c r="H111" s="326"/>
      <c r="I111" s="326"/>
      <c r="J111" s="300"/>
      <c r="K111" s="300"/>
      <c r="L111" s="226"/>
      <c r="M111" s="226"/>
      <c r="N111" s="300"/>
      <c r="O111" s="226"/>
      <c r="P111" s="226"/>
      <c r="Q111" s="226"/>
      <c r="V111" s="133"/>
    </row>
    <row r="112" spans="1:40" hidden="1" x14ac:dyDescent="0.25">
      <c r="A112" s="300"/>
      <c r="B112" s="418" t="s">
        <v>910</v>
      </c>
      <c r="C112" s="419"/>
      <c r="D112" s="419"/>
      <c r="E112" s="419"/>
      <c r="F112" s="419"/>
      <c r="G112" s="419"/>
      <c r="H112" s="419"/>
      <c r="I112" s="225"/>
      <c r="J112" s="300"/>
      <c r="K112" s="300"/>
      <c r="L112" s="300"/>
      <c r="M112" s="300"/>
      <c r="N112" s="300"/>
      <c r="O112" s="300"/>
      <c r="P112" s="300"/>
      <c r="Q112" s="300"/>
      <c r="V112" s="133"/>
    </row>
    <row r="113" spans="1:40" ht="75" hidden="1" x14ac:dyDescent="0.25">
      <c r="A113" s="300"/>
      <c r="B113" s="290" t="s">
        <v>799</v>
      </c>
      <c r="C113" s="168" t="s">
        <v>911</v>
      </c>
      <c r="D113" s="449" t="s">
        <v>872</v>
      </c>
      <c r="E113" s="266" t="s">
        <v>694</v>
      </c>
      <c r="F113" s="266" t="s">
        <v>695</v>
      </c>
      <c r="G113" s="167" t="s">
        <v>828</v>
      </c>
      <c r="H113" s="167" t="s">
        <v>829</v>
      </c>
      <c r="I113" s="266" t="s">
        <v>830</v>
      </c>
      <c r="J113" s="300"/>
      <c r="K113" s="624" t="s">
        <v>801</v>
      </c>
      <c r="L113" s="449" t="s">
        <v>872</v>
      </c>
      <c r="M113" s="266" t="s">
        <v>694</v>
      </c>
      <c r="N113" s="266" t="s">
        <v>695</v>
      </c>
      <c r="O113" s="167" t="s">
        <v>828</v>
      </c>
      <c r="P113" s="167" t="s">
        <v>829</v>
      </c>
      <c r="Q113" s="266" t="s">
        <v>830</v>
      </c>
      <c r="V113" s="133"/>
    </row>
    <row r="114" spans="1:40" hidden="1" x14ac:dyDescent="0.25">
      <c r="A114" s="300"/>
      <c r="B114" s="367"/>
      <c r="C114" s="149">
        <f>'Inputs and eligible population'!F83</f>
        <v>0</v>
      </c>
      <c r="D114" s="128">
        <f>(D$7*'Inputs and eligible population'!E60*'Inputs and eligible population'!$D50*'Capacity (local prices)'!$C114)/60</f>
        <v>0</v>
      </c>
      <c r="E114" s="128">
        <f>(E$7*'Inputs and eligible population'!F60*'Inputs and eligible population'!$D50*'Capacity (local prices)'!$C114)/60</f>
        <v>0</v>
      </c>
      <c r="F114" s="128">
        <f>(F$7*'Inputs and eligible population'!G60*'Inputs and eligible population'!$D50*'Capacity (local prices)'!$C114)/60</f>
        <v>0</v>
      </c>
      <c r="G114" s="128">
        <f>(G$7*'Inputs and eligible population'!H60*'Inputs and eligible population'!$D50*'Capacity (local prices)'!$C114)/60</f>
        <v>0</v>
      </c>
      <c r="H114" s="128">
        <f>(H$7*'Inputs and eligible population'!I60*'Inputs and eligible population'!$D50*'Capacity (local prices)'!$C114)/60</f>
        <v>0</v>
      </c>
      <c r="I114" s="128">
        <f>(I$7*'Inputs and eligible population'!J60*'Inputs and eligible population'!$D50*'Capacity (local prices)'!$C114)/60</f>
        <v>0</v>
      </c>
      <c r="J114" s="300"/>
      <c r="K114" s="639">
        <f>'Inputs and eligible population'!K83</f>
        <v>38.99</v>
      </c>
      <c r="L114" s="304">
        <f>(D114*$K114)/1000</f>
        <v>0</v>
      </c>
      <c r="M114" s="304">
        <f t="shared" ref="M114:Q116" si="76">(E114*$K114)/1000</f>
        <v>0</v>
      </c>
      <c r="N114" s="304">
        <f t="shared" si="76"/>
        <v>0</v>
      </c>
      <c r="O114" s="304">
        <f t="shared" si="76"/>
        <v>0</v>
      </c>
      <c r="P114" s="304">
        <f t="shared" si="76"/>
        <v>0</v>
      </c>
      <c r="Q114" s="304">
        <f t="shared" si="76"/>
        <v>0</v>
      </c>
      <c r="V114" s="133"/>
    </row>
    <row r="115" spans="1:40" hidden="1" x14ac:dyDescent="0.25">
      <c r="A115" s="300"/>
      <c r="B115" s="367"/>
      <c r="C115" s="149">
        <f>'Inputs and eligible population'!G83</f>
        <v>0</v>
      </c>
      <c r="D115" s="128" t="e">
        <f>(D$7*'Inputs and eligible population'!E62*'Inputs and eligible population'!#REF!*'Capacity (local prices)'!$C115)/60</f>
        <v>#REF!</v>
      </c>
      <c r="E115" s="128" t="e">
        <f>(E$7*'Inputs and eligible population'!F62*'Inputs and eligible population'!#REF!*'Capacity (local prices)'!$C115)/60</f>
        <v>#REF!</v>
      </c>
      <c r="F115" s="128" t="e">
        <f>(F$7*'Inputs and eligible population'!G62*'Inputs and eligible population'!#REF!*'Capacity (local prices)'!$C115)/60</f>
        <v>#REF!</v>
      </c>
      <c r="G115" s="128" t="e">
        <f>(G$7*'Inputs and eligible population'!H62*'Inputs and eligible population'!#REF!*'Capacity (local prices)'!$C115)/60</f>
        <v>#REF!</v>
      </c>
      <c r="H115" s="128" t="e">
        <f>(H$7*'Inputs and eligible population'!I62*'Inputs and eligible population'!#REF!*'Capacity (local prices)'!$C115)/60</f>
        <v>#REF!</v>
      </c>
      <c r="I115" s="128" t="e">
        <f>(I$7*'Inputs and eligible population'!J62*'Inputs and eligible population'!#REF!*'Capacity (local prices)'!$C115)/60</f>
        <v>#REF!</v>
      </c>
      <c r="J115" s="300"/>
      <c r="K115" s="639">
        <f>'Inputs and eligible population'!K83</f>
        <v>38.99</v>
      </c>
      <c r="L115" s="304" t="e">
        <f t="shared" ref="L115:L116" si="77">(D115*$K115)/1000</f>
        <v>#REF!</v>
      </c>
      <c r="M115" s="304" t="e">
        <f t="shared" si="76"/>
        <v>#REF!</v>
      </c>
      <c r="N115" s="304" t="e">
        <f t="shared" si="76"/>
        <v>#REF!</v>
      </c>
      <c r="O115" s="304" t="e">
        <f t="shared" si="76"/>
        <v>#REF!</v>
      </c>
      <c r="P115" s="304" t="e">
        <f t="shared" si="76"/>
        <v>#REF!</v>
      </c>
      <c r="Q115" s="304" t="e">
        <f t="shared" si="76"/>
        <v>#REF!</v>
      </c>
      <c r="V115" s="133"/>
    </row>
    <row r="116" spans="1:40" hidden="1" x14ac:dyDescent="0.25">
      <c r="A116" s="300"/>
      <c r="B116" s="367"/>
      <c r="C116" s="149">
        <f>'Inputs and eligible population'!H83</f>
        <v>0</v>
      </c>
      <c r="D116" s="128" t="e">
        <f>(D$7*'Inputs and eligible population'!#REF!*'Inputs and eligible population'!#REF!*'Capacity (local prices)'!$C116)/60</f>
        <v>#REF!</v>
      </c>
      <c r="E116" s="128" t="e">
        <f>(E$7*'Inputs and eligible population'!#REF!*'Inputs and eligible population'!#REF!*'Capacity (local prices)'!$C116)/60</f>
        <v>#REF!</v>
      </c>
      <c r="F116" s="128" t="e">
        <f>(F$7*'Inputs and eligible population'!#REF!*'Inputs and eligible population'!#REF!*'Capacity (local prices)'!$C116)/60</f>
        <v>#REF!</v>
      </c>
      <c r="G116" s="128" t="e">
        <f>(G$7*'Inputs and eligible population'!#REF!*'Inputs and eligible population'!#REF!*'Capacity (local prices)'!$C116)/60</f>
        <v>#REF!</v>
      </c>
      <c r="H116" s="128" t="e">
        <f>(H$7*'Inputs and eligible population'!#REF!*'Inputs and eligible population'!#REF!*'Capacity (local prices)'!$C116)/60</f>
        <v>#REF!</v>
      </c>
      <c r="I116" s="128" t="e">
        <f>(I$7*'Inputs and eligible population'!#REF!*'Inputs and eligible population'!#REF!*'Capacity (local prices)'!$C116)/60</f>
        <v>#REF!</v>
      </c>
      <c r="J116" s="300"/>
      <c r="K116" s="639">
        <f>'Inputs and eligible population'!K83</f>
        <v>38.99</v>
      </c>
      <c r="L116" s="304" t="e">
        <f t="shared" si="77"/>
        <v>#REF!</v>
      </c>
      <c r="M116" s="304" t="e">
        <f t="shared" si="76"/>
        <v>#REF!</v>
      </c>
      <c r="N116" s="304" t="e">
        <f t="shared" si="76"/>
        <v>#REF!</v>
      </c>
      <c r="O116" s="304" t="e">
        <f t="shared" si="76"/>
        <v>#REF!</v>
      </c>
      <c r="P116" s="304" t="e">
        <f t="shared" si="76"/>
        <v>#REF!</v>
      </c>
      <c r="Q116" s="304" t="e">
        <f t="shared" si="76"/>
        <v>#REF!</v>
      </c>
      <c r="V116" s="133"/>
    </row>
    <row r="117" spans="1:40" hidden="1" x14ac:dyDescent="0.25">
      <c r="A117" s="300"/>
      <c r="B117" s="294"/>
      <c r="C117" s="212"/>
      <c r="D117" s="190" t="e">
        <f t="shared" ref="D117:I117" si="78">SUM(D114:D116)</f>
        <v>#REF!</v>
      </c>
      <c r="E117" s="190" t="e">
        <f t="shared" si="78"/>
        <v>#REF!</v>
      </c>
      <c r="F117" s="190" t="e">
        <f t="shared" si="78"/>
        <v>#REF!</v>
      </c>
      <c r="G117" s="190" t="e">
        <f t="shared" si="78"/>
        <v>#REF!</v>
      </c>
      <c r="H117" s="190" t="e">
        <f t="shared" si="78"/>
        <v>#REF!</v>
      </c>
      <c r="I117" s="190" t="e">
        <f t="shared" si="78"/>
        <v>#REF!</v>
      </c>
      <c r="J117" s="300"/>
      <c r="K117" s="300"/>
      <c r="L117" s="305" t="e">
        <f>SUM(L114:L116)</f>
        <v>#REF!</v>
      </c>
      <c r="M117" s="305" t="e">
        <f t="shared" ref="M117" si="79">SUM(M114:M116)</f>
        <v>#REF!</v>
      </c>
      <c r="N117" s="305" t="e">
        <f t="shared" ref="N117" si="80">SUM(N114:N116)</f>
        <v>#REF!</v>
      </c>
      <c r="O117" s="305" t="e">
        <f t="shared" ref="O117" si="81">SUM(O114:O116)</f>
        <v>#REF!</v>
      </c>
      <c r="P117" s="305" t="e">
        <f t="shared" ref="P117" si="82">SUM(P114:P116)</f>
        <v>#REF!</v>
      </c>
      <c r="Q117" s="305" t="e">
        <f t="shared" ref="Q117" si="83">SUM(Q114:Q116)</f>
        <v>#REF!</v>
      </c>
      <c r="V117" s="133"/>
    </row>
    <row r="118" spans="1:40" hidden="1" x14ac:dyDescent="0.25">
      <c r="A118" s="300"/>
      <c r="B118" s="321"/>
      <c r="C118" s="230"/>
      <c r="D118" s="296" t="s">
        <v>860</v>
      </c>
      <c r="E118" s="190" t="e">
        <f>E117-$D$117</f>
        <v>#REF!</v>
      </c>
      <c r="F118" s="190" t="e">
        <f>F117-$D$117</f>
        <v>#REF!</v>
      </c>
      <c r="G118" s="190" t="e">
        <f>G117-$D$117</f>
        <v>#REF!</v>
      </c>
      <c r="H118" s="190" t="e">
        <f>H117-$D$117</f>
        <v>#REF!</v>
      </c>
      <c r="I118" s="190" t="e">
        <f>I117-$D$117</f>
        <v>#REF!</v>
      </c>
      <c r="J118" s="300"/>
      <c r="K118" s="300"/>
      <c r="L118" s="602"/>
      <c r="M118" s="305" t="e">
        <f>M117-$L$117</f>
        <v>#REF!</v>
      </c>
      <c r="N118" s="305" t="e">
        <f t="shared" ref="N118:Q118" si="84">N117-$L$117</f>
        <v>#REF!</v>
      </c>
      <c r="O118" s="305" t="e">
        <f t="shared" si="84"/>
        <v>#REF!</v>
      </c>
      <c r="P118" s="305" t="e">
        <f t="shared" si="84"/>
        <v>#REF!</v>
      </c>
      <c r="Q118" s="305" t="e">
        <f t="shared" si="84"/>
        <v>#REF!</v>
      </c>
      <c r="V118" s="133"/>
    </row>
    <row r="119" spans="1:40" hidden="1" x14ac:dyDescent="0.25">
      <c r="A119" s="300"/>
      <c r="B119" s="343"/>
      <c r="C119" s="419"/>
      <c r="D119" s="226"/>
      <c r="E119" s="226"/>
      <c r="F119" s="226"/>
      <c r="G119" s="226"/>
      <c r="H119" s="326"/>
      <c r="I119" s="326"/>
      <c r="J119" s="300"/>
      <c r="K119" s="300"/>
      <c r="L119" s="226"/>
      <c r="M119" s="226"/>
      <c r="N119" s="300"/>
      <c r="O119" s="226"/>
      <c r="P119" s="226"/>
      <c r="Q119" s="226"/>
      <c r="V119" s="133"/>
    </row>
    <row r="120" spans="1:40" hidden="1" x14ac:dyDescent="0.25">
      <c r="A120" s="300"/>
      <c r="B120" s="418" t="s">
        <v>912</v>
      </c>
      <c r="C120" s="419"/>
      <c r="D120" s="419"/>
      <c r="E120" s="419"/>
      <c r="F120" s="419"/>
      <c r="G120" s="419"/>
      <c r="H120" s="419"/>
      <c r="I120" s="225"/>
      <c r="J120" s="300"/>
      <c r="K120" s="300"/>
      <c r="L120" s="300"/>
      <c r="M120" s="300"/>
      <c r="N120" s="300"/>
      <c r="O120" s="300"/>
      <c r="P120" s="300"/>
      <c r="Q120" s="300"/>
      <c r="V120" s="133"/>
    </row>
    <row r="121" spans="1:40" ht="45" hidden="1" x14ac:dyDescent="0.25">
      <c r="A121" s="300"/>
      <c r="B121" s="290" t="s">
        <v>799</v>
      </c>
      <c r="C121" s="168" t="s">
        <v>751</v>
      </c>
      <c r="D121" s="449" t="s">
        <v>872</v>
      </c>
      <c r="E121" s="266" t="s">
        <v>694</v>
      </c>
      <c r="F121" s="266" t="s">
        <v>695</v>
      </c>
      <c r="G121" s="167" t="s">
        <v>828</v>
      </c>
      <c r="H121" s="167" t="s">
        <v>829</v>
      </c>
      <c r="I121" s="266" t="s">
        <v>830</v>
      </c>
      <c r="J121" s="300"/>
      <c r="K121" s="624" t="s">
        <v>801</v>
      </c>
      <c r="L121" s="449" t="s">
        <v>872</v>
      </c>
      <c r="M121" s="266" t="s">
        <v>694</v>
      </c>
      <c r="N121" s="266" t="s">
        <v>695</v>
      </c>
      <c r="O121" s="167" t="s">
        <v>828</v>
      </c>
      <c r="P121" s="167" t="s">
        <v>829</v>
      </c>
      <c r="Q121" s="266" t="s">
        <v>830</v>
      </c>
      <c r="V121" s="133"/>
    </row>
    <row r="122" spans="1:40" hidden="1" x14ac:dyDescent="0.25">
      <c r="A122" s="300"/>
      <c r="B122" s="367"/>
      <c r="C122" s="149">
        <f>'Inputs and eligible population'!F84</f>
        <v>0</v>
      </c>
      <c r="D122" s="128">
        <f>($C122*'Financial impact (cash)'!D13*'Inputs and eligible population'!$D50)/60</f>
        <v>0</v>
      </c>
      <c r="E122" s="128">
        <f>($C122*'Financial impact (cash)'!E13*'Inputs and eligible population'!$D50)/60</f>
        <v>0</v>
      </c>
      <c r="F122" s="128">
        <f>($C122*'Financial impact (cash)'!F13*'Inputs and eligible population'!$D50)/60</f>
        <v>0</v>
      </c>
      <c r="G122" s="128">
        <f>($C122*'Financial impact (cash)'!G13*'Inputs and eligible population'!$D50)/60</f>
        <v>0</v>
      </c>
      <c r="H122" s="128">
        <f>($C122*'Financial impact (cash)'!H13*'Inputs and eligible population'!$D50)/60</f>
        <v>0</v>
      </c>
      <c r="I122" s="128">
        <f>($C122*'Financial impact (cash)'!I13*'Inputs and eligible population'!$D50)/60</f>
        <v>0</v>
      </c>
      <c r="J122" s="300"/>
      <c r="K122" s="639">
        <f>'Inputs and eligible population'!K84</f>
        <v>43.28</v>
      </c>
      <c r="L122" s="304">
        <f>(D122*$K122)/1000</f>
        <v>0</v>
      </c>
      <c r="M122" s="304">
        <f t="shared" ref="M122:Q124" si="85">(E122*$K122)/1000</f>
        <v>0</v>
      </c>
      <c r="N122" s="304">
        <f t="shared" si="85"/>
        <v>0</v>
      </c>
      <c r="O122" s="304">
        <f t="shared" si="85"/>
        <v>0</v>
      </c>
      <c r="P122" s="304">
        <f t="shared" si="85"/>
        <v>0</v>
      </c>
      <c r="Q122" s="304">
        <f t="shared" si="85"/>
        <v>0</v>
      </c>
      <c r="V122" s="133"/>
    </row>
    <row r="123" spans="1:40" hidden="1" x14ac:dyDescent="0.25">
      <c r="A123" s="300"/>
      <c r="B123" s="367"/>
      <c r="C123" s="149">
        <f>'Inputs and eligible population'!G84</f>
        <v>0</v>
      </c>
      <c r="D123" s="128" t="e">
        <f>($C123*'Financial impact (cash)'!D15*'Inputs and eligible population'!#REF!)/60</f>
        <v>#REF!</v>
      </c>
      <c r="E123" s="128" t="e">
        <f>($C123*'Financial impact (cash)'!E15*'Inputs and eligible population'!#REF!)/60</f>
        <v>#REF!</v>
      </c>
      <c r="F123" s="128" t="e">
        <f>($C123*'Financial impact (cash)'!F15*'Inputs and eligible population'!#REF!)/60</f>
        <v>#REF!</v>
      </c>
      <c r="G123" s="128" t="e">
        <f>($C123*'Financial impact (cash)'!G15*'Inputs and eligible population'!#REF!)/60</f>
        <v>#REF!</v>
      </c>
      <c r="H123" s="128" t="e">
        <f>($C123*'Financial impact (cash)'!H15*'Inputs and eligible population'!#REF!)/60</f>
        <v>#REF!</v>
      </c>
      <c r="I123" s="128" t="e">
        <f>($C123*'Financial impact (cash)'!I15*'Inputs and eligible population'!#REF!)/60</f>
        <v>#REF!</v>
      </c>
      <c r="J123" s="300"/>
      <c r="K123" s="639">
        <f>'Inputs and eligible population'!K84</f>
        <v>43.28</v>
      </c>
      <c r="L123" s="304" t="e">
        <f t="shared" ref="L123:L124" si="86">(D123*$K123)/1000</f>
        <v>#REF!</v>
      </c>
      <c r="M123" s="304" t="e">
        <f t="shared" si="85"/>
        <v>#REF!</v>
      </c>
      <c r="N123" s="304" t="e">
        <f t="shared" si="85"/>
        <v>#REF!</v>
      </c>
      <c r="O123" s="304" t="e">
        <f t="shared" si="85"/>
        <v>#REF!</v>
      </c>
      <c r="P123" s="304" t="e">
        <f t="shared" si="85"/>
        <v>#REF!</v>
      </c>
      <c r="Q123" s="304" t="e">
        <f t="shared" si="85"/>
        <v>#REF!</v>
      </c>
      <c r="V123" s="133"/>
    </row>
    <row r="124" spans="1:40" hidden="1" x14ac:dyDescent="0.25">
      <c r="A124" s="300"/>
      <c r="B124" s="367"/>
      <c r="C124" s="149">
        <f>'Inputs and eligible population'!H84</f>
        <v>0</v>
      </c>
      <c r="D124" s="128" t="e">
        <f>($C124*'Financial impact (cash)'!#REF!*'Inputs and eligible population'!#REF!)/60</f>
        <v>#REF!</v>
      </c>
      <c r="E124" s="128" t="e">
        <f>($C124*'Financial impact (cash)'!#REF!*'Inputs and eligible population'!#REF!)/60</f>
        <v>#REF!</v>
      </c>
      <c r="F124" s="128" t="e">
        <f>($C124*'Financial impact (cash)'!#REF!*'Inputs and eligible population'!#REF!)/60</f>
        <v>#REF!</v>
      </c>
      <c r="G124" s="128" t="e">
        <f>($C124*'Financial impact (cash)'!#REF!*'Inputs and eligible population'!#REF!)/60</f>
        <v>#REF!</v>
      </c>
      <c r="H124" s="128" t="e">
        <f>($C124*'Financial impact (cash)'!#REF!*'Inputs and eligible population'!#REF!)/60</f>
        <v>#REF!</v>
      </c>
      <c r="I124" s="128" t="e">
        <f>($C124*'Financial impact (cash)'!#REF!*'Inputs and eligible population'!#REF!)/60</f>
        <v>#REF!</v>
      </c>
      <c r="J124" s="300"/>
      <c r="K124" s="639">
        <f>'Inputs and eligible population'!K84</f>
        <v>43.28</v>
      </c>
      <c r="L124" s="304" t="e">
        <f t="shared" si="86"/>
        <v>#REF!</v>
      </c>
      <c r="M124" s="304" t="e">
        <f t="shared" si="85"/>
        <v>#REF!</v>
      </c>
      <c r="N124" s="304" t="e">
        <f t="shared" si="85"/>
        <v>#REF!</v>
      </c>
      <c r="O124" s="304" t="e">
        <f t="shared" si="85"/>
        <v>#REF!</v>
      </c>
      <c r="P124" s="304" t="e">
        <f t="shared" si="85"/>
        <v>#REF!</v>
      </c>
      <c r="Q124" s="304" t="e">
        <f t="shared" si="85"/>
        <v>#REF!</v>
      </c>
      <c r="V124" s="133"/>
    </row>
    <row r="125" spans="1:40" hidden="1" x14ac:dyDescent="0.25">
      <c r="A125" s="300"/>
      <c r="B125" s="294"/>
      <c r="C125" s="212"/>
      <c r="D125" s="190" t="e">
        <f t="shared" ref="D125:I125" si="87">SUM(D122:D124)</f>
        <v>#REF!</v>
      </c>
      <c r="E125" s="190" t="e">
        <f t="shared" si="87"/>
        <v>#REF!</v>
      </c>
      <c r="F125" s="190" t="e">
        <f t="shared" si="87"/>
        <v>#REF!</v>
      </c>
      <c r="G125" s="190" t="e">
        <f t="shared" si="87"/>
        <v>#REF!</v>
      </c>
      <c r="H125" s="190" t="e">
        <f t="shared" si="87"/>
        <v>#REF!</v>
      </c>
      <c r="I125" s="190" t="e">
        <f t="shared" si="87"/>
        <v>#REF!</v>
      </c>
      <c r="J125" s="300"/>
      <c r="K125" s="300"/>
      <c r="L125" s="305" t="e">
        <f>SUM(L122:L124)</f>
        <v>#REF!</v>
      </c>
      <c r="M125" s="305" t="e">
        <f t="shared" ref="M125" si="88">SUM(M122:M124)</f>
        <v>#REF!</v>
      </c>
      <c r="N125" s="305" t="e">
        <f t="shared" ref="N125" si="89">SUM(N122:N124)</f>
        <v>#REF!</v>
      </c>
      <c r="O125" s="305" t="e">
        <f t="shared" ref="O125" si="90">SUM(O122:O124)</f>
        <v>#REF!</v>
      </c>
      <c r="P125" s="305" t="e">
        <f t="shared" ref="P125" si="91">SUM(P122:P124)</f>
        <v>#REF!</v>
      </c>
      <c r="Q125" s="305" t="e">
        <f t="shared" ref="Q125" si="92">SUM(Q122:Q124)</f>
        <v>#REF!</v>
      </c>
      <c r="V125" s="133"/>
    </row>
    <row r="126" spans="1:40" hidden="1" x14ac:dyDescent="0.25">
      <c r="A126" s="300"/>
      <c r="B126" s="321"/>
      <c r="C126" s="230"/>
      <c r="D126" s="296" t="s">
        <v>861</v>
      </c>
      <c r="E126" s="190" t="e">
        <f>E125-$D$125</f>
        <v>#REF!</v>
      </c>
      <c r="F126" s="190" t="e">
        <f>F125-$D$125</f>
        <v>#REF!</v>
      </c>
      <c r="G126" s="190" t="e">
        <f>G125-$D$125</f>
        <v>#REF!</v>
      </c>
      <c r="H126" s="190" t="e">
        <f>H125-$D$125</f>
        <v>#REF!</v>
      </c>
      <c r="I126" s="190" t="e">
        <f>I125-$D$125</f>
        <v>#REF!</v>
      </c>
      <c r="J126" s="300"/>
      <c r="K126" s="300"/>
      <c r="L126" s="602"/>
      <c r="M126" s="305" t="e">
        <f>M125-$L$125</f>
        <v>#REF!</v>
      </c>
      <c r="N126" s="305" t="e">
        <f t="shared" ref="N126:Q126" si="93">N125-$L$125</f>
        <v>#REF!</v>
      </c>
      <c r="O126" s="305" t="e">
        <f t="shared" si="93"/>
        <v>#REF!</v>
      </c>
      <c r="P126" s="305" t="e">
        <f t="shared" si="93"/>
        <v>#REF!</v>
      </c>
      <c r="Q126" s="305" t="e">
        <f t="shared" si="93"/>
        <v>#REF!</v>
      </c>
      <c r="V126" s="133"/>
    </row>
    <row r="127" spans="1:40" hidden="1" x14ac:dyDescent="0.25">
      <c r="A127" s="300"/>
      <c r="B127" s="343"/>
      <c r="C127" s="419"/>
      <c r="D127" s="226"/>
      <c r="E127" s="226"/>
      <c r="F127" s="226"/>
      <c r="G127" s="226"/>
      <c r="H127" s="226"/>
      <c r="I127" s="226"/>
      <c r="J127" s="226"/>
      <c r="K127" s="226"/>
      <c r="L127" s="226"/>
      <c r="M127" s="226"/>
      <c r="N127" s="226"/>
      <c r="O127" s="226"/>
      <c r="P127" s="226"/>
      <c r="Q127" s="226"/>
      <c r="R127" s="133"/>
      <c r="S127" s="133"/>
      <c r="T127" s="133"/>
      <c r="U127" s="133"/>
      <c r="V127" s="133"/>
      <c r="W127" s="133"/>
      <c r="X127" s="133"/>
      <c r="Y127" s="133"/>
      <c r="Z127" s="133"/>
      <c r="AJ127" s="297"/>
      <c r="AK127" s="297"/>
      <c r="AL127" s="297"/>
      <c r="AM127" s="297"/>
      <c r="AN127" s="297"/>
    </row>
    <row r="128" spans="1:40" hidden="1" x14ac:dyDescent="0.25">
      <c r="A128" s="348"/>
      <c r="B128" s="349" t="s">
        <v>913</v>
      </c>
      <c r="C128" s="350"/>
      <c r="D128" s="350"/>
      <c r="E128" s="351"/>
      <c r="F128" s="352"/>
      <c r="G128" s="353"/>
      <c r="H128" s="353"/>
      <c r="I128" s="412"/>
      <c r="J128" s="348"/>
      <c r="K128" s="348"/>
      <c r="L128" s="348"/>
      <c r="M128" s="348"/>
      <c r="N128" s="348"/>
      <c r="O128" s="348"/>
      <c r="P128" s="348"/>
      <c r="Q128" s="433"/>
      <c r="R128" s="133"/>
      <c r="S128" s="133"/>
      <c r="T128" s="133"/>
      <c r="U128" s="133"/>
      <c r="V128" s="133"/>
      <c r="W128" s="133"/>
      <c r="X128" s="133"/>
      <c r="Y128" s="133"/>
      <c r="Z128" s="133"/>
      <c r="AJ128" s="297"/>
      <c r="AK128" s="297"/>
      <c r="AL128" s="297"/>
      <c r="AM128" s="297"/>
      <c r="AN128" s="297"/>
    </row>
    <row r="129" spans="1:40" hidden="1" x14ac:dyDescent="0.25">
      <c r="A129" s="348"/>
      <c r="B129" s="422" t="s">
        <v>914</v>
      </c>
      <c r="C129" s="423"/>
      <c r="D129" s="423"/>
      <c r="E129" s="423"/>
      <c r="F129" s="423"/>
      <c r="G129" s="423"/>
      <c r="H129" s="423"/>
      <c r="I129" s="354"/>
      <c r="J129" s="433"/>
      <c r="K129" s="433"/>
      <c r="L129" s="463"/>
      <c r="M129" s="463"/>
      <c r="N129" s="463"/>
      <c r="O129" s="463"/>
      <c r="P129" s="463"/>
      <c r="Q129" s="463"/>
      <c r="R129" s="133"/>
      <c r="S129" s="133"/>
      <c r="T129" s="133"/>
      <c r="U129" s="133"/>
      <c r="V129" s="133"/>
      <c r="W129" s="133"/>
      <c r="X129" s="133"/>
      <c r="Y129" s="133"/>
      <c r="Z129" s="133"/>
      <c r="AJ129" s="297"/>
      <c r="AK129" s="297"/>
      <c r="AL129" s="297"/>
      <c r="AM129" s="297"/>
      <c r="AN129" s="297"/>
    </row>
    <row r="130" spans="1:40" ht="45" hidden="1" x14ac:dyDescent="0.25">
      <c r="A130" s="348"/>
      <c r="B130" s="290" t="s">
        <v>799</v>
      </c>
      <c r="C130" s="168" t="s">
        <v>754</v>
      </c>
      <c r="D130" s="449" t="s">
        <v>872</v>
      </c>
      <c r="E130" s="266" t="s">
        <v>694</v>
      </c>
      <c r="F130" s="266" t="s">
        <v>695</v>
      </c>
      <c r="G130" s="167" t="s">
        <v>828</v>
      </c>
      <c r="H130" s="167" t="s">
        <v>829</v>
      </c>
      <c r="I130" s="266" t="s">
        <v>830</v>
      </c>
      <c r="J130" s="348"/>
      <c r="K130" s="624" t="s">
        <v>801</v>
      </c>
      <c r="L130" s="449" t="s">
        <v>872</v>
      </c>
      <c r="M130" s="266" t="s">
        <v>694</v>
      </c>
      <c r="N130" s="266" t="s">
        <v>695</v>
      </c>
      <c r="O130" s="167" t="s">
        <v>828</v>
      </c>
      <c r="P130" s="167" t="s">
        <v>829</v>
      </c>
      <c r="Q130" s="266" t="s">
        <v>830</v>
      </c>
      <c r="R130" s="133"/>
      <c r="S130" s="133"/>
      <c r="T130" s="133"/>
      <c r="U130" s="133"/>
      <c r="V130" s="133"/>
      <c r="W130" s="133"/>
      <c r="X130" s="133"/>
      <c r="Y130" s="133"/>
      <c r="Z130" s="133"/>
      <c r="AJ130" s="297"/>
      <c r="AK130" s="297"/>
      <c r="AL130" s="297"/>
      <c r="AM130" s="297"/>
      <c r="AN130" s="297"/>
    </row>
    <row r="131" spans="1:40" hidden="1" x14ac:dyDescent="0.25">
      <c r="A131" s="348"/>
      <c r="B131" s="367"/>
      <c r="C131" s="149">
        <f>'Inputs and eligible population'!F85</f>
        <v>0</v>
      </c>
      <c r="D131" s="128">
        <f>'Financial impact (cash)'!D13*'Capacity (local prices)'!$C131</f>
        <v>0</v>
      </c>
      <c r="E131" s="128">
        <f>'Financial impact (cash)'!E13*'Capacity (local prices)'!$C131</f>
        <v>0</v>
      </c>
      <c r="F131" s="128">
        <f>'Financial impact (cash)'!F13*'Capacity (local prices)'!$C131</f>
        <v>0</v>
      </c>
      <c r="G131" s="128">
        <f>'Financial impact (cash)'!G13*'Capacity (local prices)'!$C131</f>
        <v>0</v>
      </c>
      <c r="H131" s="128">
        <f>'Financial impact (cash)'!H13*'Capacity (local prices)'!$C131</f>
        <v>0</v>
      </c>
      <c r="I131" s="128">
        <f>'Financial impact (cash)'!I13*'Capacity (local prices)'!$C131</f>
        <v>0</v>
      </c>
      <c r="J131" s="348"/>
      <c r="K131" s="639">
        <f>'Inputs and eligible population'!K86</f>
        <v>103.07</v>
      </c>
      <c r="L131" s="304">
        <f>(D131*$C131*'Inputs and eligible population'!$F$86/60*$K131)/1000</f>
        <v>0</v>
      </c>
      <c r="M131" s="304">
        <f>(E131*$C131*'Inputs and eligible population'!$F$86/60*$K131)/1000</f>
        <v>0</v>
      </c>
      <c r="N131" s="304">
        <f>(F131*$C131*'Inputs and eligible population'!$F$86/60*$K131)/1000</f>
        <v>0</v>
      </c>
      <c r="O131" s="304">
        <f>(G131*$C131*'Inputs and eligible population'!$F$86/60*$K131)/1000</f>
        <v>0</v>
      </c>
      <c r="P131" s="304">
        <f>(H131*$C131*'Inputs and eligible population'!$F$86/60*$K131)/1000</f>
        <v>0</v>
      </c>
      <c r="Q131" s="304">
        <f>(I131*$C131*'Inputs and eligible population'!$F$86/60*$K131)/1000</f>
        <v>0</v>
      </c>
      <c r="R131" s="133"/>
      <c r="S131" s="133"/>
      <c r="T131" s="133"/>
      <c r="U131" s="133"/>
      <c r="V131" s="133"/>
      <c r="W131" s="133"/>
      <c r="X131" s="133"/>
      <c r="Y131" s="133"/>
      <c r="Z131" s="133"/>
      <c r="AJ131" s="297"/>
      <c r="AK131" s="297"/>
      <c r="AL131" s="297"/>
      <c r="AM131" s="297"/>
      <c r="AN131" s="297"/>
    </row>
    <row r="132" spans="1:40" hidden="1" x14ac:dyDescent="0.25">
      <c r="A132" s="348"/>
      <c r="B132" s="367"/>
      <c r="C132" s="149">
        <f>'Inputs and eligible population'!G85</f>
        <v>0</v>
      </c>
      <c r="D132" s="128">
        <f>'Financial impact (cash)'!D15*'Capacity (local prices)'!$C132</f>
        <v>0</v>
      </c>
      <c r="E132" s="128">
        <f>'Financial impact (cash)'!E15*'Capacity (local prices)'!$C132</f>
        <v>0</v>
      </c>
      <c r="F132" s="128">
        <f>'Financial impact (cash)'!F15*'Capacity (local prices)'!$C132</f>
        <v>0</v>
      </c>
      <c r="G132" s="128">
        <f>'Financial impact (cash)'!G15*'Capacity (local prices)'!$C132</f>
        <v>0</v>
      </c>
      <c r="H132" s="128">
        <f>'Financial impact (cash)'!H15*'Capacity (local prices)'!$C132</f>
        <v>0</v>
      </c>
      <c r="I132" s="128">
        <f>'Financial impact (cash)'!I15*'Capacity (local prices)'!$C132</f>
        <v>0</v>
      </c>
      <c r="J132" s="348"/>
      <c r="K132" s="639">
        <f>'Inputs and eligible population'!K86</f>
        <v>103.07</v>
      </c>
      <c r="L132" s="304">
        <f>(D132*$C132*'Inputs and eligible population'!$F$86/60*$K132)/1000</f>
        <v>0</v>
      </c>
      <c r="M132" s="304">
        <f>(E132*$C132*'Inputs and eligible population'!$F$86/60*$K132)/1000</f>
        <v>0</v>
      </c>
      <c r="N132" s="304">
        <f>(F132*$C132*'Inputs and eligible population'!$F$86/60*$K132)/1000</f>
        <v>0</v>
      </c>
      <c r="O132" s="304">
        <f>(G132*$C132*'Inputs and eligible population'!$F$86/60*$K132)/1000</f>
        <v>0</v>
      </c>
      <c r="P132" s="304">
        <f>(H132*$C132*'Inputs and eligible population'!$F$86/60*$K132)/1000</f>
        <v>0</v>
      </c>
      <c r="Q132" s="304">
        <f>(I132*$C132*'Inputs and eligible population'!$F$86/60*$K132)/1000</f>
        <v>0</v>
      </c>
      <c r="R132" s="133"/>
      <c r="S132" s="133"/>
      <c r="T132" s="133"/>
      <c r="U132" s="133"/>
      <c r="V132" s="133"/>
      <c r="W132" s="133"/>
      <c r="X132" s="133"/>
      <c r="Y132" s="133"/>
      <c r="Z132" s="133"/>
      <c r="AJ132" s="297"/>
      <c r="AK132" s="297"/>
      <c r="AL132" s="297"/>
      <c r="AM132" s="297"/>
      <c r="AN132" s="297"/>
    </row>
    <row r="133" spans="1:40" hidden="1" x14ac:dyDescent="0.25">
      <c r="A133" s="348"/>
      <c r="B133" s="367"/>
      <c r="C133" s="149">
        <f>'Inputs and eligible population'!H85</f>
        <v>0</v>
      </c>
      <c r="D133" s="128" t="e">
        <f>'Financial impact (cash)'!#REF!*'Capacity (local prices)'!$C133</f>
        <v>#REF!</v>
      </c>
      <c r="E133" s="128" t="e">
        <f>'Financial impact (cash)'!#REF!*'Capacity (local prices)'!$C133</f>
        <v>#REF!</v>
      </c>
      <c r="F133" s="128" t="e">
        <f>'Financial impact (cash)'!#REF!*'Capacity (local prices)'!$C133</f>
        <v>#REF!</v>
      </c>
      <c r="G133" s="128" t="e">
        <f>'Financial impact (cash)'!#REF!*'Capacity (local prices)'!$C133</f>
        <v>#REF!</v>
      </c>
      <c r="H133" s="128" t="e">
        <f>'Financial impact (cash)'!#REF!*'Capacity (local prices)'!$C133</f>
        <v>#REF!</v>
      </c>
      <c r="I133" s="128" t="e">
        <f>'Financial impact (cash)'!#REF!*'Capacity (local prices)'!$C133</f>
        <v>#REF!</v>
      </c>
      <c r="J133" s="348"/>
      <c r="K133" s="639">
        <f>'Inputs and eligible population'!K86</f>
        <v>103.07</v>
      </c>
      <c r="L133" s="304" t="e">
        <f>(D133*$C133*'Inputs and eligible population'!$F$86/60*$K133)/1000</f>
        <v>#REF!</v>
      </c>
      <c r="M133" s="304" t="e">
        <f>(E133*$C133*'Inputs and eligible population'!$F$86/60*$K133)/1000</f>
        <v>#REF!</v>
      </c>
      <c r="N133" s="304" t="e">
        <f>(F133*$C133*'Inputs and eligible population'!$F$86/60*$K133)/1000</f>
        <v>#REF!</v>
      </c>
      <c r="O133" s="304" t="e">
        <f>(G133*$C133*'Inputs and eligible population'!$F$86/60*$K133)/1000</f>
        <v>#REF!</v>
      </c>
      <c r="P133" s="304" t="e">
        <f>(H133*$C133*'Inputs and eligible population'!$F$86/60*$K133)/1000</f>
        <v>#REF!</v>
      </c>
      <c r="Q133" s="304" t="e">
        <f>(I133*$C133*'Inputs and eligible population'!$F$86/60*$K133)/1000</f>
        <v>#REF!</v>
      </c>
      <c r="R133" s="133"/>
      <c r="S133" s="133"/>
      <c r="T133" s="133"/>
      <c r="U133" s="133"/>
      <c r="V133" s="133"/>
      <c r="W133" s="133"/>
      <c r="X133" s="133"/>
      <c r="Y133" s="133"/>
      <c r="Z133" s="133"/>
      <c r="AJ133" s="297"/>
      <c r="AK133" s="297"/>
      <c r="AL133" s="297"/>
      <c r="AM133" s="297"/>
      <c r="AN133" s="297"/>
    </row>
    <row r="134" spans="1:40" hidden="1" x14ac:dyDescent="0.25">
      <c r="A134" s="348"/>
      <c r="B134" s="294"/>
      <c r="C134" s="212"/>
      <c r="D134" s="190" t="e">
        <f t="shared" ref="D134:I134" si="94">SUM(D131:D133)</f>
        <v>#REF!</v>
      </c>
      <c r="E134" s="190" t="e">
        <f t="shared" si="94"/>
        <v>#REF!</v>
      </c>
      <c r="F134" s="190" t="e">
        <f t="shared" si="94"/>
        <v>#REF!</v>
      </c>
      <c r="G134" s="190" t="e">
        <f t="shared" si="94"/>
        <v>#REF!</v>
      </c>
      <c r="H134" s="190" t="e">
        <f t="shared" si="94"/>
        <v>#REF!</v>
      </c>
      <c r="I134" s="190" t="e">
        <f t="shared" si="94"/>
        <v>#REF!</v>
      </c>
      <c r="J134" s="348"/>
      <c r="K134" s="348"/>
      <c r="L134" s="305" t="e">
        <f>SUM(L131:L133)</f>
        <v>#REF!</v>
      </c>
      <c r="M134" s="305" t="e">
        <f t="shared" ref="M134" si="95">SUM(M131:M133)</f>
        <v>#REF!</v>
      </c>
      <c r="N134" s="305" t="e">
        <f t="shared" ref="N134" si="96">SUM(N131:N133)</f>
        <v>#REF!</v>
      </c>
      <c r="O134" s="305" t="e">
        <f t="shared" ref="O134" si="97">SUM(O131:O133)</f>
        <v>#REF!</v>
      </c>
      <c r="P134" s="305" t="e">
        <f t="shared" ref="P134" si="98">SUM(P131:P133)</f>
        <v>#REF!</v>
      </c>
      <c r="Q134" s="305" t="e">
        <f t="shared" ref="Q134" si="99">SUM(Q131:Q133)</f>
        <v>#REF!</v>
      </c>
      <c r="R134" s="133"/>
      <c r="S134" s="133"/>
      <c r="T134" s="133"/>
      <c r="U134" s="133"/>
      <c r="V134" s="133"/>
      <c r="W134" s="133"/>
      <c r="X134" s="133"/>
      <c r="Y134" s="133"/>
      <c r="Z134" s="133"/>
      <c r="AJ134" s="297"/>
      <c r="AK134" s="297"/>
      <c r="AL134" s="297"/>
      <c r="AM134" s="297"/>
      <c r="AN134" s="297"/>
    </row>
    <row r="135" spans="1:40" hidden="1" x14ac:dyDescent="0.25">
      <c r="A135" s="348"/>
      <c r="B135" s="321"/>
      <c r="C135" s="267"/>
      <c r="D135" s="296" t="s">
        <v>915</v>
      </c>
      <c r="E135" s="190" t="e">
        <f>E134-$D$134</f>
        <v>#REF!</v>
      </c>
      <c r="F135" s="190" t="e">
        <f>F134-$D$134</f>
        <v>#REF!</v>
      </c>
      <c r="G135" s="190" t="e">
        <f>G134-$D$134</f>
        <v>#REF!</v>
      </c>
      <c r="H135" s="190" t="e">
        <f>H134-$D$134</f>
        <v>#REF!</v>
      </c>
      <c r="I135" s="190" t="e">
        <f>I134-$D$134</f>
        <v>#REF!</v>
      </c>
      <c r="J135" s="348"/>
      <c r="K135" s="348"/>
      <c r="L135" s="603"/>
      <c r="M135" s="305" t="e">
        <f>M134-$L$134</f>
        <v>#REF!</v>
      </c>
      <c r="N135" s="305" t="e">
        <f t="shared" ref="N135:Q135" si="100">N134-$L$134</f>
        <v>#REF!</v>
      </c>
      <c r="O135" s="305" t="e">
        <f t="shared" si="100"/>
        <v>#REF!</v>
      </c>
      <c r="P135" s="305" t="e">
        <f t="shared" si="100"/>
        <v>#REF!</v>
      </c>
      <c r="Q135" s="305" t="e">
        <f t="shared" si="100"/>
        <v>#REF!</v>
      </c>
      <c r="V135" s="133"/>
    </row>
    <row r="136" spans="1:40" hidden="1" x14ac:dyDescent="0.25">
      <c r="A136" s="348"/>
      <c r="B136" s="348"/>
      <c r="C136" s="348"/>
      <c r="D136" s="348"/>
      <c r="E136" s="348"/>
      <c r="F136" s="348"/>
      <c r="G136" s="348"/>
      <c r="H136" s="348"/>
      <c r="I136" s="348"/>
      <c r="J136" s="348"/>
      <c r="K136" s="348"/>
      <c r="L136" s="348"/>
      <c r="M136" s="348"/>
      <c r="N136" s="348"/>
      <c r="O136" s="348"/>
      <c r="P136" s="348"/>
      <c r="Q136" s="348"/>
      <c r="V136" s="133"/>
    </row>
    <row r="137" spans="1:40" hidden="1" x14ac:dyDescent="0.25">
      <c r="A137" s="301"/>
      <c r="B137" s="344" t="s">
        <v>916</v>
      </c>
      <c r="C137" s="327"/>
      <c r="D137" s="328"/>
      <c r="E137" s="329"/>
      <c r="F137" s="330"/>
      <c r="G137" s="330"/>
      <c r="H137" s="330"/>
      <c r="I137" s="464"/>
      <c r="J137" s="301"/>
      <c r="K137" s="301"/>
      <c r="L137" s="301"/>
      <c r="M137" s="301"/>
      <c r="N137" s="301"/>
      <c r="O137" s="301"/>
      <c r="P137" s="301"/>
      <c r="Q137" s="228"/>
      <c r="R137" s="133"/>
      <c r="S137" s="133"/>
      <c r="T137" s="133"/>
      <c r="U137" s="133"/>
      <c r="V137" s="133"/>
      <c r="W137" s="133"/>
      <c r="X137" s="133"/>
      <c r="Y137" s="133"/>
      <c r="Z137" s="133"/>
      <c r="AJ137" s="297"/>
      <c r="AK137" s="297"/>
      <c r="AL137" s="297"/>
      <c r="AM137" s="297"/>
      <c r="AN137" s="297"/>
    </row>
    <row r="138" spans="1:40" hidden="1" x14ac:dyDescent="0.25">
      <c r="A138" s="301"/>
      <c r="B138" s="424" t="s">
        <v>917</v>
      </c>
      <c r="C138" s="425"/>
      <c r="D138" s="425"/>
      <c r="E138" s="425"/>
      <c r="F138" s="425"/>
      <c r="G138" s="425"/>
      <c r="H138" s="425"/>
      <c r="I138" s="227"/>
      <c r="J138" s="228"/>
      <c r="K138" s="228"/>
      <c r="L138" s="458"/>
      <c r="M138" s="458"/>
      <c r="N138" s="458"/>
      <c r="O138" s="458"/>
      <c r="P138" s="458"/>
      <c r="Q138" s="458"/>
      <c r="R138" s="133"/>
      <c r="S138" s="133"/>
      <c r="T138" s="133"/>
      <c r="U138" s="133"/>
      <c r="V138" s="133"/>
      <c r="W138" s="133"/>
      <c r="X138" s="133"/>
      <c r="Y138" s="133"/>
      <c r="Z138" s="133"/>
      <c r="AJ138" s="297"/>
      <c r="AK138" s="297"/>
      <c r="AL138" s="297"/>
      <c r="AM138" s="297"/>
      <c r="AN138" s="297"/>
    </row>
    <row r="139" spans="1:40" ht="45" hidden="1" x14ac:dyDescent="0.25">
      <c r="A139" s="301"/>
      <c r="B139" s="290" t="s">
        <v>799</v>
      </c>
      <c r="C139" s="168" t="s">
        <v>917</v>
      </c>
      <c r="D139" s="449" t="s">
        <v>872</v>
      </c>
      <c r="E139" s="266" t="s">
        <v>694</v>
      </c>
      <c r="F139" s="266" t="s">
        <v>695</v>
      </c>
      <c r="G139" s="167" t="s">
        <v>828</v>
      </c>
      <c r="H139" s="167" t="s">
        <v>829</v>
      </c>
      <c r="I139" s="266" t="s">
        <v>830</v>
      </c>
      <c r="J139" s="301"/>
      <c r="K139" s="624" t="s">
        <v>801</v>
      </c>
      <c r="L139" s="449" t="s">
        <v>872</v>
      </c>
      <c r="M139" s="266" t="s">
        <v>694</v>
      </c>
      <c r="N139" s="266" t="s">
        <v>695</v>
      </c>
      <c r="O139" s="167" t="s">
        <v>828</v>
      </c>
      <c r="P139" s="167" t="s">
        <v>829</v>
      </c>
      <c r="Q139" s="266" t="s">
        <v>830</v>
      </c>
      <c r="R139" s="133"/>
      <c r="S139" s="133"/>
      <c r="T139" s="133"/>
      <c r="U139" s="133"/>
      <c r="V139" s="133"/>
      <c r="W139" s="133"/>
      <c r="X139" s="133"/>
      <c r="Y139" s="133"/>
      <c r="Z139" s="133"/>
      <c r="AJ139" s="297"/>
      <c r="AK139" s="297"/>
      <c r="AL139" s="297"/>
      <c r="AM139" s="297"/>
      <c r="AN139" s="297"/>
    </row>
    <row r="140" spans="1:40" hidden="1" x14ac:dyDescent="0.25">
      <c r="A140" s="301"/>
      <c r="B140" s="367"/>
      <c r="C140" s="149">
        <f>'Inputs and eligible population'!F87</f>
        <v>0</v>
      </c>
      <c r="D140" s="128">
        <f>D$7*'Inputs and eligible population'!E60*'Capacity (local prices)'!$C140</f>
        <v>0</v>
      </c>
      <c r="E140" s="128">
        <f>E$7*'Inputs and eligible population'!F60*'Capacity (local prices)'!$C140</f>
        <v>0</v>
      </c>
      <c r="F140" s="128">
        <f>F$7*'Inputs and eligible population'!G60*'Capacity (local prices)'!$C140</f>
        <v>0</v>
      </c>
      <c r="G140" s="128">
        <f>G$7*'Inputs and eligible population'!H60*'Capacity (local prices)'!$C140</f>
        <v>0</v>
      </c>
      <c r="H140" s="128">
        <f>H$7*'Inputs and eligible population'!I60*'Capacity (local prices)'!$C140</f>
        <v>0</v>
      </c>
      <c r="I140" s="128">
        <f>I$7*'Inputs and eligible population'!J60*'Capacity (local prices)'!$C140</f>
        <v>0</v>
      </c>
      <c r="J140" s="301"/>
      <c r="K140" s="639">
        <f>'Inputs and eligible population'!K88</f>
        <v>38.99</v>
      </c>
      <c r="L140" s="304">
        <f>(D140*C140*'Inputs and eligible population'!$F$88/60*$K140)/1000</f>
        <v>0</v>
      </c>
      <c r="M140" s="304">
        <f>(E140*D140*'Inputs and eligible population'!$F$88/60*$K140)/1000</f>
        <v>0</v>
      </c>
      <c r="N140" s="304">
        <f>(F140*E140*'Inputs and eligible population'!$F$88/60*$K140)/1000</f>
        <v>0</v>
      </c>
      <c r="O140" s="304">
        <f>(G140*F140*'Inputs and eligible population'!$F$88/60*$K140)/1000</f>
        <v>0</v>
      </c>
      <c r="P140" s="304">
        <f>(H140*G140*'Inputs and eligible population'!$F$88/60*$K140)/1000</f>
        <v>0</v>
      </c>
      <c r="Q140" s="304">
        <f>(I140*H140*'Inputs and eligible population'!$F$88/60*$K140)/1000</f>
        <v>0</v>
      </c>
      <c r="R140" s="133"/>
      <c r="S140" s="133"/>
      <c r="T140" s="133"/>
      <c r="U140" s="133"/>
      <c r="V140" s="133"/>
      <c r="W140" s="133"/>
      <c r="X140" s="133"/>
      <c r="Y140" s="133"/>
      <c r="Z140" s="133"/>
      <c r="AJ140" s="297"/>
      <c r="AK140" s="297"/>
      <c r="AL140" s="297"/>
      <c r="AM140" s="297"/>
      <c r="AN140" s="297"/>
    </row>
    <row r="141" spans="1:40" hidden="1" x14ac:dyDescent="0.25">
      <c r="A141" s="301"/>
      <c r="B141" s="367"/>
      <c r="C141" s="149">
        <f>'Inputs and eligible population'!G87</f>
        <v>0</v>
      </c>
      <c r="D141" s="128">
        <f>D$7*'Inputs and eligible population'!E62*'Capacity (local prices)'!$C141</f>
        <v>0</v>
      </c>
      <c r="E141" s="128">
        <f>E$7*'Inputs and eligible population'!F62*'Capacity (local prices)'!$C141</f>
        <v>0</v>
      </c>
      <c r="F141" s="128">
        <f>F$7*'Inputs and eligible population'!G62*'Capacity (local prices)'!$C141</f>
        <v>0</v>
      </c>
      <c r="G141" s="128">
        <f>G$7*'Inputs and eligible population'!H62*'Capacity (local prices)'!$C141</f>
        <v>0</v>
      </c>
      <c r="H141" s="128">
        <f>H$7*'Inputs and eligible population'!I62*'Capacity (local prices)'!$C141</f>
        <v>0</v>
      </c>
      <c r="I141" s="128">
        <f>I$7*'Inputs and eligible population'!J62*'Capacity (local prices)'!$C141</f>
        <v>0</v>
      </c>
      <c r="J141" s="301"/>
      <c r="K141" s="639">
        <f>'Inputs and eligible population'!K88</f>
        <v>38.99</v>
      </c>
      <c r="L141" s="304">
        <f>(D141*C141*'Inputs and eligible population'!$F$88/60*$K141)/1000</f>
        <v>0</v>
      </c>
      <c r="M141" s="304">
        <f>(E141*D141*'Inputs and eligible population'!$F$88/60*$K141)/1000</f>
        <v>0</v>
      </c>
      <c r="N141" s="304">
        <f>(F141*E141*'Inputs and eligible population'!$F$88/60*$K141)/1000</f>
        <v>0</v>
      </c>
      <c r="O141" s="304">
        <f>(G141*F141*'Inputs and eligible population'!$F$88/60*$K141)/1000</f>
        <v>0</v>
      </c>
      <c r="P141" s="304">
        <f>(H141*G141*'Inputs and eligible population'!$F$88/60*$K141)/1000</f>
        <v>0</v>
      </c>
      <c r="Q141" s="304">
        <f>(I141*H141*'Inputs and eligible population'!$F$88/60*$K141)/1000</f>
        <v>0</v>
      </c>
      <c r="R141" s="133"/>
      <c r="S141" s="133"/>
      <c r="T141" s="133"/>
      <c r="U141" s="133"/>
      <c r="V141" s="133"/>
      <c r="W141" s="133"/>
      <c r="X141" s="133"/>
      <c r="Y141" s="133"/>
      <c r="Z141" s="133"/>
      <c r="AJ141" s="297"/>
      <c r="AK141" s="297"/>
      <c r="AL141" s="297"/>
      <c r="AM141" s="297"/>
      <c r="AN141" s="297"/>
    </row>
    <row r="142" spans="1:40" hidden="1" x14ac:dyDescent="0.25">
      <c r="A142" s="301"/>
      <c r="B142" s="367"/>
      <c r="C142" s="149">
        <f>'Inputs and eligible population'!H87</f>
        <v>0</v>
      </c>
      <c r="D142" s="128" t="e">
        <f>D$7*'Inputs and eligible population'!#REF!*'Capacity (local prices)'!$C142</f>
        <v>#REF!</v>
      </c>
      <c r="E142" s="128" t="e">
        <f>E$7*'Inputs and eligible population'!#REF!*'Capacity (local prices)'!$C142</f>
        <v>#REF!</v>
      </c>
      <c r="F142" s="128" t="e">
        <f>F$7*'Inputs and eligible population'!#REF!*'Capacity (local prices)'!$C142</f>
        <v>#REF!</v>
      </c>
      <c r="G142" s="128" t="e">
        <f>G$7*'Inputs and eligible population'!#REF!*'Capacity (local prices)'!$C142</f>
        <v>#REF!</v>
      </c>
      <c r="H142" s="128" t="e">
        <f>H$7*'Inputs and eligible population'!#REF!*'Capacity (local prices)'!$C142</f>
        <v>#REF!</v>
      </c>
      <c r="I142" s="128" t="e">
        <f>I$7*'Inputs and eligible population'!#REF!*'Capacity (local prices)'!$C142</f>
        <v>#REF!</v>
      </c>
      <c r="J142" s="301"/>
      <c r="K142" s="639">
        <f>'Inputs and eligible population'!K88</f>
        <v>38.99</v>
      </c>
      <c r="L142" s="304" t="e">
        <f>(D142*C142*'Inputs and eligible population'!$F$88/60*$K142)/1000</f>
        <v>#REF!</v>
      </c>
      <c r="M142" s="304" t="e">
        <f>(E142*D142*'Inputs and eligible population'!$F$88/60*$K142)/1000</f>
        <v>#REF!</v>
      </c>
      <c r="N142" s="304" t="e">
        <f>(F142*E142*'Inputs and eligible population'!$F$88/60*$K142)/1000</f>
        <v>#REF!</v>
      </c>
      <c r="O142" s="304" t="e">
        <f>(G142*F142*'Inputs and eligible population'!$F$88/60*$K142)/1000</f>
        <v>#REF!</v>
      </c>
      <c r="P142" s="304" t="e">
        <f>(H142*G142*'Inputs and eligible population'!$F$88/60*$K142)/1000</f>
        <v>#REF!</v>
      </c>
      <c r="Q142" s="304" t="e">
        <f>(I142*H142*'Inputs and eligible population'!$F$88/60*$K142)/1000</f>
        <v>#REF!</v>
      </c>
      <c r="R142" s="133"/>
      <c r="S142" s="133"/>
      <c r="T142" s="133"/>
      <c r="U142" s="133"/>
      <c r="V142" s="133"/>
      <c r="W142" s="133"/>
      <c r="X142" s="133"/>
      <c r="Y142" s="133"/>
      <c r="Z142" s="133"/>
      <c r="AJ142" s="297"/>
      <c r="AK142" s="297"/>
      <c r="AL142" s="297"/>
      <c r="AM142" s="297"/>
      <c r="AN142" s="297"/>
    </row>
    <row r="143" spans="1:40" hidden="1" x14ac:dyDescent="0.25">
      <c r="A143" s="301"/>
      <c r="B143" s="294"/>
      <c r="C143" s="212"/>
      <c r="D143" s="190" t="e">
        <f t="shared" ref="D143:I143" si="101">SUM(D140:D142)</f>
        <v>#REF!</v>
      </c>
      <c r="E143" s="190" t="e">
        <f t="shared" si="101"/>
        <v>#REF!</v>
      </c>
      <c r="F143" s="190" t="e">
        <f t="shared" si="101"/>
        <v>#REF!</v>
      </c>
      <c r="G143" s="190" t="e">
        <f t="shared" si="101"/>
        <v>#REF!</v>
      </c>
      <c r="H143" s="190" t="e">
        <f t="shared" si="101"/>
        <v>#REF!</v>
      </c>
      <c r="I143" s="190" t="e">
        <f t="shared" si="101"/>
        <v>#REF!</v>
      </c>
      <c r="J143" s="301"/>
      <c r="K143" s="301"/>
      <c r="L143" s="305" t="e">
        <f>SUM(L140:L142)</f>
        <v>#REF!</v>
      </c>
      <c r="M143" s="305" t="e">
        <f t="shared" ref="M143" si="102">SUM(M140:M142)</f>
        <v>#REF!</v>
      </c>
      <c r="N143" s="305" t="e">
        <f t="shared" ref="N143" si="103">SUM(N140:N142)</f>
        <v>#REF!</v>
      </c>
      <c r="O143" s="305" t="e">
        <f t="shared" ref="O143" si="104">SUM(O140:O142)</f>
        <v>#REF!</v>
      </c>
      <c r="P143" s="305" t="e">
        <f t="shared" ref="P143" si="105">SUM(P140:P142)</f>
        <v>#REF!</v>
      </c>
      <c r="Q143" s="305" t="e">
        <f t="shared" ref="Q143" si="106">SUM(Q140:Q142)</f>
        <v>#REF!</v>
      </c>
      <c r="R143" s="133"/>
      <c r="S143" s="133"/>
      <c r="T143" s="133"/>
      <c r="U143" s="133"/>
      <c r="V143" s="133"/>
      <c r="W143" s="133"/>
      <c r="X143" s="133"/>
      <c r="Y143" s="133"/>
      <c r="Z143" s="133"/>
      <c r="AJ143" s="297"/>
      <c r="AK143" s="297"/>
      <c r="AL143" s="297"/>
      <c r="AM143" s="297"/>
      <c r="AN143" s="297"/>
    </row>
    <row r="144" spans="1:40" hidden="1" x14ac:dyDescent="0.25">
      <c r="A144" s="301"/>
      <c r="B144" s="321"/>
      <c r="C144" s="267"/>
      <c r="D144" s="296" t="s">
        <v>918</v>
      </c>
      <c r="E144" s="190" t="e">
        <f>E143-$D$143</f>
        <v>#REF!</v>
      </c>
      <c r="F144" s="190" t="e">
        <f>F143-$D$143</f>
        <v>#REF!</v>
      </c>
      <c r="G144" s="190" t="e">
        <f>G143-$D$143</f>
        <v>#REF!</v>
      </c>
      <c r="H144" s="190" t="e">
        <f>H143-$D$143</f>
        <v>#REF!</v>
      </c>
      <c r="I144" s="190" t="e">
        <f>I143-$D$143</f>
        <v>#REF!</v>
      </c>
      <c r="J144" s="301"/>
      <c r="K144" s="301"/>
      <c r="L144" s="604"/>
      <c r="M144" s="305" t="e">
        <f>M143-$L$143</f>
        <v>#REF!</v>
      </c>
      <c r="N144" s="305" t="e">
        <f t="shared" ref="N144:Q144" si="107">N143-$L$143</f>
        <v>#REF!</v>
      </c>
      <c r="O144" s="305" t="e">
        <f t="shared" si="107"/>
        <v>#REF!</v>
      </c>
      <c r="P144" s="305" t="e">
        <f t="shared" si="107"/>
        <v>#REF!</v>
      </c>
      <c r="Q144" s="305" t="e">
        <f t="shared" si="107"/>
        <v>#REF!</v>
      </c>
      <c r="V144" s="133"/>
    </row>
    <row r="145" spans="1:40" hidden="1" x14ac:dyDescent="0.25">
      <c r="A145" s="301"/>
      <c r="B145" s="345"/>
      <c r="C145" s="228"/>
      <c r="D145" s="228"/>
      <c r="E145" s="228"/>
      <c r="F145" s="228"/>
      <c r="G145" s="228"/>
      <c r="H145" s="228"/>
      <c r="I145" s="228"/>
      <c r="J145" s="301"/>
      <c r="K145" s="301"/>
      <c r="L145" s="228"/>
      <c r="M145" s="228"/>
      <c r="N145" s="228"/>
      <c r="O145" s="228"/>
      <c r="P145" s="228"/>
      <c r="Q145" s="228"/>
      <c r="V145" s="133"/>
    </row>
    <row r="146" spans="1:40" hidden="1" x14ac:dyDescent="0.25">
      <c r="A146" s="301"/>
      <c r="B146" s="424" t="s">
        <v>919</v>
      </c>
      <c r="C146" s="425"/>
      <c r="D146" s="425"/>
      <c r="E146" s="425"/>
      <c r="F146" s="425"/>
      <c r="G146" s="425"/>
      <c r="H146" s="425"/>
      <c r="I146" s="227"/>
      <c r="J146" s="301"/>
      <c r="K146" s="301"/>
      <c r="L146" s="458"/>
      <c r="M146" s="458"/>
      <c r="N146" s="458"/>
      <c r="O146" s="458"/>
      <c r="P146" s="458"/>
      <c r="Q146" s="458"/>
      <c r="R146" s="133"/>
      <c r="S146" s="133"/>
      <c r="T146" s="133"/>
      <c r="U146" s="133"/>
      <c r="V146" s="133"/>
      <c r="W146" s="133"/>
      <c r="X146" s="133"/>
      <c r="Y146" s="133"/>
      <c r="Z146" s="133"/>
      <c r="AJ146" s="297"/>
      <c r="AK146" s="297"/>
      <c r="AL146" s="297"/>
      <c r="AM146" s="297"/>
      <c r="AN146" s="297"/>
    </row>
    <row r="147" spans="1:40" ht="60" hidden="1" x14ac:dyDescent="0.25">
      <c r="A147" s="301"/>
      <c r="B147" s="290" t="s">
        <v>799</v>
      </c>
      <c r="C147" s="168" t="s">
        <v>920</v>
      </c>
      <c r="D147" s="449" t="s">
        <v>872</v>
      </c>
      <c r="E147" s="266" t="s">
        <v>694</v>
      </c>
      <c r="F147" s="266" t="s">
        <v>695</v>
      </c>
      <c r="G147" s="167" t="s">
        <v>828</v>
      </c>
      <c r="H147" s="167" t="s">
        <v>829</v>
      </c>
      <c r="I147" s="266" t="s">
        <v>830</v>
      </c>
      <c r="J147" s="301"/>
      <c r="K147" s="624" t="s">
        <v>801</v>
      </c>
      <c r="L147" s="449" t="s">
        <v>872</v>
      </c>
      <c r="M147" s="266" t="s">
        <v>694</v>
      </c>
      <c r="N147" s="266" t="s">
        <v>695</v>
      </c>
      <c r="O147" s="167" t="s">
        <v>828</v>
      </c>
      <c r="P147" s="167" t="s">
        <v>829</v>
      </c>
      <c r="Q147" s="266" t="s">
        <v>830</v>
      </c>
      <c r="R147" s="133"/>
      <c r="S147" s="133"/>
      <c r="T147" s="133"/>
      <c r="U147" s="133"/>
      <c r="V147" s="133"/>
      <c r="W147" s="133"/>
      <c r="X147" s="133"/>
      <c r="Y147" s="133"/>
      <c r="Z147" s="133"/>
      <c r="AJ147" s="297"/>
      <c r="AK147" s="297"/>
      <c r="AL147" s="297"/>
      <c r="AM147" s="297"/>
      <c r="AN147" s="297"/>
    </row>
    <row r="148" spans="1:40" hidden="1" x14ac:dyDescent="0.25">
      <c r="A148" s="301"/>
      <c r="B148" s="367"/>
      <c r="C148" s="149">
        <f>'Inputs and eligible population'!F89</f>
        <v>0</v>
      </c>
      <c r="D148" s="128">
        <f>D$7*'Inputs and eligible population'!E60*'Capacity (local prices)'!$C148</f>
        <v>0</v>
      </c>
      <c r="E148" s="128">
        <f>E$7*'Inputs and eligible population'!F60*'Capacity (local prices)'!$C148</f>
        <v>0</v>
      </c>
      <c r="F148" s="128">
        <f>F$7*'Inputs and eligible population'!G60*'Capacity (local prices)'!$C148</f>
        <v>0</v>
      </c>
      <c r="G148" s="128">
        <f>G$7*'Inputs and eligible population'!H60*'Capacity (local prices)'!$C148</f>
        <v>0</v>
      </c>
      <c r="H148" s="128">
        <f>H$7*'Inputs and eligible population'!I60*'Capacity (local prices)'!$C148</f>
        <v>0</v>
      </c>
      <c r="I148" s="128">
        <f>I$7*'Inputs and eligible population'!J60*'Capacity (local prices)'!$C148</f>
        <v>0</v>
      </c>
      <c r="J148" s="301"/>
      <c r="K148" s="639">
        <f>'Inputs and eligible population'!K90</f>
        <v>31.51</v>
      </c>
      <c r="L148" s="304">
        <f>(D148*C148*'Inputs and eligible population'!$F$90/60*$K148)/1000</f>
        <v>0</v>
      </c>
      <c r="M148" s="304">
        <f>(E148*D148*'Inputs and eligible population'!$F$90/60*$K148)/1000</f>
        <v>0</v>
      </c>
      <c r="N148" s="304">
        <f>(F148*E148*'Inputs and eligible population'!$F$90/60*$K148)/1000</f>
        <v>0</v>
      </c>
      <c r="O148" s="304">
        <f>(G148*F148*'Inputs and eligible population'!$F$90/60*$K148)/1000</f>
        <v>0</v>
      </c>
      <c r="P148" s="304">
        <f>(H148*G148*'Inputs and eligible population'!$F$90/60*$K148)/1000</f>
        <v>0</v>
      </c>
      <c r="Q148" s="304">
        <f>(I148*H148*'Inputs and eligible population'!$F$90/60*$K148)/1000</f>
        <v>0</v>
      </c>
      <c r="R148" s="133"/>
      <c r="S148" s="133"/>
      <c r="T148" s="133"/>
      <c r="U148" s="133"/>
      <c r="V148" s="133"/>
      <c r="W148" s="133"/>
      <c r="X148" s="133"/>
      <c r="Y148" s="133"/>
      <c r="Z148" s="133"/>
      <c r="AJ148" s="297"/>
      <c r="AK148" s="297"/>
      <c r="AL148" s="297"/>
      <c r="AM148" s="297"/>
      <c r="AN148" s="297"/>
    </row>
    <row r="149" spans="1:40" hidden="1" x14ac:dyDescent="0.25">
      <c r="A149" s="301"/>
      <c r="B149" s="367"/>
      <c r="C149" s="149">
        <f>'Inputs and eligible population'!G89</f>
        <v>0</v>
      </c>
      <c r="D149" s="128">
        <f>D$7*'Inputs and eligible population'!E62*'Capacity (local prices)'!$C149</f>
        <v>0</v>
      </c>
      <c r="E149" s="128">
        <f>E$7*'Inputs and eligible population'!F62*'Capacity (local prices)'!$C149</f>
        <v>0</v>
      </c>
      <c r="F149" s="128">
        <f>F$7*'Inputs and eligible population'!G62*'Capacity (local prices)'!$C149</f>
        <v>0</v>
      </c>
      <c r="G149" s="128">
        <f>G$7*'Inputs and eligible population'!H62*'Capacity (local prices)'!$C149</f>
        <v>0</v>
      </c>
      <c r="H149" s="128">
        <f>H$7*'Inputs and eligible population'!I62*'Capacity (local prices)'!$C149</f>
        <v>0</v>
      </c>
      <c r="I149" s="128">
        <f>I$7*'Inputs and eligible population'!J62*'Capacity (local prices)'!$C149</f>
        <v>0</v>
      </c>
      <c r="J149" s="301"/>
      <c r="K149" s="639">
        <f>'Inputs and eligible population'!K90</f>
        <v>31.51</v>
      </c>
      <c r="L149" s="304">
        <f>(D149*C149*'Inputs and eligible population'!$F$90/60*$K149)/1000</f>
        <v>0</v>
      </c>
      <c r="M149" s="304">
        <f>(E149*D149*'Inputs and eligible population'!$F$90/60*$K149)/1000</f>
        <v>0</v>
      </c>
      <c r="N149" s="304">
        <f>(F149*E149*'Inputs and eligible population'!$F$90/60*$K149)/1000</f>
        <v>0</v>
      </c>
      <c r="O149" s="304">
        <f>(G149*F149*'Inputs and eligible population'!$F$90/60*$K149)/1000</f>
        <v>0</v>
      </c>
      <c r="P149" s="304">
        <f>(H149*G149*'Inputs and eligible population'!$F$90/60*$K149)/1000</f>
        <v>0</v>
      </c>
      <c r="Q149" s="304">
        <f>(I149*H149*'Inputs and eligible population'!$F$90/60*$K149)/1000</f>
        <v>0</v>
      </c>
      <c r="R149" s="133"/>
      <c r="S149" s="133"/>
      <c r="T149" s="133"/>
      <c r="U149" s="133"/>
      <c r="V149" s="133"/>
      <c r="W149" s="133"/>
      <c r="X149" s="133"/>
      <c r="Y149" s="133"/>
      <c r="Z149" s="133"/>
      <c r="AJ149" s="297"/>
      <c r="AK149" s="297"/>
      <c r="AL149" s="297"/>
      <c r="AM149" s="297"/>
      <c r="AN149" s="297"/>
    </row>
    <row r="150" spans="1:40" hidden="1" x14ac:dyDescent="0.25">
      <c r="A150" s="301"/>
      <c r="B150" s="367"/>
      <c r="C150" s="149">
        <f>'Inputs and eligible population'!H89</f>
        <v>0</v>
      </c>
      <c r="D150" s="128" t="e">
        <f>D$7*'Inputs and eligible population'!#REF!*'Capacity (local prices)'!$C150</f>
        <v>#REF!</v>
      </c>
      <c r="E150" s="128" t="e">
        <f>E$7*'Inputs and eligible population'!#REF!*'Capacity (local prices)'!$C150</f>
        <v>#REF!</v>
      </c>
      <c r="F150" s="128" t="e">
        <f>F$7*'Inputs and eligible population'!#REF!*'Capacity (local prices)'!$C150</f>
        <v>#REF!</v>
      </c>
      <c r="G150" s="128" t="e">
        <f>G$7*'Inputs and eligible population'!#REF!*'Capacity (local prices)'!$C150</f>
        <v>#REF!</v>
      </c>
      <c r="H150" s="128" t="e">
        <f>H$7*'Inputs and eligible population'!#REF!*'Capacity (local prices)'!$C150</f>
        <v>#REF!</v>
      </c>
      <c r="I150" s="128" t="e">
        <f>I$7*'Inputs and eligible population'!#REF!*'Capacity (local prices)'!$C150</f>
        <v>#REF!</v>
      </c>
      <c r="J150" s="301"/>
      <c r="K150" s="639">
        <f>'Inputs and eligible population'!K90</f>
        <v>31.51</v>
      </c>
      <c r="L150" s="304" t="e">
        <f>(D150*C150*'Inputs and eligible population'!$F$90/60*$K150)/1000</f>
        <v>#REF!</v>
      </c>
      <c r="M150" s="304" t="e">
        <f>(E150*D150*'Inputs and eligible population'!$F$90/60*$K150)/1000</f>
        <v>#REF!</v>
      </c>
      <c r="N150" s="304" t="e">
        <f>(F150*E150*'Inputs and eligible population'!$F$90/60*$K150)/1000</f>
        <v>#REF!</v>
      </c>
      <c r="O150" s="304" t="e">
        <f>(G150*F150*'Inputs and eligible population'!$F$90/60*$K150)/1000</f>
        <v>#REF!</v>
      </c>
      <c r="P150" s="304" t="e">
        <f>(H150*G150*'Inputs and eligible population'!$F$90/60*$K150)/1000</f>
        <v>#REF!</v>
      </c>
      <c r="Q150" s="304" t="e">
        <f>(I150*H150*'Inputs and eligible population'!$F$90/60*$K150)/1000</f>
        <v>#REF!</v>
      </c>
      <c r="R150" s="133"/>
      <c r="S150" s="133"/>
      <c r="T150" s="133"/>
      <c r="U150" s="133"/>
      <c r="V150" s="133"/>
      <c r="W150" s="133"/>
      <c r="X150" s="133"/>
      <c r="Y150" s="133"/>
      <c r="Z150" s="133"/>
      <c r="AJ150" s="297"/>
      <c r="AK150" s="297"/>
      <c r="AL150" s="297"/>
      <c r="AM150" s="297"/>
      <c r="AN150" s="297"/>
    </row>
    <row r="151" spans="1:40" hidden="1" x14ac:dyDescent="0.25">
      <c r="A151" s="301"/>
      <c r="B151" s="294"/>
      <c r="C151" s="212"/>
      <c r="D151" s="190" t="e">
        <f t="shared" ref="D151:I151" si="108">SUM(D148:D150)</f>
        <v>#REF!</v>
      </c>
      <c r="E151" s="190" t="e">
        <f t="shared" si="108"/>
        <v>#REF!</v>
      </c>
      <c r="F151" s="190" t="e">
        <f t="shared" si="108"/>
        <v>#REF!</v>
      </c>
      <c r="G151" s="190" t="e">
        <f t="shared" si="108"/>
        <v>#REF!</v>
      </c>
      <c r="H151" s="190" t="e">
        <f t="shared" si="108"/>
        <v>#REF!</v>
      </c>
      <c r="I151" s="190" t="e">
        <f t="shared" si="108"/>
        <v>#REF!</v>
      </c>
      <c r="J151" s="301"/>
      <c r="K151" s="301"/>
      <c r="L151" s="305" t="e">
        <f>SUM(L148:L150)</f>
        <v>#REF!</v>
      </c>
      <c r="M151" s="305" t="e">
        <f t="shared" ref="M151" si="109">SUM(M148:M150)</f>
        <v>#REF!</v>
      </c>
      <c r="N151" s="305" t="e">
        <f t="shared" ref="N151" si="110">SUM(N148:N150)</f>
        <v>#REF!</v>
      </c>
      <c r="O151" s="305" t="e">
        <f t="shared" ref="O151" si="111">SUM(O148:O150)</f>
        <v>#REF!</v>
      </c>
      <c r="P151" s="305" t="e">
        <f t="shared" ref="P151" si="112">SUM(P148:P150)</f>
        <v>#REF!</v>
      </c>
      <c r="Q151" s="305" t="e">
        <f t="shared" ref="Q151" si="113">SUM(Q148:Q150)</f>
        <v>#REF!</v>
      </c>
      <c r="R151" s="133"/>
      <c r="S151" s="133"/>
      <c r="T151" s="133"/>
      <c r="U151" s="133"/>
      <c r="V151" s="133"/>
      <c r="W151" s="133"/>
      <c r="X151" s="133"/>
      <c r="Y151" s="133"/>
      <c r="Z151" s="133"/>
      <c r="AJ151" s="297"/>
      <c r="AK151" s="297"/>
      <c r="AL151" s="297"/>
      <c r="AM151" s="297"/>
      <c r="AN151" s="297"/>
    </row>
    <row r="152" spans="1:40" hidden="1" x14ac:dyDescent="0.25">
      <c r="A152" s="301"/>
      <c r="B152" s="321"/>
      <c r="C152" s="267"/>
      <c r="D152" s="296" t="s">
        <v>921</v>
      </c>
      <c r="E152" s="190" t="e">
        <f>E151-$D$151</f>
        <v>#REF!</v>
      </c>
      <c r="F152" s="190" t="e">
        <f>F151-$D$151</f>
        <v>#REF!</v>
      </c>
      <c r="G152" s="190" t="e">
        <f>G151-$D$151</f>
        <v>#REF!</v>
      </c>
      <c r="H152" s="190" t="e">
        <f>H151-$D$151</f>
        <v>#REF!</v>
      </c>
      <c r="I152" s="190" t="e">
        <f>I151-$D$151</f>
        <v>#REF!</v>
      </c>
      <c r="J152" s="301"/>
      <c r="K152" s="301"/>
      <c r="L152" s="604"/>
      <c r="M152" s="305" t="e">
        <f>M151-$L$151</f>
        <v>#REF!</v>
      </c>
      <c r="N152" s="305" t="e">
        <f t="shared" ref="N152:Q152" si="114">N151-$L$151</f>
        <v>#REF!</v>
      </c>
      <c r="O152" s="305" t="e">
        <f t="shared" si="114"/>
        <v>#REF!</v>
      </c>
      <c r="P152" s="305" t="e">
        <f t="shared" si="114"/>
        <v>#REF!</v>
      </c>
      <c r="Q152" s="305" t="e">
        <f t="shared" si="114"/>
        <v>#REF!</v>
      </c>
      <c r="V152" s="133"/>
    </row>
    <row r="153" spans="1:40" hidden="1" x14ac:dyDescent="0.25">
      <c r="A153" s="301"/>
      <c r="B153" s="345"/>
      <c r="C153" s="228"/>
      <c r="D153" s="228"/>
      <c r="E153" s="228"/>
      <c r="F153" s="228"/>
      <c r="G153" s="228"/>
      <c r="H153" s="228"/>
      <c r="I153" s="228"/>
      <c r="J153" s="228"/>
      <c r="K153" s="228"/>
      <c r="L153" s="228"/>
      <c r="M153" s="228"/>
      <c r="N153" s="228"/>
      <c r="O153" s="228"/>
      <c r="P153" s="228"/>
      <c r="Q153" s="228"/>
      <c r="V153" s="133"/>
    </row>
    <row r="154" spans="1:40" hidden="1" x14ac:dyDescent="0.25">
      <c r="A154" s="301"/>
      <c r="B154" s="424" t="s">
        <v>922</v>
      </c>
      <c r="C154" s="425"/>
      <c r="D154" s="425"/>
      <c r="E154" s="425"/>
      <c r="F154" s="425"/>
      <c r="G154" s="425"/>
      <c r="H154" s="425"/>
      <c r="I154" s="227"/>
      <c r="J154" s="228"/>
      <c r="K154" s="228"/>
      <c r="L154" s="228"/>
      <c r="M154" s="228"/>
      <c r="N154" s="228"/>
      <c r="O154" s="228"/>
      <c r="P154" s="228"/>
      <c r="Q154" s="228"/>
      <c r="R154" s="133"/>
      <c r="S154" s="133"/>
      <c r="T154" s="133"/>
      <c r="U154" s="133"/>
      <c r="V154" s="133"/>
      <c r="W154" s="133"/>
      <c r="X154" s="133"/>
      <c r="Y154" s="133"/>
      <c r="Z154" s="133"/>
      <c r="AJ154" s="297"/>
      <c r="AK154" s="297"/>
      <c r="AL154" s="297"/>
      <c r="AM154" s="297"/>
      <c r="AN154" s="297"/>
    </row>
    <row r="155" spans="1:40" ht="45" hidden="1" x14ac:dyDescent="0.25">
      <c r="A155" s="301"/>
      <c r="B155" s="290" t="s">
        <v>799</v>
      </c>
      <c r="C155" s="168" t="s">
        <v>922</v>
      </c>
      <c r="D155" s="449" t="s">
        <v>872</v>
      </c>
      <c r="E155" s="266" t="s">
        <v>694</v>
      </c>
      <c r="F155" s="266" t="s">
        <v>695</v>
      </c>
      <c r="G155" s="167" t="s">
        <v>828</v>
      </c>
      <c r="H155" s="167" t="s">
        <v>829</v>
      </c>
      <c r="I155" s="266" t="s">
        <v>830</v>
      </c>
      <c r="J155" s="301"/>
      <c r="K155" s="301"/>
      <c r="L155" s="228"/>
      <c r="M155" s="228"/>
      <c r="N155" s="228"/>
      <c r="O155" s="228"/>
      <c r="P155" s="228"/>
      <c r="Q155" s="228"/>
      <c r="R155" s="133"/>
      <c r="S155" s="133"/>
      <c r="T155" s="133"/>
      <c r="U155" s="133"/>
      <c r="V155" s="133"/>
      <c r="W155" s="133"/>
      <c r="X155" s="133"/>
      <c r="Y155" s="133"/>
      <c r="Z155" s="133"/>
      <c r="AJ155" s="297"/>
      <c r="AK155" s="297"/>
      <c r="AL155" s="297"/>
      <c r="AM155" s="297"/>
      <c r="AN155" s="297"/>
    </row>
    <row r="156" spans="1:40" hidden="1" x14ac:dyDescent="0.25">
      <c r="A156" s="301"/>
      <c r="B156" s="367"/>
      <c r="C156" s="149">
        <f>'Inputs and eligible population'!F91</f>
        <v>0</v>
      </c>
      <c r="D156" s="128">
        <f>'Financial impact (cash)'!D13*'Capacity (local prices)'!$C156</f>
        <v>0</v>
      </c>
      <c r="E156" s="128">
        <f>'Financial impact (cash)'!E13*'Capacity (local prices)'!$C156</f>
        <v>0</v>
      </c>
      <c r="F156" s="128">
        <f>'Financial impact (cash)'!F13*'Capacity (local prices)'!$C156</f>
        <v>0</v>
      </c>
      <c r="G156" s="128">
        <f>'Financial impact (cash)'!G13*'Capacity (local prices)'!$C156</f>
        <v>0</v>
      </c>
      <c r="H156" s="128">
        <f>'Financial impact (cash)'!H13*'Capacity (local prices)'!$C156</f>
        <v>0</v>
      </c>
      <c r="I156" s="128">
        <f>'Financial impact (cash)'!I13*'Capacity (local prices)'!$C156</f>
        <v>0</v>
      </c>
      <c r="J156" s="301"/>
      <c r="K156" s="301"/>
      <c r="L156" s="228"/>
      <c r="M156" s="228"/>
      <c r="N156" s="228"/>
      <c r="O156" s="228"/>
      <c r="P156" s="228"/>
      <c r="Q156" s="228"/>
      <c r="R156" s="133"/>
      <c r="S156" s="133"/>
      <c r="T156" s="133"/>
      <c r="U156" s="133"/>
      <c r="V156" s="133"/>
      <c r="W156" s="133"/>
      <c r="X156" s="133"/>
      <c r="Y156" s="133"/>
      <c r="Z156" s="133"/>
      <c r="AJ156" s="297"/>
      <c r="AK156" s="297"/>
      <c r="AL156" s="297"/>
      <c r="AM156" s="297"/>
      <c r="AN156" s="297"/>
    </row>
    <row r="157" spans="1:40" hidden="1" x14ac:dyDescent="0.25">
      <c r="A157" s="301"/>
      <c r="B157" s="367"/>
      <c r="C157" s="149">
        <f>'Inputs and eligible population'!G91</f>
        <v>0</v>
      </c>
      <c r="D157" s="128">
        <f>'Financial impact (cash)'!D15*'Capacity (local prices)'!$C157</f>
        <v>0</v>
      </c>
      <c r="E157" s="128">
        <f>'Financial impact (cash)'!E15*'Capacity (local prices)'!$C157</f>
        <v>0</v>
      </c>
      <c r="F157" s="128">
        <f>'Financial impact (cash)'!F15*'Capacity (local prices)'!$C157</f>
        <v>0</v>
      </c>
      <c r="G157" s="128">
        <f>'Financial impact (cash)'!G15*'Capacity (local prices)'!$C157</f>
        <v>0</v>
      </c>
      <c r="H157" s="128">
        <f>'Financial impact (cash)'!H15*'Capacity (local prices)'!$C157</f>
        <v>0</v>
      </c>
      <c r="I157" s="128">
        <f>'Financial impact (cash)'!I15*'Capacity (local prices)'!$C157</f>
        <v>0</v>
      </c>
      <c r="J157" s="301"/>
      <c r="K157" s="301"/>
      <c r="L157" s="228"/>
      <c r="M157" s="228"/>
      <c r="N157" s="228"/>
      <c r="O157" s="228"/>
      <c r="P157" s="228"/>
      <c r="Q157" s="228"/>
      <c r="R157" s="133"/>
      <c r="S157" s="133"/>
      <c r="T157" s="133"/>
      <c r="U157" s="133"/>
      <c r="V157" s="133"/>
      <c r="W157" s="133"/>
      <c r="X157" s="133"/>
      <c r="Y157" s="133"/>
      <c r="Z157" s="133"/>
      <c r="AJ157" s="297"/>
      <c r="AK157" s="297"/>
      <c r="AL157" s="297"/>
      <c r="AM157" s="297"/>
      <c r="AN157" s="297"/>
    </row>
    <row r="158" spans="1:40" hidden="1" x14ac:dyDescent="0.25">
      <c r="A158" s="301"/>
      <c r="B158" s="367"/>
      <c r="C158" s="149">
        <f>'Inputs and eligible population'!H91</f>
        <v>0</v>
      </c>
      <c r="D158" s="128" t="e">
        <f>'Financial impact (cash)'!#REF!*'Capacity (local prices)'!$C158</f>
        <v>#REF!</v>
      </c>
      <c r="E158" s="128" t="e">
        <f>'Financial impact (cash)'!#REF!*'Capacity (local prices)'!$C158</f>
        <v>#REF!</v>
      </c>
      <c r="F158" s="128" t="e">
        <f>'Financial impact (cash)'!#REF!*'Capacity (local prices)'!$C158</f>
        <v>#REF!</v>
      </c>
      <c r="G158" s="128" t="e">
        <f>'Financial impact (cash)'!#REF!*'Capacity (local prices)'!$C158</f>
        <v>#REF!</v>
      </c>
      <c r="H158" s="128" t="e">
        <f>'Financial impact (cash)'!#REF!*'Capacity (local prices)'!$C158</f>
        <v>#REF!</v>
      </c>
      <c r="I158" s="128" t="e">
        <f>'Financial impact (cash)'!#REF!*'Capacity (local prices)'!$C158</f>
        <v>#REF!</v>
      </c>
      <c r="J158" s="301"/>
      <c r="K158" s="301"/>
      <c r="L158" s="228"/>
      <c r="M158" s="228"/>
      <c r="N158" s="228"/>
      <c r="O158" s="228"/>
      <c r="P158" s="228"/>
      <c r="Q158" s="228"/>
      <c r="R158" s="133"/>
      <c r="S158" s="133"/>
      <c r="T158" s="133"/>
      <c r="U158" s="133"/>
      <c r="V158" s="133"/>
      <c r="W158" s="133"/>
      <c r="X158" s="133"/>
      <c r="Y158" s="133"/>
      <c r="Z158" s="133"/>
      <c r="AJ158" s="297"/>
      <c r="AK158" s="297"/>
      <c r="AL158" s="297"/>
      <c r="AM158" s="297"/>
      <c r="AN158" s="297"/>
    </row>
    <row r="159" spans="1:40" hidden="1" x14ac:dyDescent="0.25">
      <c r="A159" s="301"/>
      <c r="B159" s="294"/>
      <c r="C159" s="212"/>
      <c r="D159" s="190" t="e">
        <f t="shared" ref="D159:I159" si="115">SUM(D156:D158)</f>
        <v>#REF!</v>
      </c>
      <c r="E159" s="190" t="e">
        <f t="shared" si="115"/>
        <v>#REF!</v>
      </c>
      <c r="F159" s="190" t="e">
        <f t="shared" si="115"/>
        <v>#REF!</v>
      </c>
      <c r="G159" s="190" t="e">
        <f t="shared" si="115"/>
        <v>#REF!</v>
      </c>
      <c r="H159" s="190" t="e">
        <f t="shared" si="115"/>
        <v>#REF!</v>
      </c>
      <c r="I159" s="190" t="e">
        <f t="shared" si="115"/>
        <v>#REF!</v>
      </c>
      <c r="J159" s="301"/>
      <c r="K159" s="301"/>
      <c r="L159" s="228"/>
      <c r="M159" s="228"/>
      <c r="N159" s="228"/>
      <c r="O159" s="228"/>
      <c r="P159" s="228"/>
      <c r="Q159" s="228"/>
      <c r="R159" s="133"/>
      <c r="S159" s="133"/>
      <c r="T159" s="133"/>
      <c r="U159" s="133"/>
      <c r="V159" s="133"/>
      <c r="W159" s="133"/>
      <c r="X159" s="133"/>
      <c r="Y159" s="133"/>
      <c r="Z159" s="133"/>
      <c r="AJ159" s="297"/>
      <c r="AK159" s="297"/>
      <c r="AL159" s="297"/>
      <c r="AM159" s="297"/>
      <c r="AN159" s="297"/>
    </row>
    <row r="160" spans="1:40" hidden="1" x14ac:dyDescent="0.25">
      <c r="A160" s="301"/>
      <c r="B160" s="321"/>
      <c r="C160" s="267"/>
      <c r="D160" s="296" t="s">
        <v>923</v>
      </c>
      <c r="E160" s="190" t="e">
        <f>E159-$D$159</f>
        <v>#REF!</v>
      </c>
      <c r="F160" s="190" t="e">
        <f>F159-$D$159</f>
        <v>#REF!</v>
      </c>
      <c r="G160" s="190" t="e">
        <f>G159-$D$159</f>
        <v>#REF!</v>
      </c>
      <c r="H160" s="190" t="e">
        <f>H159-$D$159</f>
        <v>#REF!</v>
      </c>
      <c r="I160" s="190" t="e">
        <f>I159-$D$159</f>
        <v>#REF!</v>
      </c>
      <c r="J160" s="301"/>
      <c r="K160" s="301"/>
      <c r="L160" s="228"/>
      <c r="M160" s="228"/>
      <c r="N160" s="228"/>
      <c r="O160" s="228"/>
      <c r="P160" s="228"/>
      <c r="Q160" s="228"/>
      <c r="V160" s="133"/>
    </row>
    <row r="161" spans="1:40" hidden="1" x14ac:dyDescent="0.25">
      <c r="A161" s="301"/>
      <c r="B161" s="301"/>
      <c r="C161" s="228"/>
      <c r="D161" s="301"/>
      <c r="E161" s="301"/>
      <c r="F161" s="301"/>
      <c r="G161" s="301"/>
      <c r="H161" s="301"/>
      <c r="I161" s="228"/>
      <c r="J161" s="228"/>
      <c r="K161" s="228"/>
      <c r="L161" s="228"/>
      <c r="M161" s="228"/>
      <c r="N161" s="228"/>
      <c r="O161" s="228"/>
      <c r="P161" s="228"/>
      <c r="Q161" s="228"/>
      <c r="V161" s="133"/>
    </row>
    <row r="162" spans="1:40" hidden="1" x14ac:dyDescent="0.25">
      <c r="A162" s="301"/>
      <c r="B162" s="424" t="s">
        <v>924</v>
      </c>
      <c r="C162" s="425"/>
      <c r="D162" s="425"/>
      <c r="E162" s="425"/>
      <c r="F162" s="425"/>
      <c r="G162" s="425"/>
      <c r="H162" s="425"/>
      <c r="I162" s="227"/>
      <c r="J162" s="228"/>
      <c r="K162" s="228"/>
      <c r="L162" s="458"/>
      <c r="M162" s="458"/>
      <c r="N162" s="458"/>
      <c r="O162" s="458"/>
      <c r="P162" s="458"/>
      <c r="Q162" s="458"/>
      <c r="V162" s="133"/>
    </row>
    <row r="163" spans="1:40" ht="75" hidden="1" x14ac:dyDescent="0.25">
      <c r="A163" s="301"/>
      <c r="B163" s="290" t="s">
        <v>799</v>
      </c>
      <c r="C163" s="168" t="s">
        <v>925</v>
      </c>
      <c r="D163" s="449" t="s">
        <v>872</v>
      </c>
      <c r="E163" s="266" t="s">
        <v>694</v>
      </c>
      <c r="F163" s="266" t="s">
        <v>695</v>
      </c>
      <c r="G163" s="167" t="s">
        <v>828</v>
      </c>
      <c r="H163" s="167" t="s">
        <v>829</v>
      </c>
      <c r="I163" s="266" t="s">
        <v>830</v>
      </c>
      <c r="J163" s="301"/>
      <c r="K163" s="624" t="s">
        <v>801</v>
      </c>
      <c r="L163" s="449" t="s">
        <v>872</v>
      </c>
      <c r="M163" s="266" t="s">
        <v>694</v>
      </c>
      <c r="N163" s="266" t="s">
        <v>695</v>
      </c>
      <c r="O163" s="167" t="s">
        <v>828</v>
      </c>
      <c r="P163" s="167" t="s">
        <v>829</v>
      </c>
      <c r="Q163" s="266" t="s">
        <v>830</v>
      </c>
      <c r="V163" s="133"/>
    </row>
    <row r="164" spans="1:40" hidden="1" x14ac:dyDescent="0.25">
      <c r="A164" s="301"/>
      <c r="B164" s="367"/>
      <c r="C164" s="149">
        <f>'Inputs and eligible population'!F92</f>
        <v>0</v>
      </c>
      <c r="D164" s="128">
        <f>($C156*$C164*'Financial impact (cash)'!D13)/60</f>
        <v>0</v>
      </c>
      <c r="E164" s="128">
        <f>($C156*$C164*'Financial impact (cash)'!E13)/60</f>
        <v>0</v>
      </c>
      <c r="F164" s="128">
        <f>($C156*$C164*'Financial impact (cash)'!F13)/60</f>
        <v>0</v>
      </c>
      <c r="G164" s="128">
        <f>($C156*$C164*'Financial impact (cash)'!G13)/60</f>
        <v>0</v>
      </c>
      <c r="H164" s="128">
        <f>($C156*$C164*'Financial impact (cash)'!H13)/60</f>
        <v>0</v>
      </c>
      <c r="I164" s="128">
        <f>($C156*$C164*'Financial impact (cash)'!I13)/60</f>
        <v>0</v>
      </c>
      <c r="J164" s="301"/>
      <c r="K164" s="639">
        <f>'Inputs and eligible population'!K92</f>
        <v>43.28</v>
      </c>
      <c r="L164" s="304">
        <f>(D164*C164*'Inputs and eligible population'!$F$92/60*$K164)/1000</f>
        <v>0</v>
      </c>
      <c r="M164" s="304">
        <f>(E164*D164*'Inputs and eligible population'!$F$92/60*$K164)/1000</f>
        <v>0</v>
      </c>
      <c r="N164" s="304">
        <f>(F164*E164*'Inputs and eligible population'!$F$92/60*$K164)/1000</f>
        <v>0</v>
      </c>
      <c r="O164" s="304">
        <f>(G164*F164*'Inputs and eligible population'!$F$92/60*$K164)/1000</f>
        <v>0</v>
      </c>
      <c r="P164" s="304">
        <f>(H164*G164*'Inputs and eligible population'!$F$92/60*$K164)/1000</f>
        <v>0</v>
      </c>
      <c r="Q164" s="304">
        <f>(I164*H164*'Inputs and eligible population'!$F$92/60*$K164)/1000</f>
        <v>0</v>
      </c>
      <c r="V164" s="133"/>
    </row>
    <row r="165" spans="1:40" hidden="1" x14ac:dyDescent="0.25">
      <c r="A165" s="301"/>
      <c r="B165" s="367"/>
      <c r="C165" s="149">
        <f>'Inputs and eligible population'!G92</f>
        <v>0</v>
      </c>
      <c r="D165" s="128">
        <f>($C157*$C165*'Financial impact (cash)'!D15)/60</f>
        <v>0</v>
      </c>
      <c r="E165" s="128">
        <f>($C157*$C165*'Financial impact (cash)'!E15)/60</f>
        <v>0</v>
      </c>
      <c r="F165" s="128">
        <f>($C157*$C165*'Financial impact (cash)'!F15)/60</f>
        <v>0</v>
      </c>
      <c r="G165" s="128">
        <f>($C157*$C165*'Financial impact (cash)'!G15)/60</f>
        <v>0</v>
      </c>
      <c r="H165" s="128">
        <f>($C157*$C165*'Financial impact (cash)'!H15)/60</f>
        <v>0</v>
      </c>
      <c r="I165" s="128">
        <f>($C157*$C165*'Financial impact (cash)'!I15)/60</f>
        <v>0</v>
      </c>
      <c r="J165" s="301"/>
      <c r="K165" s="639">
        <f>'Inputs and eligible population'!K92</f>
        <v>43.28</v>
      </c>
      <c r="L165" s="304">
        <f>(D165*C165*'Inputs and eligible population'!$F$92/60*$K165)/1000</f>
        <v>0</v>
      </c>
      <c r="M165" s="304">
        <f>(E165*D165*'Inputs and eligible population'!$F$92/60*$K165)/1000</f>
        <v>0</v>
      </c>
      <c r="N165" s="304">
        <f>(F165*E165*'Inputs and eligible population'!$F$92/60*$K165)/1000</f>
        <v>0</v>
      </c>
      <c r="O165" s="304">
        <f>(G165*F165*'Inputs and eligible population'!$F$92/60*$K165)/1000</f>
        <v>0</v>
      </c>
      <c r="P165" s="304">
        <f>(H165*G165*'Inputs and eligible population'!$F$92/60*$K165)/1000</f>
        <v>0</v>
      </c>
      <c r="Q165" s="304">
        <f>(I165*H165*'Inputs and eligible population'!$F$92/60*$K165)/1000</f>
        <v>0</v>
      </c>
      <c r="V165" s="133"/>
    </row>
    <row r="166" spans="1:40" hidden="1" x14ac:dyDescent="0.25">
      <c r="A166" s="301"/>
      <c r="B166" s="367"/>
      <c r="C166" s="149">
        <f>'Inputs and eligible population'!H92</f>
        <v>0</v>
      </c>
      <c r="D166" s="128" t="e">
        <f>($C158*$C166*'Financial impact (cash)'!#REF!)/60</f>
        <v>#REF!</v>
      </c>
      <c r="E166" s="128" t="e">
        <f>($C158*$C166*'Financial impact (cash)'!#REF!)/60</f>
        <v>#REF!</v>
      </c>
      <c r="F166" s="128" t="e">
        <f>($C158*$C166*'Financial impact (cash)'!#REF!)/60</f>
        <v>#REF!</v>
      </c>
      <c r="G166" s="128" t="e">
        <f>($C158*$C166*'Financial impact (cash)'!#REF!)/60</f>
        <v>#REF!</v>
      </c>
      <c r="H166" s="128" t="e">
        <f>($C158*$C166*'Financial impact (cash)'!#REF!)/60</f>
        <v>#REF!</v>
      </c>
      <c r="I166" s="128" t="e">
        <f>($C158*$C166*'Financial impact (cash)'!#REF!)/60</f>
        <v>#REF!</v>
      </c>
      <c r="J166" s="301"/>
      <c r="K166" s="639">
        <f>'Inputs and eligible population'!K92</f>
        <v>43.28</v>
      </c>
      <c r="L166" s="304" t="e">
        <f>(D166*C166*'Inputs and eligible population'!$F$92/60*$K166)/1000</f>
        <v>#REF!</v>
      </c>
      <c r="M166" s="304" t="e">
        <f>(E166*D166*'Inputs and eligible population'!$F$92/60*$K166)/1000</f>
        <v>#REF!</v>
      </c>
      <c r="N166" s="304" t="e">
        <f>(F166*E166*'Inputs and eligible population'!$F$92/60*$K166)/1000</f>
        <v>#REF!</v>
      </c>
      <c r="O166" s="304" t="e">
        <f>(G166*F166*'Inputs and eligible population'!$F$92/60*$K166)/1000</f>
        <v>#REF!</v>
      </c>
      <c r="P166" s="304" t="e">
        <f>(H166*G166*'Inputs and eligible population'!$F$92/60*$K166)/1000</f>
        <v>#REF!</v>
      </c>
      <c r="Q166" s="304" t="e">
        <f>(I166*H166*'Inputs and eligible population'!$F$92/60*$K166)/1000</f>
        <v>#REF!</v>
      </c>
      <c r="V166" s="133"/>
    </row>
    <row r="167" spans="1:40" hidden="1" x14ac:dyDescent="0.25">
      <c r="A167" s="301"/>
      <c r="B167" s="294"/>
      <c r="C167" s="212"/>
      <c r="D167" s="190" t="e">
        <f t="shared" ref="D167:I167" si="116">SUM(D164:D166)</f>
        <v>#REF!</v>
      </c>
      <c r="E167" s="190" t="e">
        <f t="shared" si="116"/>
        <v>#REF!</v>
      </c>
      <c r="F167" s="190" t="e">
        <f t="shared" si="116"/>
        <v>#REF!</v>
      </c>
      <c r="G167" s="190" t="e">
        <f t="shared" si="116"/>
        <v>#REF!</v>
      </c>
      <c r="H167" s="190" t="e">
        <f t="shared" si="116"/>
        <v>#REF!</v>
      </c>
      <c r="I167" s="190" t="e">
        <f t="shared" si="116"/>
        <v>#REF!</v>
      </c>
      <c r="J167" s="301"/>
      <c r="K167" s="301"/>
      <c r="L167" s="305" t="e">
        <f>SUM(L164:L166)</f>
        <v>#REF!</v>
      </c>
      <c r="M167" s="305" t="e">
        <f t="shared" ref="M167" si="117">SUM(M164:M166)</f>
        <v>#REF!</v>
      </c>
      <c r="N167" s="305" t="e">
        <f t="shared" ref="N167" si="118">SUM(N164:N166)</f>
        <v>#REF!</v>
      </c>
      <c r="O167" s="305" t="e">
        <f t="shared" ref="O167" si="119">SUM(O164:O166)</f>
        <v>#REF!</v>
      </c>
      <c r="P167" s="305" t="e">
        <f t="shared" ref="P167" si="120">SUM(P164:P166)</f>
        <v>#REF!</v>
      </c>
      <c r="Q167" s="305" t="e">
        <f t="shared" ref="Q167" si="121">SUM(Q164:Q166)</f>
        <v>#REF!</v>
      </c>
      <c r="V167" s="133"/>
    </row>
    <row r="168" spans="1:40" hidden="1" x14ac:dyDescent="0.25">
      <c r="A168" s="301"/>
      <c r="B168" s="321"/>
      <c r="C168" s="267"/>
      <c r="D168" s="296" t="s">
        <v>926</v>
      </c>
      <c r="E168" s="190" t="e">
        <f>E167-$D$167</f>
        <v>#REF!</v>
      </c>
      <c r="F168" s="190" t="e">
        <f>F167-$D$167</f>
        <v>#REF!</v>
      </c>
      <c r="G168" s="190" t="e">
        <f>G167-$D$167</f>
        <v>#REF!</v>
      </c>
      <c r="H168" s="190" t="e">
        <f>H167-$D$167</f>
        <v>#REF!</v>
      </c>
      <c r="I168" s="190" t="e">
        <f>I167-$D$167</f>
        <v>#REF!</v>
      </c>
      <c r="J168" s="301"/>
      <c r="K168" s="301"/>
      <c r="L168" s="604"/>
      <c r="M168" s="305" t="e">
        <f>M167-$L$167</f>
        <v>#REF!</v>
      </c>
      <c r="N168" s="305" t="e">
        <f t="shared" ref="N168:Q168" si="122">N167-$L$167</f>
        <v>#REF!</v>
      </c>
      <c r="O168" s="305" t="e">
        <f t="shared" si="122"/>
        <v>#REF!</v>
      </c>
      <c r="P168" s="305" t="e">
        <f t="shared" si="122"/>
        <v>#REF!</v>
      </c>
      <c r="Q168" s="305" t="e">
        <f t="shared" si="122"/>
        <v>#REF!</v>
      </c>
      <c r="V168" s="133"/>
    </row>
    <row r="169" spans="1:40" hidden="1" x14ac:dyDescent="0.25">
      <c r="A169" s="301"/>
      <c r="B169" s="301"/>
      <c r="C169" s="228"/>
      <c r="D169" s="301"/>
      <c r="E169" s="301"/>
      <c r="F169" s="301"/>
      <c r="G169" s="301"/>
      <c r="H169" s="301"/>
      <c r="I169" s="228"/>
      <c r="J169" s="228"/>
      <c r="K169" s="228"/>
      <c r="L169" s="228"/>
      <c r="M169" s="228"/>
      <c r="N169" s="228"/>
      <c r="O169" s="228"/>
      <c r="P169" s="228"/>
      <c r="Q169" s="228"/>
      <c r="V169" s="133"/>
    </row>
    <row r="170" spans="1:40" x14ac:dyDescent="0.25">
      <c r="A170" s="302"/>
      <c r="B170" s="346" t="s">
        <v>927</v>
      </c>
      <c r="C170" s="331"/>
      <c r="D170" s="332"/>
      <c r="E170" s="333"/>
      <c r="F170" s="334"/>
      <c r="G170" s="334"/>
      <c r="H170" s="334"/>
      <c r="I170" s="459"/>
      <c r="J170" s="467"/>
      <c r="K170" s="302"/>
      <c r="L170" s="302"/>
      <c r="M170" s="302"/>
      <c r="N170" s="302"/>
      <c r="O170" s="302"/>
      <c r="P170" s="302"/>
      <c r="Q170" s="302"/>
      <c r="R170" s="133"/>
      <c r="S170" s="133"/>
      <c r="T170" s="133"/>
      <c r="U170" s="133"/>
      <c r="V170" s="133"/>
      <c r="W170" s="133"/>
      <c r="X170" s="133"/>
      <c r="Y170" s="133"/>
      <c r="Z170" s="133"/>
      <c r="AJ170" s="297"/>
      <c r="AK170" s="297"/>
      <c r="AL170" s="297"/>
      <c r="AM170" s="297"/>
      <c r="AN170" s="297"/>
    </row>
    <row r="171" spans="1:40" x14ac:dyDescent="0.25">
      <c r="A171" s="302"/>
      <c r="B171" s="426" t="s">
        <v>928</v>
      </c>
      <c r="C171" s="427"/>
      <c r="D171" s="427"/>
      <c r="E171" s="427"/>
      <c r="F171" s="427"/>
      <c r="G171" s="427"/>
      <c r="H171" s="427"/>
      <c r="I171" s="229"/>
      <c r="J171" s="465"/>
      <c r="K171" s="465"/>
      <c r="L171" s="466"/>
      <c r="M171" s="466"/>
      <c r="N171" s="466"/>
      <c r="O171" s="466"/>
      <c r="P171" s="466"/>
      <c r="Q171" s="466"/>
      <c r="R171" s="133"/>
      <c r="S171" s="133"/>
      <c r="T171" s="133"/>
      <c r="U171" s="133"/>
      <c r="V171" s="133"/>
      <c r="W171" s="133"/>
      <c r="X171" s="133"/>
      <c r="Y171" s="133"/>
      <c r="Z171" s="133"/>
      <c r="AJ171" s="297"/>
      <c r="AK171" s="297"/>
      <c r="AL171" s="297"/>
      <c r="AM171" s="297"/>
      <c r="AN171" s="297"/>
    </row>
    <row r="172" spans="1:40" ht="60" x14ac:dyDescent="0.25">
      <c r="A172" s="302"/>
      <c r="B172" s="290" t="s">
        <v>799</v>
      </c>
      <c r="C172" s="168" t="s">
        <v>929</v>
      </c>
      <c r="D172" s="449" t="s">
        <v>872</v>
      </c>
      <c r="E172" s="266" t="s">
        <v>694</v>
      </c>
      <c r="F172" s="266" t="s">
        <v>695</v>
      </c>
      <c r="G172" s="167" t="s">
        <v>828</v>
      </c>
      <c r="H172" s="167" t="s">
        <v>829</v>
      </c>
      <c r="I172" s="266" t="s">
        <v>830</v>
      </c>
      <c r="J172" s="302"/>
      <c r="K172" s="624" t="s">
        <v>801</v>
      </c>
      <c r="L172" s="449" t="s">
        <v>872</v>
      </c>
      <c r="M172" s="266" t="s">
        <v>694</v>
      </c>
      <c r="N172" s="266" t="s">
        <v>695</v>
      </c>
      <c r="O172" s="167" t="s">
        <v>828</v>
      </c>
      <c r="P172" s="167" t="s">
        <v>829</v>
      </c>
      <c r="Q172" s="266" t="s">
        <v>830</v>
      </c>
      <c r="R172" s="133"/>
      <c r="S172" s="133"/>
      <c r="T172" s="133"/>
      <c r="U172" s="133"/>
      <c r="V172" s="133"/>
      <c r="W172" s="133"/>
      <c r="X172" s="133"/>
      <c r="Y172" s="133"/>
      <c r="Z172" s="133"/>
      <c r="AJ172" s="297"/>
      <c r="AK172" s="297"/>
      <c r="AL172" s="297"/>
      <c r="AM172" s="297"/>
      <c r="AN172" s="297"/>
    </row>
    <row r="173" spans="1:40" x14ac:dyDescent="0.25">
      <c r="A173" s="302"/>
      <c r="B173" s="367" t="s">
        <v>721</v>
      </c>
      <c r="C173" s="757">
        <f>'Unit costs'!D39</f>
        <v>0</v>
      </c>
      <c r="D173" s="128">
        <f>('Financial impact (cash)'!D13+'Financial impact (cash)'!D14*'Unit costs'!$C39)*C173</f>
        <v>0</v>
      </c>
      <c r="E173" s="128">
        <f>('Financial impact (cash)'!E13+'Financial impact (cash)'!E14*'Unit costs'!$C39)*D173</f>
        <v>0</v>
      </c>
      <c r="F173" s="128">
        <f>('Financial impact (cash)'!F13+'Financial impact (cash)'!F14*'Unit costs'!$C39)*E173</f>
        <v>0</v>
      </c>
      <c r="G173" s="128">
        <f>('Financial impact (cash)'!G13+'Financial impact (cash)'!G14*'Unit costs'!$C39)*F173</f>
        <v>0</v>
      </c>
      <c r="H173" s="128">
        <f>('Financial impact (cash)'!H13+'Financial impact (cash)'!H14*'Unit costs'!$C39)*G173</f>
        <v>0</v>
      </c>
      <c r="I173" s="128">
        <f>('Financial impact (cash)'!I13+'Financial impact (cash)'!I14*'Unit costs'!$C39)*H173</f>
        <v>0</v>
      </c>
      <c r="J173" s="302"/>
      <c r="K173" s="639">
        <f>'Unit costs'!E39</f>
        <v>0</v>
      </c>
      <c r="L173" s="304">
        <f>(D173*$K173)/1000</f>
        <v>0</v>
      </c>
      <c r="M173" s="304">
        <f t="shared" ref="M173:Q174" si="123">(E173*$K173)/1000</f>
        <v>0</v>
      </c>
      <c r="N173" s="304">
        <f t="shared" si="123"/>
        <v>0</v>
      </c>
      <c r="O173" s="304">
        <f t="shared" si="123"/>
        <v>0</v>
      </c>
      <c r="P173" s="304">
        <f t="shared" si="123"/>
        <v>0</v>
      </c>
      <c r="Q173" s="304">
        <f t="shared" si="123"/>
        <v>0</v>
      </c>
      <c r="R173" s="133"/>
      <c r="S173" s="133"/>
      <c r="T173" s="133"/>
      <c r="U173" s="133"/>
      <c r="V173" s="133"/>
      <c r="W173" s="133"/>
      <c r="X173" s="133"/>
      <c r="Y173" s="133"/>
      <c r="Z173" s="133"/>
      <c r="AJ173" s="297"/>
      <c r="AK173" s="297"/>
      <c r="AL173" s="297"/>
      <c r="AM173" s="297"/>
      <c r="AN173" s="297"/>
    </row>
    <row r="174" spans="1:40" x14ac:dyDescent="0.25">
      <c r="A174" s="302"/>
      <c r="B174" s="367" t="s">
        <v>723</v>
      </c>
      <c r="C174" s="757">
        <f>'Unit costs'!D40</f>
        <v>0</v>
      </c>
      <c r="D174" s="128">
        <f>('Financial impact (cash)'!D15*'Unit costs'!$C40)*C174</f>
        <v>0</v>
      </c>
      <c r="E174" s="128">
        <f>('Financial impact (cash)'!E15*'Unit costs'!$C40)*D174</f>
        <v>0</v>
      </c>
      <c r="F174" s="128">
        <f>('Financial impact (cash)'!F15*'Unit costs'!$C40)*E174</f>
        <v>0</v>
      </c>
      <c r="G174" s="128">
        <f>('Financial impact (cash)'!G15*'Unit costs'!$C40)*F174</f>
        <v>0</v>
      </c>
      <c r="H174" s="128">
        <f>('Financial impact (cash)'!H15*'Unit costs'!$C40)*G174</f>
        <v>0</v>
      </c>
      <c r="I174" s="128">
        <f>('Financial impact (cash)'!I15*'Unit costs'!$C40)*H174</f>
        <v>0</v>
      </c>
      <c r="J174" s="302"/>
      <c r="K174" s="639">
        <f>'Unit costs'!E40</f>
        <v>0</v>
      </c>
      <c r="L174" s="304">
        <f t="shared" ref="L174" si="124">(D174*$K174)/1000</f>
        <v>0</v>
      </c>
      <c r="M174" s="304">
        <f t="shared" si="123"/>
        <v>0</v>
      </c>
      <c r="N174" s="304">
        <f t="shared" si="123"/>
        <v>0</v>
      </c>
      <c r="O174" s="304">
        <f t="shared" si="123"/>
        <v>0</v>
      </c>
      <c r="P174" s="304">
        <f t="shared" si="123"/>
        <v>0</v>
      </c>
      <c r="Q174" s="304">
        <f t="shared" si="123"/>
        <v>0</v>
      </c>
      <c r="R174" s="133"/>
      <c r="S174" s="133"/>
      <c r="T174" s="133"/>
      <c r="U174" s="133"/>
      <c r="V174" s="133"/>
      <c r="W174" s="133"/>
      <c r="X174" s="133"/>
      <c r="Y174" s="133"/>
      <c r="Z174" s="133"/>
      <c r="AJ174" s="297"/>
      <c r="AK174" s="297"/>
      <c r="AL174" s="297"/>
      <c r="AM174" s="297"/>
      <c r="AN174" s="297"/>
    </row>
    <row r="175" spans="1:40" x14ac:dyDescent="0.25">
      <c r="A175" s="302"/>
      <c r="B175" s="291"/>
      <c r="C175" s="214"/>
      <c r="D175" s="190">
        <f t="shared" ref="D175:I175" si="125">SUM(D173:D174)</f>
        <v>0</v>
      </c>
      <c r="E175" s="190">
        <f t="shared" si="125"/>
        <v>0</v>
      </c>
      <c r="F175" s="190">
        <f t="shared" si="125"/>
        <v>0</v>
      </c>
      <c r="G175" s="190">
        <f t="shared" si="125"/>
        <v>0</v>
      </c>
      <c r="H175" s="190">
        <f t="shared" si="125"/>
        <v>0</v>
      </c>
      <c r="I175" s="190">
        <f t="shared" si="125"/>
        <v>0</v>
      </c>
      <c r="J175" s="302"/>
      <c r="K175" s="302"/>
      <c r="L175" s="305">
        <f t="shared" ref="L175:Q175" si="126">SUM(L173:L174)</f>
        <v>0</v>
      </c>
      <c r="M175" s="305">
        <f t="shared" si="126"/>
        <v>0</v>
      </c>
      <c r="N175" s="305">
        <f t="shared" si="126"/>
        <v>0</v>
      </c>
      <c r="O175" s="305">
        <f t="shared" si="126"/>
        <v>0</v>
      </c>
      <c r="P175" s="305">
        <f t="shared" si="126"/>
        <v>0</v>
      </c>
      <c r="Q175" s="305">
        <f t="shared" si="126"/>
        <v>0</v>
      </c>
      <c r="R175" s="133"/>
      <c r="S175" s="133"/>
      <c r="T175" s="133"/>
      <c r="U175" s="133"/>
      <c r="V175" s="133"/>
      <c r="W175" s="133"/>
      <c r="X175" s="133"/>
      <c r="Y175" s="133"/>
      <c r="Z175" s="133"/>
      <c r="AJ175" s="297"/>
      <c r="AK175" s="297"/>
      <c r="AL175" s="297"/>
      <c r="AM175" s="297"/>
      <c r="AN175" s="297"/>
    </row>
    <row r="176" spans="1:40" x14ac:dyDescent="0.25">
      <c r="A176" s="302"/>
      <c r="B176" s="321"/>
      <c r="C176" s="214"/>
      <c r="D176" s="296" t="s">
        <v>930</v>
      </c>
      <c r="E176" s="190">
        <f>E175-$D$175</f>
        <v>0</v>
      </c>
      <c r="F176" s="190">
        <f>F175-$D$175</f>
        <v>0</v>
      </c>
      <c r="G176" s="190">
        <f>G175-$D$175</f>
        <v>0</v>
      </c>
      <c r="H176" s="190">
        <f>H175-$D$175</f>
        <v>0</v>
      </c>
      <c r="I176" s="190">
        <f>I175-$D$175</f>
        <v>0</v>
      </c>
      <c r="J176" s="302"/>
      <c r="K176" s="302"/>
      <c r="L176" s="605"/>
      <c r="M176" s="305">
        <f>M175-$L$175</f>
        <v>0</v>
      </c>
      <c r="N176" s="305">
        <f t="shared" ref="N176:Q176" si="127">N175-$L$175</f>
        <v>0</v>
      </c>
      <c r="O176" s="305">
        <f t="shared" si="127"/>
        <v>0</v>
      </c>
      <c r="P176" s="305">
        <f t="shared" si="127"/>
        <v>0</v>
      </c>
      <c r="Q176" s="305">
        <f t="shared" si="127"/>
        <v>0</v>
      </c>
    </row>
    <row r="177" spans="1:17" x14ac:dyDescent="0.25">
      <c r="A177" s="302"/>
      <c r="B177" s="302"/>
      <c r="C177" s="302"/>
      <c r="D177" s="302"/>
      <c r="E177" s="302"/>
      <c r="F177" s="302"/>
      <c r="G177" s="302"/>
      <c r="H177" s="302"/>
      <c r="I177" s="302"/>
      <c r="J177" s="302"/>
      <c r="K177" s="302"/>
      <c r="L177" s="302"/>
      <c r="M177" s="302"/>
      <c r="N177" s="302"/>
      <c r="O177" s="302"/>
      <c r="P177" s="302"/>
      <c r="Q177" s="302"/>
    </row>
    <row r="178" spans="1:17" x14ac:dyDescent="0.25">
      <c r="B178"/>
    </row>
    <row r="179" spans="1:17" x14ac:dyDescent="0.25">
      <c r="B179"/>
    </row>
    <row r="180" spans="1:17" x14ac:dyDescent="0.25">
      <c r="B180"/>
    </row>
    <row r="181" spans="1:17" x14ac:dyDescent="0.25">
      <c r="B181"/>
    </row>
    <row r="182" spans="1:17" x14ac:dyDescent="0.25">
      <c r="B182"/>
    </row>
  </sheetData>
  <sheetProtection algorithmName="SHA-512" hashValue="nDBzDBHI59taAZuRIgTVrXc7+EF6PPmMxUEW3uaOpdMH4PKY1E4AKXGYN0Ea4iOq1vCHg1yI3TmzCpijdC9U+A==" saltValue="5VIqsgOswIhod3JnTHmHsQ=="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27"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184"/>
  <sheetViews>
    <sheetView showGridLines="0" zoomScale="80" zoomScaleNormal="80" zoomScaleSheetLayoutView="30" workbookViewId="0">
      <selection activeCell="D32" sqref="D32"/>
    </sheetView>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8" width="11.5703125" customWidth="1"/>
    <col min="19" max="19" width="11.42578125" customWidth="1"/>
    <col min="20" max="20" width="11.5703125" customWidth="1"/>
    <col min="21" max="26" width="10.85546875" customWidth="1"/>
    <col min="28" max="41" width="0" hidden="1" customWidth="1"/>
  </cols>
  <sheetData>
    <row r="1" spans="1:40" ht="30" customHeight="1" x14ac:dyDescent="0.25">
      <c r="B1" s="614" t="str">
        <f>'Inputs and eligible population'!B1</f>
        <v>Tafamidis for treating transthyretin amyloidosis with cardiomyopathy</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 customHeight="1" x14ac:dyDescent="0.25">
      <c r="B2" s="219" t="s">
        <v>931</v>
      </c>
      <c r="C2" s="127" t="s">
        <v>777</v>
      </c>
      <c r="D2" s="127" t="s">
        <v>777</v>
      </c>
      <c r="E2" s="127" t="s">
        <v>777</v>
      </c>
      <c r="F2" s="127" t="s">
        <v>777</v>
      </c>
      <c r="G2" s="127" t="s">
        <v>777</v>
      </c>
      <c r="H2" s="127" t="s">
        <v>777</v>
      </c>
      <c r="I2" s="127" t="s">
        <v>777</v>
      </c>
      <c r="J2" s="127" t="s">
        <v>777</v>
      </c>
      <c r="K2" s="127"/>
      <c r="L2" s="127" t="s">
        <v>777</v>
      </c>
      <c r="M2" s="127" t="s">
        <v>777</v>
      </c>
      <c r="N2" s="127" t="s">
        <v>777</v>
      </c>
      <c r="O2" s="127" t="s">
        <v>777</v>
      </c>
      <c r="P2" s="127" t="s">
        <v>777</v>
      </c>
      <c r="Q2" s="127"/>
      <c r="R2" s="127"/>
      <c r="S2" s="127"/>
      <c r="T2" s="127"/>
      <c r="U2" s="127"/>
      <c r="V2" s="127"/>
      <c r="W2" s="127"/>
      <c r="X2" s="127"/>
      <c r="Y2" s="127"/>
      <c r="Z2" s="127"/>
    </row>
    <row r="3" spans="1:40" ht="14.45" customHeight="1" x14ac:dyDescent="0.25">
      <c r="B3" s="130" t="s">
        <v>777</v>
      </c>
      <c r="C3" s="133" t="s">
        <v>777</v>
      </c>
      <c r="D3" s="133" t="s">
        <v>777</v>
      </c>
      <c r="E3" s="133" t="s">
        <v>777</v>
      </c>
      <c r="F3" s="133" t="s">
        <v>777</v>
      </c>
      <c r="G3" s="133" t="s">
        <v>777</v>
      </c>
      <c r="H3" s="133" t="s">
        <v>777</v>
      </c>
      <c r="I3" s="133" t="s">
        <v>777</v>
      </c>
      <c r="J3" s="133" t="s">
        <v>777</v>
      </c>
      <c r="K3" s="133"/>
      <c r="L3" s="133" t="s">
        <v>777</v>
      </c>
      <c r="M3" s="133" t="s">
        <v>777</v>
      </c>
      <c r="N3" s="133" t="s">
        <v>777</v>
      </c>
      <c r="O3" s="133" t="s">
        <v>777</v>
      </c>
      <c r="P3" s="133" t="s">
        <v>777</v>
      </c>
      <c r="Q3" s="133"/>
      <c r="R3" s="133"/>
      <c r="S3" s="127"/>
      <c r="T3" s="127"/>
      <c r="U3" s="127"/>
      <c r="V3" s="127"/>
      <c r="W3" s="127"/>
      <c r="X3" s="127"/>
      <c r="Y3" s="133"/>
      <c r="Z3" s="133"/>
    </row>
    <row r="4" spans="1:40" ht="14.45" customHeight="1" x14ac:dyDescent="0.25">
      <c r="B4" t="s">
        <v>882</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45" customHeight="1" x14ac:dyDescent="0.25">
      <c r="B5" s="5"/>
      <c r="F5" s="133"/>
      <c r="G5" s="133"/>
      <c r="H5" s="133"/>
      <c r="I5" s="133"/>
      <c r="J5" s="133"/>
      <c r="K5" s="133"/>
      <c r="L5" s="133"/>
      <c r="M5" s="133"/>
      <c r="N5" s="133"/>
      <c r="O5" s="133"/>
      <c r="P5" s="133"/>
      <c r="Q5" s="133"/>
      <c r="R5" s="133"/>
      <c r="S5" s="127"/>
      <c r="T5" s="127"/>
      <c r="U5" s="127"/>
      <c r="V5" s="127"/>
      <c r="W5" s="127"/>
      <c r="X5" s="127"/>
      <c r="Y5" s="133"/>
      <c r="Z5" s="133"/>
    </row>
    <row r="6" spans="1:40" ht="45" x14ac:dyDescent="0.25">
      <c r="B6" s="268" t="s">
        <v>831</v>
      </c>
      <c r="C6" s="214"/>
      <c r="D6" s="449" t="s">
        <v>872</v>
      </c>
      <c r="E6" s="266" t="s">
        <v>694</v>
      </c>
      <c r="F6" s="266" t="s">
        <v>695</v>
      </c>
      <c r="G6" s="167" t="s">
        <v>828</v>
      </c>
      <c r="H6" s="167" t="s">
        <v>829</v>
      </c>
      <c r="I6" s="266" t="s">
        <v>830</v>
      </c>
      <c r="L6" s="449" t="s">
        <v>872</v>
      </c>
      <c r="M6" s="266" t="s">
        <v>694</v>
      </c>
      <c r="N6" s="266" t="s">
        <v>695</v>
      </c>
      <c r="O6" s="167" t="s">
        <v>828</v>
      </c>
      <c r="P6" s="167" t="s">
        <v>829</v>
      </c>
      <c r="Q6" s="266" t="s">
        <v>830</v>
      </c>
      <c r="R6" s="133"/>
      <c r="S6" s="127"/>
      <c r="T6" s="127"/>
      <c r="U6" s="127"/>
      <c r="V6" s="127"/>
      <c r="W6" s="127"/>
      <c r="X6" s="127"/>
      <c r="Y6" s="133"/>
      <c r="Z6" s="133"/>
      <c r="AJ6" s="297"/>
      <c r="AK6" s="297"/>
      <c r="AL6" s="297"/>
      <c r="AM6" s="297"/>
      <c r="AN6" s="297"/>
    </row>
    <row r="7" spans="1:40" ht="14.45" customHeight="1" x14ac:dyDescent="0.25">
      <c r="B7" s="231" t="s">
        <v>831</v>
      </c>
      <c r="C7" s="170"/>
      <c r="D7" s="405">
        <f>'Inputs and eligible population'!F44</f>
        <v>0</v>
      </c>
      <c r="E7" s="405">
        <f>'Inputs and eligible population'!G44</f>
        <v>0</v>
      </c>
      <c r="F7" s="405">
        <f>'Inputs and eligible population'!H44</f>
        <v>0</v>
      </c>
      <c r="G7" s="405">
        <f>'Inputs and eligible population'!I44</f>
        <v>0</v>
      </c>
      <c r="H7" s="405">
        <f>'Inputs and eligible population'!J44</f>
        <v>0</v>
      </c>
      <c r="I7" s="405">
        <f>'Inputs and eligible population'!K44</f>
        <v>0</v>
      </c>
      <c r="P7" s="133"/>
      <c r="Q7" s="133"/>
      <c r="R7" s="133"/>
      <c r="S7" s="127"/>
      <c r="T7" s="127"/>
      <c r="U7" s="127"/>
      <c r="V7" s="127"/>
      <c r="W7" s="127"/>
      <c r="X7" s="127"/>
      <c r="Y7" s="133"/>
      <c r="Z7" s="133"/>
      <c r="AJ7" s="297"/>
      <c r="AK7" s="297"/>
      <c r="AL7" s="297"/>
      <c r="AM7" s="297"/>
      <c r="AN7" s="297"/>
    </row>
    <row r="8" spans="1:40" ht="14.45" customHeight="1" x14ac:dyDescent="0.25">
      <c r="B8"/>
      <c r="P8" s="133"/>
      <c r="Q8" s="133"/>
      <c r="R8" s="133"/>
      <c r="S8" s="127"/>
      <c r="T8" s="127"/>
      <c r="U8" s="127"/>
      <c r="V8" s="127"/>
      <c r="W8" s="127"/>
      <c r="X8" s="127"/>
      <c r="Y8" s="133"/>
      <c r="Z8" s="133"/>
      <c r="AJ8" s="297"/>
      <c r="AK8" s="297"/>
      <c r="AL8" s="297"/>
      <c r="AM8" s="297"/>
      <c r="AN8" s="297"/>
    </row>
    <row r="9" spans="1:40" ht="14.45" customHeight="1" x14ac:dyDescent="0.25">
      <c r="B9" s="290" t="s">
        <v>883</v>
      </c>
      <c r="C9" s="468"/>
      <c r="D9" s="468"/>
      <c r="E9" s="469"/>
      <c r="F9" s="468"/>
      <c r="G9" s="470"/>
      <c r="H9" s="471"/>
      <c r="I9" s="471"/>
      <c r="J9" s="646"/>
      <c r="K9" s="645"/>
      <c r="L9" s="262" t="s">
        <v>835</v>
      </c>
      <c r="M9" s="262" t="s">
        <v>835</v>
      </c>
      <c r="N9" s="262" t="s">
        <v>835</v>
      </c>
      <c r="O9" s="262" t="s">
        <v>835</v>
      </c>
      <c r="P9" s="262" t="s">
        <v>835</v>
      </c>
      <c r="Q9" s="262" t="s">
        <v>835</v>
      </c>
      <c r="R9" s="133"/>
      <c r="S9" s="127"/>
      <c r="T9" s="127"/>
      <c r="U9" s="127"/>
      <c r="V9" s="127"/>
      <c r="W9" s="127"/>
      <c r="X9" s="127"/>
      <c r="Y9" s="133"/>
      <c r="Z9" s="133"/>
      <c r="AJ9" s="297"/>
      <c r="AK9" s="297"/>
      <c r="AL9" s="297"/>
      <c r="AM9" s="297"/>
      <c r="AN9" s="297"/>
    </row>
    <row r="10" spans="1:40" ht="14.45" customHeight="1" x14ac:dyDescent="0.25">
      <c r="A10" s="299"/>
      <c r="B10" s="475" t="str">
        <f>B31</f>
        <v>First attendances</v>
      </c>
      <c r="C10" s="411"/>
      <c r="D10" s="451">
        <f>D35</f>
        <v>0</v>
      </c>
      <c r="E10" s="451">
        <f t="shared" ref="E10:I10" si="0">E35</f>
        <v>0</v>
      </c>
      <c r="F10" s="451">
        <f t="shared" si="0"/>
        <v>0</v>
      </c>
      <c r="G10" s="451">
        <f t="shared" si="0"/>
        <v>0</v>
      </c>
      <c r="H10" s="451">
        <f t="shared" si="0"/>
        <v>0</v>
      </c>
      <c r="I10" s="451">
        <f t="shared" si="0"/>
        <v>0</v>
      </c>
      <c r="L10" s="724">
        <f>L33</f>
        <v>0</v>
      </c>
      <c r="M10" s="724">
        <f t="shared" ref="M10:Q11" si="1">M33</f>
        <v>0</v>
      </c>
      <c r="N10" s="724">
        <f t="shared" si="1"/>
        <v>0</v>
      </c>
      <c r="O10" s="724">
        <f t="shared" si="1"/>
        <v>0</v>
      </c>
      <c r="P10" s="724">
        <f t="shared" si="1"/>
        <v>0</v>
      </c>
      <c r="Q10" s="724">
        <f t="shared" si="1"/>
        <v>0</v>
      </c>
      <c r="R10" s="133"/>
      <c r="S10" s="133"/>
      <c r="T10" s="133"/>
      <c r="U10" s="133"/>
      <c r="V10" s="133"/>
      <c r="W10" s="133"/>
      <c r="X10" s="133"/>
      <c r="Y10" s="133"/>
      <c r="Z10" s="133"/>
      <c r="AJ10" s="297"/>
      <c r="AK10" s="297"/>
      <c r="AL10" s="297"/>
      <c r="AM10" s="297"/>
      <c r="AN10" s="297"/>
    </row>
    <row r="11" spans="1:40" ht="14.45" customHeight="1" x14ac:dyDescent="0.25">
      <c r="A11" s="299"/>
      <c r="B11" s="475" t="str">
        <f>B38</f>
        <v>Follow up attendances</v>
      </c>
      <c r="C11" s="411"/>
      <c r="D11" s="451">
        <f>D42</f>
        <v>0</v>
      </c>
      <c r="E11" s="451">
        <f t="shared" ref="E11:I11" si="2">E42</f>
        <v>0</v>
      </c>
      <c r="F11" s="451">
        <f t="shared" si="2"/>
        <v>0</v>
      </c>
      <c r="G11" s="451">
        <f t="shared" si="2"/>
        <v>0</v>
      </c>
      <c r="H11" s="451">
        <f t="shared" si="2"/>
        <v>0</v>
      </c>
      <c r="I11" s="451">
        <f t="shared" si="2"/>
        <v>0</v>
      </c>
      <c r="L11" s="724">
        <f>L34</f>
        <v>0</v>
      </c>
      <c r="M11" s="724">
        <f t="shared" si="1"/>
        <v>0</v>
      </c>
      <c r="N11" s="724">
        <f t="shared" si="1"/>
        <v>0</v>
      </c>
      <c r="O11" s="724">
        <f t="shared" si="1"/>
        <v>0</v>
      </c>
      <c r="P11" s="724">
        <f t="shared" si="1"/>
        <v>0</v>
      </c>
      <c r="Q11" s="724">
        <f t="shared" si="1"/>
        <v>0</v>
      </c>
      <c r="R11" s="133"/>
      <c r="S11" s="133"/>
      <c r="T11" s="133"/>
      <c r="U11" s="133"/>
      <c r="V11" s="133"/>
      <c r="W11" s="133"/>
      <c r="X11" s="133"/>
      <c r="Y11" s="133"/>
      <c r="Z11" s="133"/>
      <c r="AJ11" s="297"/>
      <c r="AK11" s="297"/>
      <c r="AL11" s="297"/>
      <c r="AM11" s="297"/>
      <c r="AN11" s="297"/>
    </row>
    <row r="12" spans="1:40" ht="14.45" customHeight="1" x14ac:dyDescent="0.25">
      <c r="A12" s="308"/>
      <c r="B12" s="472" t="str">
        <f>B58</f>
        <v>Administrations - number of cycles</v>
      </c>
      <c r="C12" s="445"/>
      <c r="D12" s="444">
        <f>D60</f>
        <v>0</v>
      </c>
      <c r="E12" s="444">
        <f t="shared" ref="E12:I12" si="3">E60</f>
        <v>0</v>
      </c>
      <c r="F12" s="444">
        <f t="shared" si="3"/>
        <v>0</v>
      </c>
      <c r="G12" s="444">
        <f t="shared" si="3"/>
        <v>0</v>
      </c>
      <c r="H12" s="444">
        <f t="shared" si="3"/>
        <v>0</v>
      </c>
      <c r="I12" s="444">
        <f t="shared" si="3"/>
        <v>0</v>
      </c>
      <c r="L12" s="723"/>
      <c r="M12" s="723"/>
      <c r="N12" s="723"/>
      <c r="O12" s="723"/>
      <c r="P12" s="723"/>
      <c r="Q12" s="723"/>
      <c r="R12" s="133"/>
      <c r="S12" s="133"/>
      <c r="T12" s="133"/>
      <c r="U12" s="133"/>
      <c r="V12" s="133"/>
      <c r="W12" s="133"/>
      <c r="X12" s="133"/>
      <c r="Y12" s="133"/>
      <c r="Z12" s="133"/>
      <c r="AJ12" s="297"/>
      <c r="AK12" s="297"/>
      <c r="AL12" s="297"/>
      <c r="AM12" s="297"/>
      <c r="AN12" s="297"/>
    </row>
    <row r="13" spans="1:40" ht="14.45" hidden="1" customHeight="1" x14ac:dyDescent="0.25">
      <c r="A13" s="298"/>
      <c r="B13" s="473" t="str">
        <f>B65</f>
        <v>Administrations - duration of administrations (hours)</v>
      </c>
      <c r="C13" s="480"/>
      <c r="D13" s="446" t="e">
        <f>D70</f>
        <v>#REF!</v>
      </c>
      <c r="E13" s="446" t="e">
        <f t="shared" ref="E13:I13" si="4">E70</f>
        <v>#REF!</v>
      </c>
      <c r="F13" s="446" t="e">
        <f t="shared" si="4"/>
        <v>#REF!</v>
      </c>
      <c r="G13" s="446" t="e">
        <f t="shared" si="4"/>
        <v>#REF!</v>
      </c>
      <c r="H13" s="446" t="e">
        <f t="shared" si="4"/>
        <v>#REF!</v>
      </c>
      <c r="I13" s="446" t="e">
        <f t="shared" si="4"/>
        <v>#REF!</v>
      </c>
      <c r="L13" s="212"/>
      <c r="M13" s="212"/>
      <c r="N13" s="212"/>
      <c r="O13" s="212"/>
      <c r="P13" s="443"/>
      <c r="Q13" s="443"/>
      <c r="R13" s="133"/>
      <c r="S13" s="133"/>
      <c r="T13" s="133"/>
      <c r="U13" s="133"/>
      <c r="V13" s="133"/>
      <c r="W13" s="133"/>
      <c r="X13" s="133"/>
      <c r="Y13" s="133"/>
      <c r="Z13" s="133"/>
      <c r="AJ13" s="297"/>
      <c r="AK13" s="297"/>
      <c r="AL13" s="297"/>
      <c r="AM13" s="297"/>
      <c r="AN13" s="297"/>
    </row>
    <row r="14" spans="1:40" ht="14.45" hidden="1" customHeight="1" x14ac:dyDescent="0.25">
      <c r="A14" s="298"/>
      <c r="B14" s="473" t="str">
        <f>B73</f>
        <v>Preparation time before administration (hours)</v>
      </c>
      <c r="C14" s="480"/>
      <c r="D14" s="446" t="e">
        <f>D78</f>
        <v>#REF!</v>
      </c>
      <c r="E14" s="446" t="e">
        <f t="shared" ref="E14:I14" si="5">E78</f>
        <v>#REF!</v>
      </c>
      <c r="F14" s="446" t="e">
        <f t="shared" si="5"/>
        <v>#REF!</v>
      </c>
      <c r="G14" s="446" t="e">
        <f t="shared" si="5"/>
        <v>#REF!</v>
      </c>
      <c r="H14" s="446" t="e">
        <f t="shared" si="5"/>
        <v>#REF!</v>
      </c>
      <c r="I14" s="446" t="e">
        <f t="shared" si="5"/>
        <v>#REF!</v>
      </c>
      <c r="L14" s="212"/>
      <c r="M14" s="212"/>
      <c r="N14" s="212"/>
      <c r="O14" s="212"/>
      <c r="P14" s="443"/>
      <c r="Q14" s="443"/>
      <c r="R14" s="133"/>
      <c r="S14" s="133"/>
      <c r="T14" s="133"/>
      <c r="U14" s="133"/>
      <c r="V14" s="133"/>
      <c r="W14" s="133"/>
      <c r="X14" s="133"/>
      <c r="Y14" s="133"/>
      <c r="Z14" s="133"/>
      <c r="AJ14" s="297"/>
      <c r="AK14" s="297"/>
      <c r="AL14" s="297"/>
      <c r="AM14" s="297"/>
      <c r="AN14" s="297"/>
    </row>
    <row r="15" spans="1:40" ht="14.45" hidden="1" customHeight="1" x14ac:dyDescent="0.25">
      <c r="A15" s="298"/>
      <c r="B15" s="473" t="str">
        <f>B81</f>
        <v>Post administration nursing time (hours)</v>
      </c>
      <c r="C15" s="480"/>
      <c r="D15" s="446" t="e">
        <f>D86</f>
        <v>#REF!</v>
      </c>
      <c r="E15" s="447" t="e">
        <f t="shared" ref="E15:I15" si="6">E86</f>
        <v>#REF!</v>
      </c>
      <c r="F15" s="446" t="e">
        <f t="shared" si="6"/>
        <v>#REF!</v>
      </c>
      <c r="G15" s="446" t="e">
        <f t="shared" si="6"/>
        <v>#REF!</v>
      </c>
      <c r="H15" s="446" t="e">
        <f t="shared" si="6"/>
        <v>#REF!</v>
      </c>
      <c r="I15" s="446" t="e">
        <f t="shared" si="6"/>
        <v>#REF!</v>
      </c>
      <c r="L15" s="212"/>
      <c r="M15" s="212"/>
      <c r="N15" s="212"/>
      <c r="O15" s="212"/>
      <c r="P15" s="443"/>
      <c r="Q15" s="443"/>
      <c r="R15" s="133"/>
      <c r="S15" s="133"/>
      <c r="T15" s="133"/>
      <c r="U15" s="133"/>
      <c r="V15" s="133"/>
      <c r="W15" s="133"/>
      <c r="X15" s="133"/>
      <c r="Y15" s="133"/>
      <c r="Z15" s="133"/>
      <c r="AJ15" s="297"/>
      <c r="AK15" s="297"/>
      <c r="AL15" s="297"/>
      <c r="AM15" s="297"/>
      <c r="AN15" s="297"/>
    </row>
    <row r="16" spans="1:40" ht="14.45" hidden="1" customHeight="1" x14ac:dyDescent="0.25">
      <c r="A16" s="300"/>
      <c r="B16" s="474" t="str">
        <f>B90</f>
        <v>In-house aseptic unit preparations, number made</v>
      </c>
      <c r="C16" s="481"/>
      <c r="D16" s="448" t="e">
        <f>D95</f>
        <v>#REF!</v>
      </c>
      <c r="E16" s="448" t="e">
        <f t="shared" ref="E16:I16" si="7">E95</f>
        <v>#REF!</v>
      </c>
      <c r="F16" s="448" t="e">
        <f t="shared" si="7"/>
        <v>#REF!</v>
      </c>
      <c r="G16" s="448" t="e">
        <f t="shared" si="7"/>
        <v>#REF!</v>
      </c>
      <c r="H16" s="448" t="e">
        <f t="shared" si="7"/>
        <v>#REF!</v>
      </c>
      <c r="I16" s="448" t="e">
        <f t="shared" si="7"/>
        <v>#REF!</v>
      </c>
      <c r="L16" s="212"/>
      <c r="M16" s="212"/>
      <c r="N16" s="212"/>
      <c r="O16" s="212"/>
      <c r="P16" s="443"/>
      <c r="Q16" s="443"/>
      <c r="R16" s="133"/>
      <c r="S16" s="133"/>
      <c r="T16" s="133"/>
      <c r="U16" s="133"/>
      <c r="V16" s="133"/>
      <c r="W16" s="133"/>
      <c r="X16" s="133"/>
      <c r="Y16" s="133"/>
      <c r="Z16" s="133"/>
      <c r="AJ16" s="297"/>
      <c r="AK16" s="297"/>
      <c r="AL16" s="297"/>
      <c r="AM16" s="297"/>
      <c r="AN16" s="297"/>
    </row>
    <row r="17" spans="1:40" ht="14.45" hidden="1" customHeight="1" x14ac:dyDescent="0.25">
      <c r="A17" s="300"/>
      <c r="B17" s="474" t="str">
        <f>B98</f>
        <v>Bought-in aseptic unit preparations, number bought in</v>
      </c>
      <c r="C17" s="481"/>
      <c r="D17" s="448" t="e">
        <f>D103</f>
        <v>#REF!</v>
      </c>
      <c r="E17" s="448" t="e">
        <f t="shared" ref="E17:I17" si="8">E103</f>
        <v>#REF!</v>
      </c>
      <c r="F17" s="448" t="e">
        <f t="shared" si="8"/>
        <v>#REF!</v>
      </c>
      <c r="G17" s="448" t="e">
        <f t="shared" si="8"/>
        <v>#REF!</v>
      </c>
      <c r="H17" s="448" t="e">
        <f t="shared" si="8"/>
        <v>#REF!</v>
      </c>
      <c r="I17" s="448" t="e">
        <f t="shared" si="8"/>
        <v>#REF!</v>
      </c>
      <c r="L17" s="212"/>
      <c r="M17" s="212"/>
      <c r="N17" s="212"/>
      <c r="O17" s="212"/>
      <c r="P17" s="443"/>
      <c r="Q17" s="443"/>
      <c r="R17" s="133"/>
      <c r="S17" s="133"/>
      <c r="T17" s="133"/>
      <c r="U17" s="133"/>
      <c r="V17" s="133"/>
      <c r="W17" s="133"/>
      <c r="X17" s="133"/>
      <c r="Y17" s="133"/>
      <c r="Z17" s="133"/>
      <c r="AJ17" s="297"/>
      <c r="AK17" s="297"/>
      <c r="AL17" s="297"/>
      <c r="AM17" s="297"/>
      <c r="AN17" s="297"/>
    </row>
    <row r="18" spans="1:40" ht="14.45" hidden="1" customHeight="1" x14ac:dyDescent="0.25">
      <c r="A18" s="300"/>
      <c r="B18" s="474" t="str">
        <f>B106</f>
        <v>In-house aseptic unit preparations, pharmacy time (hours)</v>
      </c>
      <c r="C18" s="481"/>
      <c r="D18" s="448" t="e">
        <f>D111</f>
        <v>#REF!</v>
      </c>
      <c r="E18" s="448" t="e">
        <f t="shared" ref="E18:I18" si="9">E111</f>
        <v>#REF!</v>
      </c>
      <c r="F18" s="448" t="e">
        <f t="shared" si="9"/>
        <v>#REF!</v>
      </c>
      <c r="G18" s="448" t="e">
        <f t="shared" si="9"/>
        <v>#REF!</v>
      </c>
      <c r="H18" s="448" t="e">
        <f t="shared" si="9"/>
        <v>#REF!</v>
      </c>
      <c r="I18" s="448" t="e">
        <f t="shared" si="9"/>
        <v>#REF!</v>
      </c>
      <c r="L18" s="212"/>
      <c r="M18" s="212"/>
      <c r="N18" s="212"/>
      <c r="O18" s="212"/>
      <c r="P18" s="443"/>
      <c r="Q18" s="443"/>
      <c r="R18" s="133"/>
      <c r="S18" s="133"/>
      <c r="T18" s="133"/>
      <c r="U18" s="133"/>
      <c r="V18" s="133"/>
      <c r="W18" s="133"/>
      <c r="X18" s="133"/>
      <c r="Y18" s="133"/>
      <c r="Z18" s="133"/>
      <c r="AJ18" s="297"/>
      <c r="AK18" s="297"/>
      <c r="AL18" s="297"/>
      <c r="AM18" s="297"/>
      <c r="AN18" s="297"/>
    </row>
    <row r="19" spans="1:40" ht="14.45" hidden="1" customHeight="1" x14ac:dyDescent="0.25">
      <c r="A19" s="300"/>
      <c r="B19" s="474" t="str">
        <f>B114</f>
        <v>Bought-in aseptic unit preparations, pharmacy time (hours)</v>
      </c>
      <c r="C19" s="481"/>
      <c r="D19" s="448" t="e">
        <f>D119</f>
        <v>#REF!</v>
      </c>
      <c r="E19" s="448" t="e">
        <f t="shared" ref="E19:I19" si="10">E119</f>
        <v>#REF!</v>
      </c>
      <c r="F19" s="448" t="e">
        <f t="shared" si="10"/>
        <v>#REF!</v>
      </c>
      <c r="G19" s="448" t="e">
        <f t="shared" si="10"/>
        <v>#REF!</v>
      </c>
      <c r="H19" s="448" t="e">
        <f t="shared" si="10"/>
        <v>#REF!</v>
      </c>
      <c r="I19" s="448" t="e">
        <f t="shared" si="10"/>
        <v>#REF!</v>
      </c>
      <c r="L19" s="212"/>
      <c r="M19" s="212"/>
      <c r="N19" s="212"/>
      <c r="O19" s="212"/>
      <c r="P19" s="443"/>
      <c r="Q19" s="443"/>
      <c r="R19" s="133"/>
      <c r="S19" s="133"/>
      <c r="T19" s="133"/>
      <c r="U19" s="133"/>
      <c r="V19" s="133"/>
      <c r="W19" s="133"/>
      <c r="X19" s="133"/>
      <c r="Y19" s="133"/>
      <c r="Z19" s="133"/>
      <c r="AJ19" s="297"/>
      <c r="AK19" s="297"/>
      <c r="AL19" s="297"/>
      <c r="AM19" s="297"/>
      <c r="AN19" s="297"/>
    </row>
    <row r="20" spans="1:40" ht="14.45" hidden="1" customHeight="1" x14ac:dyDescent="0.25">
      <c r="A20" s="300"/>
      <c r="B20" s="474" t="str">
        <f>B122</f>
        <v>Drug regimen prep (hours)</v>
      </c>
      <c r="C20" s="481"/>
      <c r="D20" s="448" t="e">
        <f>D127</f>
        <v>#REF!</v>
      </c>
      <c r="E20" s="448" t="e">
        <f t="shared" ref="E20:I20" si="11">E127</f>
        <v>#REF!</v>
      </c>
      <c r="F20" s="448" t="e">
        <f t="shared" si="11"/>
        <v>#REF!</v>
      </c>
      <c r="G20" s="448" t="e">
        <f t="shared" si="11"/>
        <v>#REF!</v>
      </c>
      <c r="H20" s="448" t="e">
        <f t="shared" si="11"/>
        <v>#REF!</v>
      </c>
      <c r="I20" s="448" t="e">
        <f t="shared" si="11"/>
        <v>#REF!</v>
      </c>
      <c r="L20" s="212"/>
      <c r="M20" s="212"/>
      <c r="N20" s="212"/>
      <c r="O20" s="212"/>
      <c r="P20" s="443"/>
      <c r="Q20" s="443"/>
      <c r="R20" s="133"/>
      <c r="S20" s="133"/>
      <c r="T20" s="133"/>
      <c r="U20" s="133"/>
      <c r="V20" s="133"/>
      <c r="W20" s="133"/>
      <c r="X20" s="133"/>
      <c r="Y20" s="133"/>
      <c r="Z20" s="133"/>
      <c r="AJ20" s="297"/>
      <c r="AK20" s="297"/>
      <c r="AL20" s="297"/>
      <c r="AM20" s="297"/>
      <c r="AN20" s="297"/>
    </row>
    <row r="21" spans="1:40" ht="14.45" hidden="1" customHeight="1" x14ac:dyDescent="0.25">
      <c r="A21" s="348"/>
      <c r="B21" s="476" t="str">
        <f>B131</f>
        <v>Appointments with supporting specialty x</v>
      </c>
      <c r="C21" s="482"/>
      <c r="D21" s="452" t="e">
        <f>D136</f>
        <v>#REF!</v>
      </c>
      <c r="E21" s="452" t="e">
        <f t="shared" ref="E21:I21" si="12">E136</f>
        <v>#REF!</v>
      </c>
      <c r="F21" s="452" t="e">
        <f t="shared" si="12"/>
        <v>#REF!</v>
      </c>
      <c r="G21" s="452" t="e">
        <f t="shared" si="12"/>
        <v>#REF!</v>
      </c>
      <c r="H21" s="452" t="e">
        <f t="shared" si="12"/>
        <v>#REF!</v>
      </c>
      <c r="I21" s="452" t="e">
        <f t="shared" si="12"/>
        <v>#REF!</v>
      </c>
      <c r="L21" s="304" t="e">
        <f>L136</f>
        <v>#REF!</v>
      </c>
      <c r="M21" s="304" t="e">
        <f t="shared" ref="M21:Q21" si="13">M136</f>
        <v>#REF!</v>
      </c>
      <c r="N21" s="304" t="e">
        <f t="shared" si="13"/>
        <v>#REF!</v>
      </c>
      <c r="O21" s="304" t="e">
        <f t="shared" si="13"/>
        <v>#REF!</v>
      </c>
      <c r="P21" s="304" t="e">
        <f t="shared" si="13"/>
        <v>#REF!</v>
      </c>
      <c r="Q21" s="304" t="e">
        <f t="shared" si="13"/>
        <v>#REF!</v>
      </c>
      <c r="R21" s="133"/>
      <c r="S21" s="133"/>
      <c r="T21" s="133"/>
      <c r="U21" s="133"/>
      <c r="V21" s="133"/>
      <c r="W21" s="133"/>
      <c r="X21" s="133"/>
      <c r="Y21" s="133"/>
      <c r="Z21" s="133"/>
      <c r="AJ21" s="297"/>
      <c r="AK21" s="297"/>
      <c r="AL21" s="297"/>
      <c r="AM21" s="297"/>
      <c r="AN21" s="297"/>
    </row>
    <row r="22" spans="1:40" ht="14.45" hidden="1" customHeight="1" x14ac:dyDescent="0.25">
      <c r="A22" s="301"/>
      <c r="B22" s="477" t="str">
        <f>B140</f>
        <v>Imaging MRI scans</v>
      </c>
      <c r="C22" s="483"/>
      <c r="D22" s="453" t="e">
        <f>D145</f>
        <v>#REF!</v>
      </c>
      <c r="E22" s="453" t="e">
        <f t="shared" ref="E22:I22" si="14">E145</f>
        <v>#REF!</v>
      </c>
      <c r="F22" s="453" t="e">
        <f t="shared" si="14"/>
        <v>#REF!</v>
      </c>
      <c r="G22" s="453" t="e">
        <f t="shared" si="14"/>
        <v>#REF!</v>
      </c>
      <c r="H22" s="453" t="e">
        <f t="shared" si="14"/>
        <v>#REF!</v>
      </c>
      <c r="I22" s="453" t="e">
        <f t="shared" si="14"/>
        <v>#REF!</v>
      </c>
      <c r="L22" s="304" t="e">
        <f>L145</f>
        <v>#REF!</v>
      </c>
      <c r="M22" s="304" t="e">
        <f t="shared" ref="M22:Q22" si="15">M145</f>
        <v>#REF!</v>
      </c>
      <c r="N22" s="304" t="e">
        <f t="shared" si="15"/>
        <v>#REF!</v>
      </c>
      <c r="O22" s="304" t="e">
        <f t="shared" si="15"/>
        <v>#REF!</v>
      </c>
      <c r="P22" s="304" t="e">
        <f t="shared" si="15"/>
        <v>#REF!</v>
      </c>
      <c r="Q22" s="304" t="e">
        <f t="shared" si="15"/>
        <v>#REF!</v>
      </c>
      <c r="R22" s="133"/>
      <c r="S22" s="133"/>
      <c r="T22" s="133"/>
      <c r="U22" s="133"/>
      <c r="V22" s="133"/>
      <c r="W22" s="133"/>
      <c r="X22" s="133"/>
      <c r="Y22" s="133"/>
      <c r="Z22" s="133"/>
      <c r="AJ22" s="297"/>
      <c r="AK22" s="297"/>
      <c r="AL22" s="297"/>
      <c r="AM22" s="297"/>
      <c r="AN22" s="297"/>
    </row>
    <row r="23" spans="1:40" ht="14.45" hidden="1" customHeight="1" x14ac:dyDescent="0.25">
      <c r="A23" s="301"/>
      <c r="B23" s="477" t="str">
        <f>B148</f>
        <v>Liver function tests per person</v>
      </c>
      <c r="C23" s="483"/>
      <c r="D23" s="453" t="e">
        <f>D153</f>
        <v>#REF!</v>
      </c>
      <c r="E23" s="453" t="e">
        <f t="shared" ref="E23:I23" si="16">E153</f>
        <v>#REF!</v>
      </c>
      <c r="F23" s="453" t="e">
        <f t="shared" si="16"/>
        <v>#REF!</v>
      </c>
      <c r="G23" s="453" t="e">
        <f t="shared" si="16"/>
        <v>#REF!</v>
      </c>
      <c r="H23" s="453" t="e">
        <f t="shared" si="16"/>
        <v>#REF!</v>
      </c>
      <c r="I23" s="453" t="e">
        <f t="shared" si="16"/>
        <v>#REF!</v>
      </c>
      <c r="L23" s="212"/>
      <c r="M23" s="212"/>
      <c r="N23" s="212"/>
      <c r="O23" s="212"/>
      <c r="P23" s="443"/>
      <c r="Q23" s="443"/>
      <c r="R23" s="133"/>
      <c r="S23" s="133"/>
      <c r="T23" s="133"/>
      <c r="U23" s="133"/>
      <c r="V23" s="133"/>
      <c r="W23" s="133"/>
      <c r="X23" s="133"/>
      <c r="Y23" s="133"/>
      <c r="Z23" s="133"/>
      <c r="AJ23" s="297"/>
      <c r="AK23" s="297"/>
      <c r="AL23" s="297"/>
      <c r="AM23" s="297"/>
      <c r="AN23" s="297"/>
    </row>
    <row r="24" spans="1:40" ht="14.45" hidden="1" customHeight="1" x14ac:dyDescent="0.25">
      <c r="A24" s="301"/>
      <c r="B24" s="477" t="str">
        <f>B156</f>
        <v>Genomic tests</v>
      </c>
      <c r="C24" s="483"/>
      <c r="D24" s="453" t="e">
        <f>D161</f>
        <v>#REF!</v>
      </c>
      <c r="E24" s="453" t="e">
        <f t="shared" ref="E24:I24" si="17">E161</f>
        <v>#REF!</v>
      </c>
      <c r="F24" s="453" t="e">
        <f t="shared" si="17"/>
        <v>#REF!</v>
      </c>
      <c r="G24" s="453" t="e">
        <f t="shared" si="17"/>
        <v>#REF!</v>
      </c>
      <c r="H24" s="453" t="e">
        <f t="shared" si="17"/>
        <v>#REF!</v>
      </c>
      <c r="I24" s="453" t="e">
        <f t="shared" si="17"/>
        <v>#REF!</v>
      </c>
      <c r="L24" s="212"/>
      <c r="M24" s="212"/>
      <c r="N24" s="212"/>
      <c r="O24" s="212"/>
      <c r="P24" s="443"/>
      <c r="Q24" s="443"/>
      <c r="R24" s="133"/>
      <c r="S24" s="133"/>
      <c r="T24" s="133"/>
      <c r="U24" s="133"/>
      <c r="V24" s="133"/>
      <c r="W24" s="133"/>
      <c r="X24" s="133"/>
      <c r="Y24" s="133"/>
      <c r="Z24" s="133"/>
      <c r="AJ24" s="297"/>
      <c r="AK24" s="297"/>
      <c r="AL24" s="297"/>
      <c r="AM24" s="297"/>
      <c r="AN24" s="297"/>
    </row>
    <row r="25" spans="1:40" ht="14.45" hidden="1" customHeight="1" x14ac:dyDescent="0.25">
      <c r="A25" s="301"/>
      <c r="B25" s="478" t="str">
        <f>B164</f>
        <v>Genomics staffing impact (hours)</v>
      </c>
      <c r="C25" s="464"/>
      <c r="D25" s="453" t="e">
        <f>D169</f>
        <v>#REF!</v>
      </c>
      <c r="E25" s="453" t="e">
        <f t="shared" ref="E25:I25" si="18">E169</f>
        <v>#REF!</v>
      </c>
      <c r="F25" s="453" t="e">
        <f t="shared" si="18"/>
        <v>#REF!</v>
      </c>
      <c r="G25" s="453" t="e">
        <f t="shared" si="18"/>
        <v>#REF!</v>
      </c>
      <c r="H25" s="453" t="e">
        <f t="shared" si="18"/>
        <v>#REF!</v>
      </c>
      <c r="I25" s="453" t="e">
        <f t="shared" si="18"/>
        <v>#REF!</v>
      </c>
      <c r="J25" s="133"/>
      <c r="K25" s="133"/>
      <c r="L25" s="212"/>
      <c r="M25" s="212"/>
      <c r="N25" s="212"/>
      <c r="O25" s="212"/>
      <c r="P25" s="443"/>
      <c r="Q25" s="443"/>
      <c r="R25" s="133"/>
      <c r="S25" s="133"/>
      <c r="T25" s="133"/>
      <c r="U25" s="133"/>
      <c r="V25" s="133"/>
      <c r="W25" s="133"/>
      <c r="X25" s="133"/>
      <c r="Y25" s="133"/>
      <c r="Z25" s="133"/>
    </row>
    <row r="26" spans="1:40" ht="14.45" customHeight="1" x14ac:dyDescent="0.25">
      <c r="A26" s="302"/>
      <c r="B26" s="479" t="str">
        <f>B173</f>
        <v>Adverse events, various (cases)</v>
      </c>
      <c r="C26" s="459"/>
      <c r="D26" s="454">
        <f>D177</f>
        <v>0</v>
      </c>
      <c r="E26" s="454">
        <f t="shared" ref="E26:I26" si="19">E177</f>
        <v>0</v>
      </c>
      <c r="F26" s="454">
        <f t="shared" si="19"/>
        <v>0</v>
      </c>
      <c r="G26" s="454">
        <f t="shared" si="19"/>
        <v>0</v>
      </c>
      <c r="H26" s="454">
        <f t="shared" si="19"/>
        <v>0</v>
      </c>
      <c r="I26" s="454">
        <f t="shared" si="19"/>
        <v>0</v>
      </c>
      <c r="J26" s="133"/>
      <c r="K26" s="133"/>
      <c r="L26" s="304">
        <f>L177</f>
        <v>0</v>
      </c>
      <c r="M26" s="304">
        <f>M177</f>
        <v>0</v>
      </c>
      <c r="N26" s="304">
        <f t="shared" ref="N26:Q26" si="20">N177</f>
        <v>0</v>
      </c>
      <c r="O26" s="304">
        <f t="shared" si="20"/>
        <v>0</v>
      </c>
      <c r="P26" s="304">
        <f t="shared" si="20"/>
        <v>0</v>
      </c>
      <c r="Q26" s="304">
        <f t="shared" si="20"/>
        <v>0</v>
      </c>
      <c r="R26" s="133"/>
      <c r="S26" s="133"/>
      <c r="T26" s="133"/>
      <c r="U26" s="133"/>
      <c r="V26" s="133"/>
      <c r="W26" s="133"/>
      <c r="X26" s="133"/>
      <c r="Y26" s="133"/>
      <c r="Z26" s="133"/>
    </row>
    <row r="27" spans="1:40" ht="14.45" customHeight="1" x14ac:dyDescent="0.25">
      <c r="B27" s="254"/>
      <c r="D27" s="297"/>
      <c r="F27" s="133"/>
      <c r="G27" s="133"/>
      <c r="H27" s="133"/>
      <c r="I27" s="133"/>
      <c r="J27" s="133"/>
      <c r="K27" s="133"/>
      <c r="L27" s="305">
        <f>SUM(L10:L12)</f>
        <v>0</v>
      </c>
      <c r="M27" s="305">
        <f t="shared" ref="M27:Q27" si="21">SUM(M10:M12)</f>
        <v>0</v>
      </c>
      <c r="N27" s="305">
        <f t="shared" si="21"/>
        <v>0</v>
      </c>
      <c r="O27" s="305">
        <f t="shared" si="21"/>
        <v>0</v>
      </c>
      <c r="P27" s="305">
        <f t="shared" si="21"/>
        <v>0</v>
      </c>
      <c r="Q27" s="305">
        <f t="shared" si="21"/>
        <v>0</v>
      </c>
      <c r="R27" s="133"/>
      <c r="S27" s="133"/>
      <c r="T27" s="133"/>
      <c r="U27" s="133"/>
      <c r="V27" s="133"/>
      <c r="W27" s="133"/>
      <c r="X27" s="133"/>
      <c r="Y27" s="133"/>
      <c r="Z27" s="133"/>
    </row>
    <row r="28" spans="1:40" x14ac:dyDescent="0.25">
      <c r="B28" s="336"/>
      <c r="C28" s="336"/>
      <c r="D28" s="336"/>
      <c r="E28" s="336"/>
      <c r="F28" s="336"/>
      <c r="G28" s="336"/>
      <c r="H28" s="336"/>
      <c r="I28" s="336"/>
      <c r="J28" s="336"/>
      <c r="K28" s="336"/>
      <c r="L28" s="336"/>
      <c r="P28" s="133"/>
      <c r="Q28" s="133"/>
      <c r="R28" s="133"/>
      <c r="S28" s="133"/>
      <c r="V28" s="133"/>
      <c r="W28" s="133"/>
      <c r="X28" s="133"/>
      <c r="Y28" s="133"/>
      <c r="Z28" s="133"/>
      <c r="AJ28" s="297"/>
      <c r="AK28" s="297"/>
      <c r="AL28" s="297"/>
      <c r="AM28" s="297"/>
      <c r="AN28" s="297"/>
    </row>
    <row r="29" spans="1:40" x14ac:dyDescent="0.25">
      <c r="B29" s="397" t="s">
        <v>884</v>
      </c>
      <c r="C29" s="398"/>
      <c r="D29" s="398"/>
      <c r="E29" s="399"/>
      <c r="F29" s="398"/>
      <c r="G29" s="400"/>
      <c r="H29" s="401"/>
      <c r="I29" s="401"/>
      <c r="J29" s="401"/>
      <c r="K29" s="401"/>
      <c r="L29" s="401"/>
      <c r="M29" s="401"/>
      <c r="N29" s="401"/>
      <c r="O29" s="401"/>
      <c r="P29" s="401"/>
      <c r="Q29" s="402"/>
      <c r="R29" s="133"/>
      <c r="S29" s="133"/>
      <c r="T29" s="133"/>
      <c r="U29" s="133"/>
      <c r="V29" s="133"/>
      <c r="W29" s="133"/>
      <c r="X29" s="133"/>
      <c r="Y29" s="133"/>
      <c r="Z29" s="133"/>
      <c r="AJ29" s="297"/>
      <c r="AK29" s="297"/>
      <c r="AL29" s="297"/>
      <c r="AM29" s="297"/>
      <c r="AN29" s="297"/>
    </row>
    <row r="30" spans="1:40" x14ac:dyDescent="0.25">
      <c r="A30" s="299"/>
      <c r="B30" s="634" t="s">
        <v>734</v>
      </c>
      <c r="C30" s="627"/>
      <c r="D30" s="628"/>
      <c r="E30" s="629"/>
      <c r="F30" s="299"/>
      <c r="G30" s="299"/>
      <c r="H30" s="224"/>
      <c r="I30" s="224"/>
      <c r="J30" s="224"/>
      <c r="K30" s="224"/>
      <c r="L30" s="224"/>
      <c r="M30" s="224"/>
      <c r="N30" s="224"/>
      <c r="O30" s="224"/>
      <c r="P30" s="224"/>
      <c r="Q30" s="224"/>
      <c r="R30" s="133"/>
      <c r="S30" s="133"/>
      <c r="T30" s="133"/>
      <c r="U30" s="133"/>
      <c r="V30" s="133"/>
      <c r="W30" s="133"/>
      <c r="X30" s="133"/>
      <c r="Y30" s="133"/>
      <c r="Z30" s="133"/>
      <c r="AJ30" s="297"/>
      <c r="AK30" s="297"/>
      <c r="AL30" s="297"/>
      <c r="AM30" s="297"/>
      <c r="AN30" s="297"/>
    </row>
    <row r="31" spans="1:40" x14ac:dyDescent="0.25">
      <c r="A31" s="625"/>
      <c r="B31" s="630" t="s">
        <v>847</v>
      </c>
      <c r="C31" s="421"/>
      <c r="D31" s="421"/>
      <c r="E31" s="421"/>
      <c r="F31" s="421"/>
      <c r="G31" s="421"/>
      <c r="H31" s="421"/>
      <c r="I31" s="223"/>
      <c r="J31" s="224"/>
      <c r="K31" s="224"/>
      <c r="L31" s="224"/>
      <c r="M31" s="224"/>
      <c r="N31" s="224"/>
      <c r="O31" s="224"/>
      <c r="P31" s="224"/>
      <c r="Q31" s="224"/>
      <c r="R31" s="133"/>
      <c r="S31" s="133"/>
      <c r="T31" s="133"/>
      <c r="U31" s="133"/>
      <c r="V31" s="133"/>
      <c r="W31" s="133"/>
      <c r="X31" s="133"/>
      <c r="Y31" s="133"/>
      <c r="Z31" s="133"/>
      <c r="AJ31" s="297"/>
      <c r="AK31" s="297"/>
      <c r="AL31" s="297"/>
      <c r="AM31" s="297"/>
      <c r="AN31" s="297"/>
    </row>
    <row r="32" spans="1:40" ht="45" x14ac:dyDescent="0.25">
      <c r="A32" s="625"/>
      <c r="B32" s="335" t="s">
        <v>799</v>
      </c>
      <c r="C32" s="168" t="s">
        <v>886</v>
      </c>
      <c r="D32" s="449" t="s">
        <v>872</v>
      </c>
      <c r="E32" s="266" t="s">
        <v>694</v>
      </c>
      <c r="F32" s="266" t="s">
        <v>695</v>
      </c>
      <c r="G32" s="167" t="s">
        <v>828</v>
      </c>
      <c r="H32" s="167" t="s">
        <v>829</v>
      </c>
      <c r="I32" s="266" t="s">
        <v>830</v>
      </c>
      <c r="J32" s="633"/>
      <c r="K32" s="624" t="s">
        <v>801</v>
      </c>
      <c r="L32" s="449" t="s">
        <v>872</v>
      </c>
      <c r="M32" s="600" t="s">
        <v>694</v>
      </c>
      <c r="N32" s="600" t="s">
        <v>695</v>
      </c>
      <c r="O32" s="450" t="s">
        <v>828</v>
      </c>
      <c r="P32" s="450" t="s">
        <v>829</v>
      </c>
      <c r="Q32" s="600" t="s">
        <v>830</v>
      </c>
      <c r="R32" s="133"/>
      <c r="S32" s="133"/>
      <c r="T32" s="133"/>
      <c r="U32" s="133"/>
      <c r="V32" s="133"/>
      <c r="W32" s="133"/>
      <c r="X32" s="133"/>
      <c r="Y32" s="133"/>
      <c r="Z32" s="133"/>
      <c r="AJ32" s="297"/>
      <c r="AK32" s="297"/>
      <c r="AL32" s="297"/>
      <c r="AM32" s="297"/>
      <c r="AN32" s="297"/>
    </row>
    <row r="33" spans="1:40" x14ac:dyDescent="0.25">
      <c r="A33" s="625"/>
      <c r="B33" s="367" t="s">
        <v>721</v>
      </c>
      <c r="C33" s="149">
        <f>'Inputs and eligible population'!F73</f>
        <v>1</v>
      </c>
      <c r="D33" s="128">
        <f>'Financial impact (cash)'!D13*$C$33</f>
        <v>0</v>
      </c>
      <c r="E33" s="128">
        <f>'Financial impact (cash)'!E13*$C$33</f>
        <v>0</v>
      </c>
      <c r="F33" s="128">
        <f>'Financial impact (cash)'!F13*$C$33</f>
        <v>0</v>
      </c>
      <c r="G33" s="128">
        <f>'Financial impact (cash)'!G13*$C$33</f>
        <v>0</v>
      </c>
      <c r="H33" s="128">
        <f>'Financial impact (cash)'!H13*$C$33</f>
        <v>0</v>
      </c>
      <c r="I33" s="128">
        <f>'Financial impact (cash)'!I13*$C$33</f>
        <v>0</v>
      </c>
      <c r="J33" s="633"/>
      <c r="K33" s="636">
        <f>'Unit costs'!N28</f>
        <v>192</v>
      </c>
      <c r="L33" s="304">
        <f>(D33*$K$33)/1000</f>
        <v>0</v>
      </c>
      <c r="M33" s="304">
        <f>(E33*$K$33)/1000</f>
        <v>0</v>
      </c>
      <c r="N33" s="304">
        <f t="shared" ref="N33:Q33" si="22">(F33*$K$33)/1000</f>
        <v>0</v>
      </c>
      <c r="O33" s="304">
        <f t="shared" si="22"/>
        <v>0</v>
      </c>
      <c r="P33" s="304">
        <f t="shared" si="22"/>
        <v>0</v>
      </c>
      <c r="Q33" s="304">
        <f t="shared" si="22"/>
        <v>0</v>
      </c>
      <c r="R33" s="133"/>
      <c r="S33" s="133"/>
      <c r="T33" s="133"/>
      <c r="U33" s="133"/>
      <c r="V33" s="133"/>
      <c r="W33" s="133"/>
      <c r="X33" s="133"/>
      <c r="Y33" s="133"/>
      <c r="Z33" s="133"/>
      <c r="AJ33" s="297"/>
      <c r="AK33" s="297"/>
      <c r="AL33" s="297"/>
      <c r="AM33" s="297"/>
      <c r="AN33" s="297"/>
    </row>
    <row r="34" spans="1:40" x14ac:dyDescent="0.25">
      <c r="A34" s="625"/>
      <c r="B34" s="367" t="s">
        <v>723</v>
      </c>
      <c r="C34" s="149">
        <f>'Inputs and eligible population'!G73</f>
        <v>1</v>
      </c>
      <c r="D34" s="128">
        <f>'Financial impact (cash)'!D15*$C$34</f>
        <v>0</v>
      </c>
      <c r="E34" s="128">
        <f>'Financial impact (cash)'!E15*$C$34</f>
        <v>0</v>
      </c>
      <c r="F34" s="128">
        <f>'Financial impact (cash)'!F15*$C$34</f>
        <v>0</v>
      </c>
      <c r="G34" s="128">
        <f>'Financial impact (cash)'!G15*$C$34</f>
        <v>0</v>
      </c>
      <c r="H34" s="128">
        <f>'Financial impact (cash)'!H15*$C$34</f>
        <v>0</v>
      </c>
      <c r="I34" s="128">
        <f>'Financial impact (cash)'!I15*$C$34</f>
        <v>0</v>
      </c>
      <c r="J34" s="633"/>
      <c r="K34" s="636">
        <f>'Unit costs'!N28</f>
        <v>192</v>
      </c>
      <c r="L34" s="304">
        <f>(D34*$K$34)/1000</f>
        <v>0</v>
      </c>
      <c r="M34" s="304">
        <f t="shared" ref="M34:Q34" si="23">(E34*$K$34)/1000</f>
        <v>0</v>
      </c>
      <c r="N34" s="304">
        <f t="shared" si="23"/>
        <v>0</v>
      </c>
      <c r="O34" s="304">
        <f t="shared" si="23"/>
        <v>0</v>
      </c>
      <c r="P34" s="304">
        <f t="shared" si="23"/>
        <v>0</v>
      </c>
      <c r="Q34" s="304">
        <f t="shared" si="23"/>
        <v>0</v>
      </c>
      <c r="R34" s="133"/>
      <c r="S34" s="133"/>
      <c r="T34" s="133"/>
      <c r="U34" s="133"/>
      <c r="V34" s="133"/>
      <c r="W34" s="133"/>
      <c r="X34" s="133"/>
      <c r="Y34" s="133"/>
      <c r="Z34" s="133"/>
      <c r="AJ34" s="297"/>
      <c r="AK34" s="297"/>
      <c r="AL34" s="297"/>
      <c r="AM34" s="297"/>
      <c r="AN34" s="297"/>
    </row>
    <row r="35" spans="1:40" x14ac:dyDescent="0.25">
      <c r="A35" s="625"/>
      <c r="B35" s="580"/>
      <c r="C35" s="294"/>
      <c r="D35" s="190">
        <f t="shared" ref="D35:I35" si="24">SUM(D33:D34)</f>
        <v>0</v>
      </c>
      <c r="E35" s="190">
        <f t="shared" si="24"/>
        <v>0</v>
      </c>
      <c r="F35" s="190">
        <f t="shared" si="24"/>
        <v>0</v>
      </c>
      <c r="G35" s="190">
        <f t="shared" si="24"/>
        <v>0</v>
      </c>
      <c r="H35" s="190">
        <f t="shared" si="24"/>
        <v>0</v>
      </c>
      <c r="I35" s="190">
        <f t="shared" si="24"/>
        <v>0</v>
      </c>
      <c r="J35" s="633"/>
      <c r="K35" s="224"/>
      <c r="L35" s="305">
        <f t="shared" ref="L35:Q35" si="25">SUM(L33:L34)</f>
        <v>0</v>
      </c>
      <c r="M35" s="305">
        <f t="shared" si="25"/>
        <v>0</v>
      </c>
      <c r="N35" s="305">
        <f t="shared" si="25"/>
        <v>0</v>
      </c>
      <c r="O35" s="305">
        <f t="shared" si="25"/>
        <v>0</v>
      </c>
      <c r="P35" s="305">
        <f t="shared" si="25"/>
        <v>0</v>
      </c>
      <c r="Q35" s="305">
        <f t="shared" si="25"/>
        <v>0</v>
      </c>
      <c r="R35" s="133"/>
      <c r="S35" s="133"/>
      <c r="T35" s="133"/>
      <c r="U35" s="133"/>
      <c r="V35" s="133"/>
      <c r="W35" s="133"/>
      <c r="X35" s="133"/>
      <c r="Y35" s="133"/>
      <c r="Z35" s="133"/>
      <c r="AJ35" s="297"/>
      <c r="AK35" s="297"/>
      <c r="AL35" s="297"/>
      <c r="AM35" s="297"/>
      <c r="AN35" s="297"/>
    </row>
    <row r="36" spans="1:40" x14ac:dyDescent="0.25">
      <c r="A36" s="625"/>
      <c r="B36" s="267"/>
      <c r="C36" s="267"/>
      <c r="D36" s="296" t="s">
        <v>887</v>
      </c>
      <c r="E36" s="190">
        <f>E35-$D$35</f>
        <v>0</v>
      </c>
      <c r="F36" s="190">
        <f>F35-$D$35</f>
        <v>0</v>
      </c>
      <c r="G36" s="190">
        <f>G35-$D$35</f>
        <v>0</v>
      </c>
      <c r="H36" s="190">
        <f>H35-$D$35</f>
        <v>0</v>
      </c>
      <c r="I36" s="190">
        <f>I35-$D$35</f>
        <v>0</v>
      </c>
      <c r="J36" s="633"/>
      <c r="K36" s="224"/>
      <c r="L36" s="224"/>
      <c r="M36" s="305">
        <f>M35-$L35</f>
        <v>0</v>
      </c>
      <c r="N36" s="305">
        <f t="shared" ref="N36:Q36" si="26">N35-$L35</f>
        <v>0</v>
      </c>
      <c r="O36" s="305">
        <f t="shared" si="26"/>
        <v>0</v>
      </c>
      <c r="P36" s="305">
        <f t="shared" si="26"/>
        <v>0</v>
      </c>
      <c r="Q36" s="305">
        <f t="shared" si="26"/>
        <v>0</v>
      </c>
      <c r="R36" s="133"/>
      <c r="S36" s="133"/>
      <c r="T36" s="133"/>
      <c r="U36" s="133"/>
      <c r="V36" s="133"/>
      <c r="W36" s="133"/>
      <c r="X36" s="133"/>
      <c r="Y36" s="133"/>
      <c r="Z36" s="133"/>
      <c r="AJ36" s="297"/>
      <c r="AK36" s="297"/>
      <c r="AL36" s="297"/>
      <c r="AM36" s="297"/>
      <c r="AN36" s="297"/>
    </row>
    <row r="37" spans="1:40" x14ac:dyDescent="0.25">
      <c r="A37" s="299"/>
      <c r="B37" s="626"/>
      <c r="C37" s="627"/>
      <c r="D37" s="628"/>
      <c r="E37" s="629"/>
      <c r="F37" s="299"/>
      <c r="G37" s="299"/>
      <c r="H37" s="299"/>
      <c r="I37" s="322"/>
      <c r="J37" s="224"/>
      <c r="K37" s="224"/>
      <c r="L37" s="224"/>
      <c r="M37" s="224"/>
      <c r="N37" s="224"/>
      <c r="O37" s="224"/>
      <c r="P37" s="224"/>
      <c r="Q37" s="224"/>
      <c r="R37" s="133"/>
      <c r="S37" s="133"/>
      <c r="T37" s="133"/>
      <c r="U37" s="133"/>
      <c r="V37" s="133"/>
      <c r="W37" s="133"/>
      <c r="X37" s="133"/>
      <c r="Y37" s="133"/>
      <c r="Z37" s="133"/>
      <c r="AJ37" s="297"/>
      <c r="AK37" s="297"/>
      <c r="AL37" s="297"/>
      <c r="AM37" s="297"/>
      <c r="AN37" s="297"/>
    </row>
    <row r="38" spans="1:40" x14ac:dyDescent="0.25">
      <c r="A38" s="299"/>
      <c r="B38" s="420" t="s">
        <v>848</v>
      </c>
      <c r="C38" s="421"/>
      <c r="D38" s="421"/>
      <c r="E38" s="421"/>
      <c r="F38" s="421"/>
      <c r="G38" s="421"/>
      <c r="H38" s="421"/>
      <c r="I38" s="223"/>
      <c r="J38" s="224"/>
      <c r="K38" s="224"/>
      <c r="L38" s="224"/>
      <c r="M38" s="224"/>
      <c r="N38" s="224"/>
      <c r="O38" s="224"/>
      <c r="P38" s="224"/>
      <c r="Q38" s="224"/>
      <c r="R38" s="133"/>
      <c r="S38" s="133"/>
      <c r="T38" s="133"/>
      <c r="U38" s="133"/>
      <c r="V38" s="133"/>
      <c r="W38" s="133"/>
      <c r="X38" s="133"/>
      <c r="Y38" s="133"/>
      <c r="Z38" s="133"/>
      <c r="AJ38" s="297"/>
      <c r="AK38" s="297"/>
      <c r="AL38" s="297"/>
      <c r="AM38" s="297"/>
      <c r="AN38" s="297"/>
    </row>
    <row r="39" spans="1:40" ht="45" x14ac:dyDescent="0.25">
      <c r="A39" s="299"/>
      <c r="B39" s="290" t="s">
        <v>799</v>
      </c>
      <c r="C39" s="168" t="s">
        <v>886</v>
      </c>
      <c r="D39" s="449" t="s">
        <v>872</v>
      </c>
      <c r="E39" s="266" t="s">
        <v>694</v>
      </c>
      <c r="F39" s="266" t="s">
        <v>695</v>
      </c>
      <c r="G39" s="167" t="s">
        <v>828</v>
      </c>
      <c r="H39" s="167" t="s">
        <v>829</v>
      </c>
      <c r="I39" s="266" t="s">
        <v>830</v>
      </c>
      <c r="J39" s="224"/>
      <c r="K39" s="624" t="s">
        <v>801</v>
      </c>
      <c r="L39" s="449" t="s">
        <v>872</v>
      </c>
      <c r="M39" s="600" t="s">
        <v>694</v>
      </c>
      <c r="N39" s="600" t="s">
        <v>695</v>
      </c>
      <c r="O39" s="450" t="s">
        <v>828</v>
      </c>
      <c r="P39" s="450" t="s">
        <v>829</v>
      </c>
      <c r="Q39" s="600" t="s">
        <v>830</v>
      </c>
      <c r="R39" s="133"/>
      <c r="S39" s="133"/>
      <c r="T39" s="133"/>
      <c r="U39" s="133"/>
      <c r="V39" s="133"/>
      <c r="W39" s="133"/>
      <c r="X39" s="133"/>
      <c r="Y39" s="133"/>
      <c r="Z39" s="133"/>
      <c r="AJ39" s="297"/>
      <c r="AK39" s="297"/>
      <c r="AL39" s="297"/>
      <c r="AM39" s="297"/>
      <c r="AN39" s="297"/>
    </row>
    <row r="40" spans="1:40" x14ac:dyDescent="0.25">
      <c r="A40" s="299"/>
      <c r="B40" s="367" t="s">
        <v>721</v>
      </c>
      <c r="C40" s="149">
        <f>'Inputs and eligible population'!F75</f>
        <v>0</v>
      </c>
      <c r="D40" s="128">
        <f>'Financial impact (cash)'!D13*$C$40</f>
        <v>0</v>
      </c>
      <c r="E40" s="128">
        <f>'Financial impact (cash)'!E13*$C$40</f>
        <v>0</v>
      </c>
      <c r="F40" s="128">
        <f>'Financial impact (cash)'!F13*$C$40</f>
        <v>0</v>
      </c>
      <c r="G40" s="128">
        <f>'Financial impact (cash)'!G13*$C$40</f>
        <v>0</v>
      </c>
      <c r="H40" s="128">
        <f>'Financial impact (cash)'!H13*$C$40</f>
        <v>0</v>
      </c>
      <c r="I40" s="128">
        <f>'Financial impact (cash)'!I13*$C$40</f>
        <v>0</v>
      </c>
      <c r="J40" s="224"/>
      <c r="K40" s="636">
        <f>'Unit costs'!N29</f>
        <v>101</v>
      </c>
      <c r="L40" s="304">
        <f>(D40*$K$40)/1000</f>
        <v>0</v>
      </c>
      <c r="M40" s="304">
        <f t="shared" ref="M40:Q40" si="27">(E40*$K$40)/1000</f>
        <v>0</v>
      </c>
      <c r="N40" s="304">
        <f t="shared" si="27"/>
        <v>0</v>
      </c>
      <c r="O40" s="304">
        <f t="shared" si="27"/>
        <v>0</v>
      </c>
      <c r="P40" s="304">
        <f t="shared" si="27"/>
        <v>0</v>
      </c>
      <c r="Q40" s="304">
        <f t="shared" si="27"/>
        <v>0</v>
      </c>
      <c r="R40" s="133"/>
      <c r="S40" s="133"/>
      <c r="T40" s="133"/>
      <c r="U40" s="133"/>
      <c r="V40" s="133"/>
      <c r="W40" s="133"/>
      <c r="X40" s="133"/>
      <c r="Y40" s="133"/>
      <c r="Z40" s="133"/>
      <c r="AJ40" s="297"/>
      <c r="AK40" s="297"/>
      <c r="AL40" s="297"/>
      <c r="AM40" s="297"/>
      <c r="AN40" s="297"/>
    </row>
    <row r="41" spans="1:40" x14ac:dyDescent="0.25">
      <c r="A41" s="299"/>
      <c r="B41" s="367" t="s">
        <v>723</v>
      </c>
      <c r="C41" s="149">
        <f>'Inputs and eligible population'!G75</f>
        <v>0</v>
      </c>
      <c r="D41" s="128">
        <f>'Financial impact (cash)'!D15*$C$41</f>
        <v>0</v>
      </c>
      <c r="E41" s="128">
        <f>'Financial impact (cash)'!E15*$C$41</f>
        <v>0</v>
      </c>
      <c r="F41" s="128">
        <f>'Financial impact (cash)'!F15*$C$41</f>
        <v>0</v>
      </c>
      <c r="G41" s="128">
        <f>'Financial impact (cash)'!G15*$C$41</f>
        <v>0</v>
      </c>
      <c r="H41" s="128">
        <f>'Financial impact (cash)'!H15*$C$41</f>
        <v>0</v>
      </c>
      <c r="I41" s="128">
        <f>'Financial impact (cash)'!I15*$C$41</f>
        <v>0</v>
      </c>
      <c r="J41" s="224"/>
      <c r="K41" s="636">
        <f>'Unit costs'!N29</f>
        <v>101</v>
      </c>
      <c r="L41" s="304">
        <f>(D41*$K$41)/1000</f>
        <v>0</v>
      </c>
      <c r="M41" s="304">
        <f t="shared" ref="M41:Q41" si="28">(E41*$K$41)/1000</f>
        <v>0</v>
      </c>
      <c r="N41" s="304">
        <f t="shared" si="28"/>
        <v>0</v>
      </c>
      <c r="O41" s="304">
        <f t="shared" si="28"/>
        <v>0</v>
      </c>
      <c r="P41" s="304">
        <f t="shared" si="28"/>
        <v>0</v>
      </c>
      <c r="Q41" s="304">
        <f t="shared" si="28"/>
        <v>0</v>
      </c>
      <c r="R41" s="133"/>
      <c r="S41" s="133"/>
      <c r="T41" s="133"/>
      <c r="U41" s="133"/>
      <c r="V41" s="133"/>
      <c r="W41" s="133"/>
      <c r="X41" s="133"/>
      <c r="Y41" s="133"/>
      <c r="Z41" s="133"/>
      <c r="AJ41" s="297"/>
      <c r="AK41" s="297"/>
      <c r="AL41" s="297"/>
      <c r="AM41" s="297"/>
      <c r="AN41" s="297"/>
    </row>
    <row r="42" spans="1:40" x14ac:dyDescent="0.25">
      <c r="A42" s="299"/>
      <c r="B42" s="291"/>
      <c r="C42" s="294"/>
      <c r="D42" s="190">
        <f t="shared" ref="D42:I42" si="29">SUM(D40:D41)</f>
        <v>0</v>
      </c>
      <c r="E42" s="190">
        <f t="shared" si="29"/>
        <v>0</v>
      </c>
      <c r="F42" s="190">
        <f t="shared" si="29"/>
        <v>0</v>
      </c>
      <c r="G42" s="190">
        <f t="shared" si="29"/>
        <v>0</v>
      </c>
      <c r="H42" s="190">
        <f t="shared" si="29"/>
        <v>0</v>
      </c>
      <c r="I42" s="190">
        <f t="shared" si="29"/>
        <v>0</v>
      </c>
      <c r="J42" s="224"/>
      <c r="K42" s="224"/>
      <c r="L42" s="305">
        <f t="shared" ref="L42:Q42" si="30">SUM(L40:L41)</f>
        <v>0</v>
      </c>
      <c r="M42" s="305">
        <f t="shared" si="30"/>
        <v>0</v>
      </c>
      <c r="N42" s="305">
        <f t="shared" si="30"/>
        <v>0</v>
      </c>
      <c r="O42" s="305">
        <f t="shared" si="30"/>
        <v>0</v>
      </c>
      <c r="P42" s="305">
        <f t="shared" si="30"/>
        <v>0</v>
      </c>
      <c r="Q42" s="305">
        <f t="shared" si="30"/>
        <v>0</v>
      </c>
      <c r="R42" s="133"/>
      <c r="S42" s="133"/>
      <c r="T42" s="133"/>
      <c r="U42" s="133"/>
      <c r="V42" s="133"/>
      <c r="W42" s="133"/>
      <c r="X42" s="133"/>
      <c r="Y42" s="133"/>
      <c r="Z42" s="133"/>
      <c r="AJ42" s="297"/>
      <c r="AK42" s="297"/>
      <c r="AL42" s="297"/>
      <c r="AM42" s="297"/>
      <c r="AN42" s="297"/>
    </row>
    <row r="43" spans="1:40" x14ac:dyDescent="0.25">
      <c r="A43" s="299"/>
      <c r="B43" s="321"/>
      <c r="C43" s="267"/>
      <c r="D43" s="296" t="s">
        <v>887</v>
      </c>
      <c r="E43" s="190">
        <f>E42-$D$42</f>
        <v>0</v>
      </c>
      <c r="F43" s="190">
        <f t="shared" ref="F43:I43" si="31">F42-$D$42</f>
        <v>0</v>
      </c>
      <c r="G43" s="190">
        <f t="shared" si="31"/>
        <v>0</v>
      </c>
      <c r="H43" s="190">
        <f t="shared" si="31"/>
        <v>0</v>
      </c>
      <c r="I43" s="190">
        <f t="shared" si="31"/>
        <v>0</v>
      </c>
      <c r="J43" s="224"/>
      <c r="K43" s="224"/>
      <c r="L43" s="224"/>
      <c r="M43" s="305">
        <f>M42-$L42</f>
        <v>0</v>
      </c>
      <c r="N43" s="305">
        <f t="shared" ref="N43:Q43" si="32">N42-$L42</f>
        <v>0</v>
      </c>
      <c r="O43" s="305">
        <f t="shared" si="32"/>
        <v>0</v>
      </c>
      <c r="P43" s="305">
        <f t="shared" si="32"/>
        <v>0</v>
      </c>
      <c r="Q43" s="305">
        <f t="shared" si="32"/>
        <v>0</v>
      </c>
      <c r="R43" s="133"/>
      <c r="S43" s="133"/>
      <c r="T43" s="133"/>
      <c r="U43" s="133"/>
      <c r="V43" s="133"/>
      <c r="W43" s="133"/>
      <c r="X43" s="133"/>
      <c r="Y43" s="133"/>
      <c r="Z43" s="133"/>
      <c r="AJ43" s="297"/>
      <c r="AK43" s="297"/>
      <c r="AL43" s="297"/>
      <c r="AM43" s="297"/>
      <c r="AN43" s="297"/>
    </row>
    <row r="44" spans="1:40" x14ac:dyDescent="0.25">
      <c r="A44" s="299"/>
      <c r="B44" s="299"/>
      <c r="C44" s="299"/>
      <c r="D44" s="631"/>
      <c r="E44" s="632"/>
      <c r="F44" s="632"/>
      <c r="G44" s="632"/>
      <c r="H44" s="632"/>
      <c r="I44" s="632"/>
      <c r="J44" s="224"/>
      <c r="K44" s="224"/>
      <c r="L44" s="224"/>
      <c r="M44" s="224"/>
      <c r="N44" s="224"/>
      <c r="O44" s="224"/>
      <c r="P44" s="224"/>
      <c r="Q44" s="224"/>
      <c r="R44" s="133"/>
      <c r="S44" s="133"/>
      <c r="T44" s="133"/>
      <c r="U44" s="133"/>
      <c r="V44" s="133"/>
      <c r="W44" s="133"/>
      <c r="X44" s="133"/>
      <c r="Y44" s="133"/>
      <c r="Z44" s="133"/>
      <c r="AJ44" s="297"/>
      <c r="AK44" s="297"/>
      <c r="AL44" s="297"/>
      <c r="AM44" s="297"/>
      <c r="AN44" s="297"/>
    </row>
    <row r="45" spans="1:40" x14ac:dyDescent="0.25">
      <c r="A45" s="308"/>
      <c r="B45" s="337" t="s">
        <v>888</v>
      </c>
      <c r="C45" s="309"/>
      <c r="D45" s="309"/>
      <c r="E45" s="310"/>
      <c r="F45" s="311"/>
      <c r="G45" s="312"/>
      <c r="H45" s="312"/>
      <c r="I45" s="460"/>
      <c r="J45" s="461"/>
      <c r="K45" s="308"/>
      <c r="L45" s="308"/>
      <c r="M45" s="308"/>
      <c r="N45" s="308"/>
      <c r="O45" s="308"/>
      <c r="P45" s="308"/>
      <c r="Q45" s="220"/>
      <c r="R45" s="133"/>
      <c r="S45" s="133"/>
      <c r="V45" s="133"/>
    </row>
    <row r="46" spans="1:40" x14ac:dyDescent="0.25">
      <c r="A46" s="316"/>
      <c r="B46" s="413" t="s">
        <v>889</v>
      </c>
      <c r="C46" s="414"/>
      <c r="D46" s="414"/>
      <c r="E46" s="414"/>
      <c r="F46" s="414"/>
      <c r="G46" s="414"/>
      <c r="H46" s="414"/>
      <c r="I46" s="414"/>
      <c r="J46" s="455"/>
      <c r="K46" s="220"/>
      <c r="L46" s="220"/>
      <c r="M46" s="220"/>
      <c r="N46" s="220"/>
      <c r="O46" s="220"/>
      <c r="P46" s="220"/>
      <c r="Q46" s="220"/>
      <c r="R46" s="133"/>
      <c r="S46" s="133"/>
      <c r="T46" s="133"/>
      <c r="U46" s="133"/>
      <c r="V46" s="133"/>
      <c r="W46" s="133"/>
      <c r="X46" s="133"/>
      <c r="Y46" s="133"/>
      <c r="Z46" s="133"/>
      <c r="AJ46" s="297"/>
      <c r="AK46" s="297"/>
      <c r="AL46" s="297"/>
      <c r="AM46" s="297"/>
      <c r="AN46" s="297"/>
    </row>
    <row r="47" spans="1:40" ht="45" x14ac:dyDescent="0.25">
      <c r="A47" s="316"/>
      <c r="B47" s="335" t="s">
        <v>799</v>
      </c>
      <c r="C47" s="582"/>
      <c r="D47" s="449" t="s">
        <v>872</v>
      </c>
      <c r="E47" s="266" t="s">
        <v>694</v>
      </c>
      <c r="F47" s="266" t="s">
        <v>695</v>
      </c>
      <c r="G47" s="167" t="s">
        <v>828</v>
      </c>
      <c r="H47" s="167" t="s">
        <v>829</v>
      </c>
      <c r="I47" s="266" t="s">
        <v>830</v>
      </c>
      <c r="J47" s="455"/>
      <c r="K47" s="220"/>
      <c r="L47" s="220"/>
      <c r="M47" s="220"/>
      <c r="N47" s="220"/>
      <c r="O47" s="220"/>
      <c r="P47" s="220"/>
      <c r="Q47" s="220"/>
      <c r="R47" s="133"/>
      <c r="S47" s="133"/>
      <c r="T47" s="133"/>
      <c r="U47" s="133"/>
      <c r="V47" s="133"/>
      <c r="W47" s="133"/>
      <c r="X47" s="133"/>
      <c r="Y47" s="133"/>
      <c r="Z47" s="133"/>
      <c r="AJ47" s="297"/>
      <c r="AK47" s="297"/>
      <c r="AL47" s="297"/>
      <c r="AM47" s="297"/>
      <c r="AN47" s="297"/>
    </row>
    <row r="48" spans="1:40" x14ac:dyDescent="0.25">
      <c r="A48" s="316"/>
      <c r="B48" s="581" t="s">
        <v>12</v>
      </c>
      <c r="C48" s="565"/>
      <c r="D48" s="128">
        <f>D60</f>
        <v>0</v>
      </c>
      <c r="E48" s="128">
        <f t="shared" ref="E48:I48" si="33">E60</f>
        <v>0</v>
      </c>
      <c r="F48" s="128">
        <f t="shared" si="33"/>
        <v>0</v>
      </c>
      <c r="G48" s="128">
        <f t="shared" si="33"/>
        <v>0</v>
      </c>
      <c r="H48" s="128">
        <f t="shared" si="33"/>
        <v>0</v>
      </c>
      <c r="I48" s="128">
        <f t="shared" si="33"/>
        <v>0</v>
      </c>
      <c r="J48" s="455"/>
      <c r="K48" s="220"/>
      <c r="L48" s="220"/>
      <c r="M48" s="220"/>
      <c r="N48" s="220"/>
      <c r="O48" s="220"/>
      <c r="P48" s="220"/>
      <c r="Q48" s="220"/>
      <c r="R48" s="133"/>
      <c r="S48" s="133"/>
      <c r="T48" s="133"/>
      <c r="U48" s="133"/>
      <c r="V48" s="133"/>
      <c r="W48" s="133"/>
      <c r="X48" s="133"/>
      <c r="Y48" s="133"/>
      <c r="Z48" s="133"/>
      <c r="AJ48" s="297"/>
      <c r="AK48" s="297"/>
      <c r="AL48" s="297"/>
      <c r="AM48" s="297"/>
      <c r="AN48" s="297"/>
    </row>
    <row r="49" spans="1:40" x14ac:dyDescent="0.25">
      <c r="A49" s="316"/>
      <c r="B49" s="580"/>
      <c r="C49" s="339"/>
      <c r="D49" s="190">
        <f t="shared" ref="D49" si="34">SUM(D48:D48)</f>
        <v>0</v>
      </c>
      <c r="E49" s="190">
        <f>SUM(E48:E48)</f>
        <v>0</v>
      </c>
      <c r="F49" s="190">
        <f>SUM(F48:F48)</f>
        <v>0</v>
      </c>
      <c r="G49" s="190">
        <f>SUM(G48:G48)</f>
        <v>0</v>
      </c>
      <c r="H49" s="190">
        <f>SUM(H48:H48)</f>
        <v>0</v>
      </c>
      <c r="I49" s="190">
        <f>SUM(I48:I48)</f>
        <v>0</v>
      </c>
      <c r="J49" s="455"/>
      <c r="K49" s="220"/>
      <c r="L49" s="220"/>
      <c r="M49" s="220"/>
      <c r="N49" s="220"/>
      <c r="O49" s="220"/>
      <c r="P49" s="220"/>
      <c r="Q49" s="220"/>
      <c r="R49" s="133"/>
      <c r="S49" s="133"/>
      <c r="T49" s="133"/>
      <c r="U49" s="133"/>
      <c r="V49" s="133"/>
      <c r="W49" s="133"/>
      <c r="X49" s="133"/>
      <c r="Y49" s="133"/>
      <c r="Z49" s="133"/>
      <c r="AJ49" s="297"/>
      <c r="AK49" s="297"/>
      <c r="AL49" s="297"/>
      <c r="AM49" s="297"/>
      <c r="AN49" s="297"/>
    </row>
    <row r="50" spans="1:40" x14ac:dyDescent="0.25">
      <c r="A50" s="316"/>
      <c r="B50" s="267"/>
      <c r="C50" s="267"/>
      <c r="D50" s="296" t="s">
        <v>890</v>
      </c>
      <c r="E50" s="190">
        <f>E49-$D$49</f>
        <v>0</v>
      </c>
      <c r="F50" s="190">
        <f>F49-$D$49</f>
        <v>0</v>
      </c>
      <c r="G50" s="190">
        <f>G49-$D$49</f>
        <v>0</v>
      </c>
      <c r="H50" s="190">
        <f>H49-$D$49</f>
        <v>0</v>
      </c>
      <c r="I50" s="190">
        <f>I49-$D$49</f>
        <v>0</v>
      </c>
      <c r="J50" s="455"/>
      <c r="K50" s="220"/>
      <c r="L50" s="220"/>
      <c r="M50" s="220"/>
      <c r="N50" s="220"/>
      <c r="O50" s="220"/>
      <c r="P50" s="220"/>
      <c r="Q50" s="220"/>
      <c r="R50" s="133"/>
      <c r="S50" s="133"/>
      <c r="T50" s="133"/>
      <c r="U50" s="133"/>
      <c r="V50" s="133"/>
      <c r="W50" s="133"/>
      <c r="X50" s="133"/>
      <c r="Y50" s="133"/>
      <c r="Z50" s="133"/>
      <c r="AJ50" s="297"/>
      <c r="AK50" s="297"/>
      <c r="AL50" s="297"/>
      <c r="AM50" s="297"/>
      <c r="AN50" s="297"/>
    </row>
    <row r="51" spans="1:40" x14ac:dyDescent="0.25">
      <c r="A51" s="308"/>
      <c r="B51" s="338"/>
      <c r="C51" s="314"/>
      <c r="D51" s="313"/>
      <c r="E51" s="314"/>
      <c r="F51" s="315"/>
      <c r="G51" s="308"/>
      <c r="H51" s="308"/>
      <c r="I51" s="312"/>
      <c r="J51" s="220"/>
      <c r="K51" s="220"/>
      <c r="L51" s="220"/>
      <c r="M51" s="220"/>
      <c r="N51" s="220"/>
      <c r="O51" s="220"/>
      <c r="P51" s="220"/>
      <c r="Q51" s="220"/>
      <c r="R51" s="133"/>
      <c r="S51" s="133"/>
      <c r="T51" s="133"/>
      <c r="U51" s="133"/>
      <c r="V51" s="133"/>
      <c r="W51" s="133"/>
      <c r="X51" s="133"/>
      <c r="Y51" s="133"/>
      <c r="Z51" s="133"/>
      <c r="AJ51" s="297"/>
      <c r="AK51" s="297"/>
      <c r="AL51" s="297"/>
      <c r="AM51" s="297"/>
      <c r="AN51" s="297"/>
    </row>
    <row r="52" spans="1:40" hidden="1" x14ac:dyDescent="0.25">
      <c r="A52" s="316"/>
      <c r="B52" s="413" t="s">
        <v>891</v>
      </c>
      <c r="C52" s="414"/>
      <c r="D52" s="414"/>
      <c r="E52" s="414"/>
      <c r="F52" s="414"/>
      <c r="G52" s="414"/>
      <c r="H52" s="414"/>
      <c r="I52" s="414"/>
      <c r="J52" s="455"/>
      <c r="K52" s="220"/>
      <c r="L52" s="220"/>
      <c r="M52" s="220"/>
      <c r="N52" s="220"/>
      <c r="O52" s="220"/>
      <c r="P52" s="220"/>
      <c r="Q52" s="220"/>
      <c r="R52" s="133"/>
      <c r="S52" s="133"/>
      <c r="T52" s="133"/>
      <c r="U52" s="133"/>
      <c r="V52" s="133"/>
      <c r="W52" s="133"/>
      <c r="X52" s="133"/>
      <c r="Y52" s="133"/>
      <c r="Z52" s="133"/>
      <c r="AJ52" s="297"/>
      <c r="AK52" s="297"/>
      <c r="AL52" s="297"/>
      <c r="AM52" s="297"/>
      <c r="AN52" s="297"/>
    </row>
    <row r="53" spans="1:40" ht="45" hidden="1" x14ac:dyDescent="0.25">
      <c r="A53" s="308"/>
      <c r="B53" s="290" t="s">
        <v>799</v>
      </c>
      <c r="C53" s="168"/>
      <c r="D53" s="449" t="s">
        <v>872</v>
      </c>
      <c r="E53" s="266" t="s">
        <v>694</v>
      </c>
      <c r="F53" s="266" t="s">
        <v>695</v>
      </c>
      <c r="G53" s="167" t="s">
        <v>828</v>
      </c>
      <c r="H53" s="167" t="s">
        <v>829</v>
      </c>
      <c r="I53" s="266" t="s">
        <v>830</v>
      </c>
      <c r="J53" s="455"/>
      <c r="K53" s="624" t="s">
        <v>801</v>
      </c>
      <c r="L53" s="449" t="s">
        <v>872</v>
      </c>
      <c r="M53" s="600" t="s">
        <v>694</v>
      </c>
      <c r="N53" s="600" t="s">
        <v>695</v>
      </c>
      <c r="O53" s="450" t="s">
        <v>828</v>
      </c>
      <c r="P53" s="450" t="s">
        <v>829</v>
      </c>
      <c r="Q53" s="600" t="s">
        <v>830</v>
      </c>
      <c r="R53" s="133"/>
      <c r="S53" s="133"/>
      <c r="T53" s="133"/>
      <c r="U53" s="133"/>
      <c r="V53" s="133"/>
      <c r="W53" s="133"/>
      <c r="X53" s="133"/>
      <c r="Y53" s="133"/>
      <c r="Z53" s="133"/>
      <c r="AJ53" s="297"/>
      <c r="AK53" s="297"/>
      <c r="AL53" s="297"/>
      <c r="AM53" s="297"/>
      <c r="AN53" s="297"/>
    </row>
    <row r="54" spans="1:40" hidden="1" x14ac:dyDescent="0.25">
      <c r="A54" s="308"/>
      <c r="B54" s="366"/>
      <c r="C54" s="304"/>
      <c r="D54" s="128" t="e">
        <f>D60+#REF!+#REF!</f>
        <v>#REF!</v>
      </c>
      <c r="E54" s="128" t="e">
        <f>E60+#REF!+#REF!</f>
        <v>#REF!</v>
      </c>
      <c r="F54" s="128" t="e">
        <f>F60+#REF!+#REF!</f>
        <v>#REF!</v>
      </c>
      <c r="G54" s="128" t="e">
        <f>G60+#REF!+#REF!</f>
        <v>#REF!</v>
      </c>
      <c r="H54" s="128" t="e">
        <f>H60+#REF!+#REF!</f>
        <v>#REF!</v>
      </c>
      <c r="I54" s="128" t="e">
        <f>I60+#REF!+#REF!</f>
        <v>#REF!</v>
      </c>
      <c r="J54" s="455"/>
      <c r="K54" s="636">
        <f>'Unit costs'!N19</f>
        <v>0</v>
      </c>
      <c r="L54" s="304" t="e">
        <f t="shared" ref="L54:Q54" si="35">(D54*$C$54)/1000</f>
        <v>#REF!</v>
      </c>
      <c r="M54" s="304" t="e">
        <f t="shared" si="35"/>
        <v>#REF!</v>
      </c>
      <c r="N54" s="304" t="e">
        <f t="shared" si="35"/>
        <v>#REF!</v>
      </c>
      <c r="O54" s="304" t="e">
        <f t="shared" si="35"/>
        <v>#REF!</v>
      </c>
      <c r="P54" s="304" t="e">
        <f t="shared" si="35"/>
        <v>#REF!</v>
      </c>
      <c r="Q54" s="304" t="e">
        <f t="shared" si="35"/>
        <v>#REF!</v>
      </c>
      <c r="R54" s="133"/>
      <c r="S54" s="133"/>
      <c r="T54" s="133"/>
      <c r="U54" s="133"/>
      <c r="V54" s="133"/>
      <c r="W54" s="133"/>
      <c r="X54" s="133"/>
      <c r="Y54" s="133"/>
      <c r="Z54" s="133"/>
      <c r="AJ54" s="297"/>
      <c r="AK54" s="297"/>
      <c r="AL54" s="297"/>
      <c r="AM54" s="297"/>
      <c r="AN54" s="297"/>
    </row>
    <row r="55" spans="1:40" hidden="1" x14ac:dyDescent="0.25">
      <c r="A55" s="308"/>
      <c r="B55" s="294"/>
      <c r="C55" s="339"/>
      <c r="D55" s="190" t="e">
        <f t="shared" ref="D55:I55" si="36">SUM(D54:D54)</f>
        <v>#REF!</v>
      </c>
      <c r="E55" s="190" t="e">
        <f t="shared" si="36"/>
        <v>#REF!</v>
      </c>
      <c r="F55" s="190" t="e">
        <f t="shared" si="36"/>
        <v>#REF!</v>
      </c>
      <c r="G55" s="190" t="e">
        <f t="shared" si="36"/>
        <v>#REF!</v>
      </c>
      <c r="H55" s="190" t="e">
        <f t="shared" si="36"/>
        <v>#REF!</v>
      </c>
      <c r="I55" s="190" t="e">
        <f t="shared" si="36"/>
        <v>#REF!</v>
      </c>
      <c r="J55" s="455"/>
      <c r="K55" s="220"/>
      <c r="L55" s="305" t="e">
        <f t="shared" ref="L55:Q55" si="37">SUM(L54:L54)</f>
        <v>#REF!</v>
      </c>
      <c r="M55" s="305" t="e">
        <f t="shared" si="37"/>
        <v>#REF!</v>
      </c>
      <c r="N55" s="305" t="e">
        <f t="shared" si="37"/>
        <v>#REF!</v>
      </c>
      <c r="O55" s="305" t="e">
        <f t="shared" si="37"/>
        <v>#REF!</v>
      </c>
      <c r="P55" s="305" t="e">
        <f t="shared" si="37"/>
        <v>#REF!</v>
      </c>
      <c r="Q55" s="305" t="e">
        <f t="shared" si="37"/>
        <v>#REF!</v>
      </c>
      <c r="R55" s="133"/>
      <c r="S55" s="133"/>
      <c r="T55" s="133"/>
      <c r="U55" s="133"/>
      <c r="V55" s="133"/>
      <c r="W55" s="133"/>
      <c r="X55" s="133"/>
      <c r="Y55" s="133"/>
      <c r="Z55" s="133"/>
      <c r="AJ55" s="297"/>
      <c r="AK55" s="297"/>
      <c r="AL55" s="297"/>
      <c r="AM55" s="297"/>
      <c r="AN55" s="297"/>
    </row>
    <row r="56" spans="1:40" hidden="1" x14ac:dyDescent="0.25">
      <c r="A56" s="308"/>
      <c r="B56" s="321"/>
      <c r="C56" s="267"/>
      <c r="D56" s="296" t="s">
        <v>892</v>
      </c>
      <c r="E56" s="190" t="e">
        <f>E55-D55</f>
        <v>#REF!</v>
      </c>
      <c r="F56" s="190" t="e">
        <f>F55-$D$55</f>
        <v>#REF!</v>
      </c>
      <c r="G56" s="190" t="e">
        <f t="shared" ref="G56:I56" si="38">G55-$D$55</f>
        <v>#REF!</v>
      </c>
      <c r="H56" s="190" t="e">
        <f t="shared" si="38"/>
        <v>#REF!</v>
      </c>
      <c r="I56" s="190" t="e">
        <f t="shared" si="38"/>
        <v>#REF!</v>
      </c>
      <c r="J56" s="455"/>
      <c r="K56" s="220"/>
      <c r="L56" s="606"/>
      <c r="M56" s="305" t="e">
        <f>M55-$L55</f>
        <v>#REF!</v>
      </c>
      <c r="N56" s="305" t="e">
        <f t="shared" ref="N56:Q56" si="39">N55-$L55</f>
        <v>#REF!</v>
      </c>
      <c r="O56" s="305" t="e">
        <f t="shared" si="39"/>
        <v>#REF!</v>
      </c>
      <c r="P56" s="305" t="e">
        <f t="shared" si="39"/>
        <v>#REF!</v>
      </c>
      <c r="Q56" s="305" t="e">
        <f t="shared" si="39"/>
        <v>#REF!</v>
      </c>
      <c r="R56" s="133"/>
      <c r="S56" s="133"/>
      <c r="T56" s="133"/>
      <c r="U56" s="133"/>
      <c r="V56" s="133"/>
      <c r="W56" s="133"/>
      <c r="X56" s="133"/>
      <c r="Y56" s="133"/>
      <c r="Z56" s="133"/>
      <c r="AJ56" s="297"/>
      <c r="AK56" s="297"/>
      <c r="AL56" s="297"/>
      <c r="AM56" s="297"/>
      <c r="AN56" s="297"/>
    </row>
    <row r="57" spans="1:40" hidden="1" x14ac:dyDescent="0.25">
      <c r="A57" s="308"/>
      <c r="B57" s="338"/>
      <c r="C57" s="314"/>
      <c r="D57" s="313"/>
      <c r="E57" s="314"/>
      <c r="F57" s="315"/>
      <c r="G57" s="308"/>
      <c r="H57" s="308"/>
      <c r="I57" s="312"/>
      <c r="J57" s="220"/>
      <c r="K57" s="220"/>
      <c r="L57" s="220"/>
      <c r="M57" s="220"/>
      <c r="N57" s="220"/>
      <c r="O57" s="220"/>
      <c r="P57" s="220"/>
      <c r="Q57" s="220"/>
      <c r="R57" s="133"/>
      <c r="S57" s="133"/>
      <c r="T57" s="133"/>
      <c r="U57" s="133"/>
      <c r="V57" s="133"/>
      <c r="W57" s="133"/>
      <c r="X57" s="133"/>
      <c r="Y57" s="133"/>
      <c r="Z57" s="133"/>
      <c r="AJ57" s="297"/>
      <c r="AK57" s="297"/>
      <c r="AL57" s="297"/>
      <c r="AM57" s="297"/>
      <c r="AN57" s="297"/>
    </row>
    <row r="58" spans="1:40" x14ac:dyDescent="0.25">
      <c r="A58" s="316"/>
      <c r="B58" s="413" t="s">
        <v>893</v>
      </c>
      <c r="C58" s="414"/>
      <c r="D58" s="414"/>
      <c r="E58" s="414"/>
      <c r="F58" s="414"/>
      <c r="G58" s="414"/>
      <c r="H58" s="414"/>
      <c r="I58" s="414"/>
      <c r="J58" s="455"/>
      <c r="K58" s="220"/>
      <c r="L58" s="220"/>
      <c r="M58" s="220"/>
      <c r="N58" s="220"/>
      <c r="O58" s="220"/>
      <c r="P58" s="220"/>
      <c r="Q58" s="220"/>
      <c r="S58" s="133"/>
      <c r="T58" s="133"/>
      <c r="U58" s="133"/>
      <c r="V58" s="133"/>
      <c r="W58" s="133"/>
      <c r="X58" s="133"/>
      <c r="Y58" s="133"/>
      <c r="Z58" s="133"/>
      <c r="AJ58" s="297"/>
      <c r="AK58" s="297"/>
      <c r="AL58" s="297"/>
      <c r="AM58" s="297"/>
      <c r="AN58" s="297"/>
    </row>
    <row r="59" spans="1:40" ht="45" x14ac:dyDescent="0.25">
      <c r="A59" s="316"/>
      <c r="B59" s="335" t="s">
        <v>799</v>
      </c>
      <c r="C59" s="168" t="s">
        <v>800</v>
      </c>
      <c r="D59" s="449" t="s">
        <v>872</v>
      </c>
      <c r="E59" s="266" t="s">
        <v>694</v>
      </c>
      <c r="F59" s="266" t="s">
        <v>695</v>
      </c>
      <c r="G59" s="167" t="s">
        <v>828</v>
      </c>
      <c r="H59" s="167" t="s">
        <v>829</v>
      </c>
      <c r="I59" s="266" t="s">
        <v>830</v>
      </c>
      <c r="J59" s="455"/>
      <c r="K59" s="220"/>
      <c r="L59" s="220"/>
      <c r="M59" s="220"/>
      <c r="N59" s="220"/>
      <c r="O59" s="220"/>
      <c r="P59" s="220"/>
      <c r="Q59" s="220"/>
      <c r="V59" s="133"/>
      <c r="AJ59" s="297"/>
      <c r="AK59" s="297"/>
      <c r="AL59" s="297"/>
      <c r="AM59" s="297"/>
      <c r="AN59" s="297"/>
    </row>
    <row r="60" spans="1:40" x14ac:dyDescent="0.25">
      <c r="A60" s="316"/>
      <c r="B60" s="367" t="s">
        <v>721</v>
      </c>
      <c r="C60" s="307">
        <f>'Inputs and eligible population'!D50</f>
        <v>0</v>
      </c>
      <c r="D60" s="128">
        <f>'Inputs and eligible population'!L60*'Capacity (national prices)'!$C60</f>
        <v>0</v>
      </c>
      <c r="E60" s="128">
        <f>E$7*'Inputs and eligible population'!F60*'Capacity (national prices)'!$C60</f>
        <v>0</v>
      </c>
      <c r="F60" s="128">
        <f>F$7*'Inputs and eligible population'!G60*'Capacity (national prices)'!$C60</f>
        <v>0</v>
      </c>
      <c r="G60" s="128">
        <f>G$7*'Inputs and eligible population'!H60*'Capacity (national prices)'!$C60</f>
        <v>0</v>
      </c>
      <c r="H60" s="128">
        <f>H$7*'Inputs and eligible population'!I60*'Capacity (national prices)'!$C60</f>
        <v>0</v>
      </c>
      <c r="I60" s="128">
        <f>I$7*'Inputs and eligible population'!J60*'Capacity (national prices)'!$C60</f>
        <v>0</v>
      </c>
      <c r="J60" s="455"/>
      <c r="K60" s="220"/>
      <c r="L60" s="220"/>
      <c r="M60" s="220"/>
      <c r="N60" s="220"/>
      <c r="O60" s="220"/>
      <c r="P60" s="220"/>
      <c r="Q60" s="220"/>
      <c r="V60" s="133"/>
      <c r="AJ60" s="297"/>
      <c r="AK60" s="297"/>
      <c r="AL60" s="297"/>
      <c r="AM60" s="297"/>
      <c r="AN60" s="297"/>
    </row>
    <row r="61" spans="1:40" x14ac:dyDescent="0.25">
      <c r="A61" s="316"/>
      <c r="B61" s="339"/>
      <c r="C61" s="339"/>
      <c r="D61" s="190">
        <f t="shared" ref="D61:I61" si="40">SUM(D60:D60)</f>
        <v>0</v>
      </c>
      <c r="E61" s="190">
        <f t="shared" si="40"/>
        <v>0</v>
      </c>
      <c r="F61" s="190">
        <f t="shared" si="40"/>
        <v>0</v>
      </c>
      <c r="G61" s="190">
        <f t="shared" si="40"/>
        <v>0</v>
      </c>
      <c r="H61" s="190">
        <f t="shared" si="40"/>
        <v>0</v>
      </c>
      <c r="I61" s="190">
        <f t="shared" si="40"/>
        <v>0</v>
      </c>
      <c r="J61" s="308"/>
      <c r="K61" s="308"/>
      <c r="L61" s="308"/>
      <c r="M61" s="308"/>
      <c r="N61" s="308"/>
      <c r="O61" s="308"/>
      <c r="P61" s="308"/>
      <c r="Q61" s="308"/>
      <c r="V61" s="133"/>
      <c r="AJ61" s="297"/>
      <c r="AK61" s="297"/>
      <c r="AL61" s="297"/>
      <c r="AM61" s="297"/>
      <c r="AN61" s="297"/>
    </row>
    <row r="62" spans="1:40" x14ac:dyDescent="0.25">
      <c r="A62" s="316"/>
      <c r="B62" s="267"/>
      <c r="C62" s="267"/>
      <c r="D62" s="296" t="s">
        <v>894</v>
      </c>
      <c r="E62" s="190">
        <f>E61-$D$61</f>
        <v>0</v>
      </c>
      <c r="F62" s="190">
        <f>F61-$D$61</f>
        <v>0</v>
      </c>
      <c r="G62" s="190">
        <f>G61-$D$61</f>
        <v>0</v>
      </c>
      <c r="H62" s="190">
        <f>H61-$D$61</f>
        <v>0</v>
      </c>
      <c r="I62" s="190">
        <f>I61-$D$61</f>
        <v>0</v>
      </c>
      <c r="J62" s="308"/>
      <c r="K62" s="308"/>
      <c r="L62" s="308"/>
      <c r="M62" s="308"/>
      <c r="N62" s="308"/>
      <c r="O62" s="308"/>
      <c r="P62" s="308"/>
      <c r="Q62" s="308"/>
      <c r="S62" s="133"/>
      <c r="T62" s="133"/>
      <c r="U62" s="133"/>
      <c r="V62" s="133"/>
      <c r="W62" s="133"/>
      <c r="X62" s="133"/>
      <c r="Y62" s="133"/>
      <c r="Z62" s="133"/>
      <c r="AJ62" s="297"/>
      <c r="AK62" s="297"/>
      <c r="AL62" s="297"/>
      <c r="AM62" s="297"/>
      <c r="AN62" s="297"/>
    </row>
    <row r="63" spans="1:40" x14ac:dyDescent="0.25">
      <c r="A63" s="308"/>
      <c r="B63" s="338"/>
      <c r="C63" s="314"/>
      <c r="D63" s="314"/>
      <c r="E63" s="315"/>
      <c r="F63" s="308"/>
      <c r="G63" s="308"/>
      <c r="H63" s="220"/>
      <c r="I63" s="220"/>
      <c r="J63" s="220"/>
      <c r="K63" s="220"/>
      <c r="L63" s="220"/>
      <c r="M63" s="220"/>
      <c r="N63" s="220"/>
      <c r="O63" s="220"/>
      <c r="P63" s="220"/>
      <c r="Q63" s="220"/>
      <c r="S63" s="133"/>
      <c r="T63" s="133"/>
      <c r="U63" s="133"/>
      <c r="V63" s="133"/>
      <c r="W63" s="133"/>
      <c r="X63" s="133"/>
      <c r="Y63" s="133"/>
      <c r="Z63" s="133"/>
      <c r="AJ63" s="297"/>
      <c r="AK63" s="297"/>
      <c r="AL63" s="297"/>
      <c r="AM63" s="297"/>
      <c r="AN63" s="297"/>
    </row>
    <row r="64" spans="1:40" hidden="1" x14ac:dyDescent="0.25">
      <c r="A64" s="298"/>
      <c r="B64" s="340" t="s">
        <v>895</v>
      </c>
      <c r="C64" s="317"/>
      <c r="D64" s="317"/>
      <c r="E64" s="318"/>
      <c r="F64" s="319"/>
      <c r="G64" s="320"/>
      <c r="H64" s="320"/>
      <c r="I64" s="320"/>
      <c r="J64" s="462"/>
      <c r="K64" s="298"/>
      <c r="L64" s="298"/>
      <c r="M64" s="298"/>
      <c r="N64" s="298"/>
      <c r="O64" s="298"/>
      <c r="P64" s="298"/>
      <c r="Q64" s="222"/>
      <c r="V64" s="133"/>
    </row>
    <row r="65" spans="1:40" hidden="1" x14ac:dyDescent="0.25">
      <c r="A65" s="298"/>
      <c r="B65" s="415" t="s">
        <v>896</v>
      </c>
      <c r="C65" s="416"/>
      <c r="D65" s="416"/>
      <c r="E65" s="416"/>
      <c r="F65" s="416"/>
      <c r="G65" s="416"/>
      <c r="H65" s="416"/>
      <c r="I65" s="221"/>
      <c r="J65" s="457"/>
      <c r="K65" s="222"/>
      <c r="L65" s="298"/>
      <c r="M65" s="298"/>
      <c r="N65" s="298"/>
      <c r="O65" s="298"/>
      <c r="P65" s="298"/>
      <c r="Q65" s="222"/>
      <c r="V65" s="133"/>
    </row>
    <row r="66" spans="1:40" ht="60" hidden="1" x14ac:dyDescent="0.25">
      <c r="A66" s="298"/>
      <c r="B66" s="293" t="s">
        <v>799</v>
      </c>
      <c r="C66" s="168" t="s">
        <v>897</v>
      </c>
      <c r="D66" s="449" t="s">
        <v>872</v>
      </c>
      <c r="E66" s="266" t="s">
        <v>694</v>
      </c>
      <c r="F66" s="266" t="s">
        <v>695</v>
      </c>
      <c r="G66" s="167" t="s">
        <v>828</v>
      </c>
      <c r="H66" s="167" t="s">
        <v>829</v>
      </c>
      <c r="I66" s="266" t="s">
        <v>830</v>
      </c>
      <c r="J66" s="298"/>
      <c r="K66" s="298"/>
      <c r="L66" s="298"/>
      <c r="M66" s="298"/>
      <c r="N66" s="298"/>
      <c r="O66" s="298"/>
      <c r="P66" s="298"/>
      <c r="Q66" s="222"/>
      <c r="V66" s="133"/>
    </row>
    <row r="67" spans="1:40" hidden="1" x14ac:dyDescent="0.25">
      <c r="A67" s="298"/>
      <c r="B67" s="367"/>
      <c r="C67" s="149">
        <f>'Inputs and eligible population'!F77</f>
        <v>0</v>
      </c>
      <c r="D67" s="128">
        <f t="shared" ref="D67:I67" si="41">(D60*$C$67)/60</f>
        <v>0</v>
      </c>
      <c r="E67" s="128">
        <f t="shared" si="41"/>
        <v>0</v>
      </c>
      <c r="F67" s="128">
        <f t="shared" si="41"/>
        <v>0</v>
      </c>
      <c r="G67" s="128">
        <f t="shared" si="41"/>
        <v>0</v>
      </c>
      <c r="H67" s="128">
        <f t="shared" si="41"/>
        <v>0</v>
      </c>
      <c r="I67" s="128">
        <f t="shared" si="41"/>
        <v>0</v>
      </c>
      <c r="J67" s="298"/>
      <c r="K67" s="298"/>
      <c r="L67" s="298"/>
      <c r="M67" s="298"/>
      <c r="N67" s="298"/>
      <c r="O67" s="298"/>
      <c r="P67" s="298"/>
      <c r="Q67" s="222"/>
      <c r="S67" s="133"/>
      <c r="T67" s="133"/>
      <c r="U67" s="133"/>
      <c r="V67" s="133"/>
      <c r="W67" s="133"/>
      <c r="X67" s="133"/>
      <c r="Y67" s="133"/>
      <c r="Z67" s="133"/>
      <c r="AJ67" s="297"/>
      <c r="AK67" s="297"/>
      <c r="AL67" s="297"/>
      <c r="AM67" s="297"/>
      <c r="AN67" s="297"/>
    </row>
    <row r="68" spans="1:40" hidden="1" x14ac:dyDescent="0.25">
      <c r="A68" s="298"/>
      <c r="B68" s="367"/>
      <c r="C68" s="149">
        <f>'Inputs and eligible population'!G77</f>
        <v>0</v>
      </c>
      <c r="D68" s="128" t="e">
        <f>(#REF!*$C$68)/60</f>
        <v>#REF!</v>
      </c>
      <c r="E68" s="128" t="e">
        <f>(#REF!*$C$68)/60</f>
        <v>#REF!</v>
      </c>
      <c r="F68" s="128" t="e">
        <f>(#REF!*$C$68)/60</f>
        <v>#REF!</v>
      </c>
      <c r="G68" s="128" t="e">
        <f>(#REF!*$C$68)/60</f>
        <v>#REF!</v>
      </c>
      <c r="H68" s="128" t="e">
        <f>(#REF!*$C$68)/60</f>
        <v>#REF!</v>
      </c>
      <c r="I68" s="128" t="e">
        <f>(#REF!*$C$68)/60</f>
        <v>#REF!</v>
      </c>
      <c r="J68" s="298"/>
      <c r="K68" s="298"/>
      <c r="L68" s="298"/>
      <c r="M68" s="298"/>
      <c r="N68" s="298"/>
      <c r="O68" s="298"/>
      <c r="P68" s="298"/>
      <c r="Q68" s="222"/>
      <c r="S68" s="133"/>
      <c r="T68" s="133"/>
      <c r="U68" s="133"/>
      <c r="V68" s="133"/>
      <c r="W68" s="133"/>
      <c r="X68" s="133"/>
      <c r="Y68" s="133"/>
      <c r="Z68" s="133"/>
      <c r="AJ68" s="297"/>
      <c r="AK68" s="297"/>
      <c r="AL68" s="297"/>
      <c r="AM68" s="297"/>
      <c r="AN68" s="297"/>
    </row>
    <row r="69" spans="1:40" hidden="1" x14ac:dyDescent="0.25">
      <c r="A69" s="298"/>
      <c r="B69" s="367"/>
      <c r="C69" s="149">
        <f>'Inputs and eligible population'!H77</f>
        <v>0</v>
      </c>
      <c r="D69" s="128" t="e">
        <f>(#REF!*$C$69)/60</f>
        <v>#REF!</v>
      </c>
      <c r="E69" s="128" t="e">
        <f>(#REF!*$C$69)/60</f>
        <v>#REF!</v>
      </c>
      <c r="F69" s="128" t="e">
        <f>(#REF!*$C$69)/60</f>
        <v>#REF!</v>
      </c>
      <c r="G69" s="128" t="e">
        <f>(#REF!*$C$69)/60</f>
        <v>#REF!</v>
      </c>
      <c r="H69" s="128" t="e">
        <f>(#REF!*$C$69)/60</f>
        <v>#REF!</v>
      </c>
      <c r="I69" s="128" t="e">
        <f>(#REF!*$C$69)/60</f>
        <v>#REF!</v>
      </c>
      <c r="J69" s="298"/>
      <c r="K69" s="298"/>
      <c r="L69" s="298"/>
      <c r="M69" s="298"/>
      <c r="N69" s="298"/>
      <c r="O69" s="298"/>
      <c r="P69" s="298"/>
      <c r="Q69" s="222"/>
      <c r="S69" s="133"/>
      <c r="T69" s="133"/>
      <c r="U69" s="133"/>
      <c r="V69" s="133"/>
      <c r="W69" s="133"/>
      <c r="X69" s="133"/>
      <c r="Y69" s="133"/>
      <c r="Z69" s="133"/>
      <c r="AJ69" s="297"/>
      <c r="AK69" s="297"/>
      <c r="AL69" s="297"/>
      <c r="AM69" s="297"/>
      <c r="AN69" s="297"/>
    </row>
    <row r="70" spans="1:40" hidden="1" x14ac:dyDescent="0.25">
      <c r="A70" s="298"/>
      <c r="B70" s="294" t="s">
        <v>898</v>
      </c>
      <c r="C70" s="339"/>
      <c r="D70" s="190" t="e">
        <f>SUM(D67:D69)</f>
        <v>#REF!</v>
      </c>
      <c r="E70" s="190" t="e">
        <f t="shared" ref="E70:I70" si="42">SUM(E67:E69)</f>
        <v>#REF!</v>
      </c>
      <c r="F70" s="190" t="e">
        <f t="shared" si="42"/>
        <v>#REF!</v>
      </c>
      <c r="G70" s="190" t="e">
        <f t="shared" si="42"/>
        <v>#REF!</v>
      </c>
      <c r="H70" s="190" t="e">
        <f t="shared" si="42"/>
        <v>#REF!</v>
      </c>
      <c r="I70" s="190" t="e">
        <f t="shared" si="42"/>
        <v>#REF!</v>
      </c>
      <c r="J70" s="298"/>
      <c r="K70" s="298"/>
      <c r="L70" s="298"/>
      <c r="M70" s="298"/>
      <c r="N70" s="298"/>
      <c r="O70" s="298"/>
      <c r="P70" s="298"/>
      <c r="Q70" s="222"/>
      <c r="S70" s="133"/>
      <c r="T70" s="133"/>
      <c r="U70" s="133"/>
      <c r="V70" s="133"/>
      <c r="W70" s="133"/>
      <c r="X70" s="133"/>
      <c r="Y70" s="133"/>
      <c r="Z70" s="133"/>
      <c r="AJ70" s="297"/>
      <c r="AK70" s="297"/>
      <c r="AL70" s="297"/>
      <c r="AM70" s="297"/>
      <c r="AN70" s="297"/>
    </row>
    <row r="71" spans="1:40" hidden="1" x14ac:dyDescent="0.25">
      <c r="A71" s="298"/>
      <c r="B71" s="321"/>
      <c r="C71" s="267"/>
      <c r="D71" s="296" t="s">
        <v>899</v>
      </c>
      <c r="E71" s="190" t="e">
        <f>E70-$D$70</f>
        <v>#REF!</v>
      </c>
      <c r="F71" s="190" t="e">
        <f>F70-$D$70</f>
        <v>#REF!</v>
      </c>
      <c r="G71" s="190" t="e">
        <f>G70-$D$70</f>
        <v>#REF!</v>
      </c>
      <c r="H71" s="190" t="e">
        <f>H70-$D$70</f>
        <v>#REF!</v>
      </c>
      <c r="I71" s="190" t="e">
        <f>I70-$D$70</f>
        <v>#REF!</v>
      </c>
      <c r="J71" s="298"/>
      <c r="K71" s="298"/>
      <c r="L71" s="298"/>
      <c r="M71" s="298"/>
      <c r="N71" s="298"/>
      <c r="O71" s="298"/>
      <c r="P71" s="298"/>
      <c r="Q71" s="222"/>
      <c r="S71" s="133"/>
      <c r="T71" s="133"/>
      <c r="U71" s="133"/>
      <c r="V71" s="133"/>
      <c r="W71" s="133"/>
      <c r="X71" s="133"/>
      <c r="Y71" s="133"/>
      <c r="Z71" s="133"/>
      <c r="AJ71" s="297"/>
      <c r="AK71" s="297"/>
      <c r="AL71" s="297"/>
      <c r="AM71" s="297"/>
      <c r="AN71" s="297"/>
    </row>
    <row r="72" spans="1:40" hidden="1" x14ac:dyDescent="0.25">
      <c r="A72" s="298"/>
      <c r="B72" s="341"/>
      <c r="C72" s="222"/>
      <c r="D72" s="222"/>
      <c r="E72" s="222"/>
      <c r="F72" s="222"/>
      <c r="G72" s="222"/>
      <c r="H72" s="222"/>
      <c r="I72" s="222"/>
      <c r="J72" s="222"/>
      <c r="K72" s="222"/>
      <c r="L72" s="298"/>
      <c r="M72" s="298"/>
      <c r="N72" s="298"/>
      <c r="O72" s="298"/>
      <c r="P72" s="298"/>
      <c r="Q72" s="222"/>
      <c r="S72" s="133"/>
      <c r="T72" s="133"/>
      <c r="U72" s="133"/>
      <c r="V72" s="133"/>
      <c r="W72" s="133"/>
      <c r="X72" s="133"/>
      <c r="Y72" s="133"/>
      <c r="Z72" s="133"/>
      <c r="AJ72" s="297"/>
      <c r="AK72" s="297"/>
      <c r="AL72" s="297"/>
      <c r="AM72" s="297"/>
      <c r="AN72" s="297"/>
    </row>
    <row r="73" spans="1:40" hidden="1" x14ac:dyDescent="0.25">
      <c r="A73" s="298"/>
      <c r="B73" s="417" t="s">
        <v>900</v>
      </c>
      <c r="C73" s="416"/>
      <c r="D73" s="416"/>
      <c r="E73" s="416"/>
      <c r="F73" s="416"/>
      <c r="G73" s="416"/>
      <c r="H73" s="416"/>
      <c r="I73" s="221"/>
      <c r="J73" s="457"/>
      <c r="K73" s="222"/>
      <c r="L73" s="298"/>
      <c r="M73" s="298"/>
      <c r="N73" s="298"/>
      <c r="O73" s="298"/>
      <c r="P73" s="298"/>
      <c r="Q73" s="222"/>
      <c r="S73" s="133"/>
      <c r="T73" s="133"/>
      <c r="U73" s="133"/>
      <c r="V73" s="133"/>
      <c r="W73" s="133"/>
      <c r="X73" s="133"/>
      <c r="Y73" s="133"/>
      <c r="Z73" s="133"/>
      <c r="AJ73" s="297"/>
      <c r="AK73" s="297"/>
      <c r="AL73" s="297"/>
      <c r="AM73" s="297"/>
      <c r="AN73" s="297"/>
    </row>
    <row r="74" spans="1:40" ht="75" hidden="1" x14ac:dyDescent="0.25">
      <c r="A74" s="298"/>
      <c r="B74" s="293" t="s">
        <v>799</v>
      </c>
      <c r="C74" s="168" t="s">
        <v>745</v>
      </c>
      <c r="D74" s="449" t="s">
        <v>872</v>
      </c>
      <c r="E74" s="266" t="s">
        <v>694</v>
      </c>
      <c r="F74" s="266" t="s">
        <v>695</v>
      </c>
      <c r="G74" s="167" t="s">
        <v>828</v>
      </c>
      <c r="H74" s="167" t="s">
        <v>829</v>
      </c>
      <c r="I74" s="266" t="s">
        <v>830</v>
      </c>
      <c r="J74" s="298"/>
      <c r="K74" s="298"/>
      <c r="L74" s="298"/>
      <c r="M74" s="298"/>
      <c r="N74" s="298"/>
      <c r="O74" s="298"/>
      <c r="P74" s="298"/>
      <c r="Q74" s="222"/>
      <c r="S74" s="133"/>
      <c r="T74" s="133"/>
      <c r="U74" s="133"/>
      <c r="V74" s="133"/>
      <c r="W74" s="133"/>
      <c r="X74" s="133"/>
      <c r="Y74" s="133"/>
      <c r="Z74" s="133"/>
      <c r="AJ74" s="297"/>
      <c r="AK74" s="297"/>
      <c r="AL74" s="297"/>
      <c r="AM74" s="297"/>
      <c r="AN74" s="297"/>
    </row>
    <row r="75" spans="1:40" hidden="1" x14ac:dyDescent="0.25">
      <c r="A75" s="298"/>
      <c r="B75" s="367"/>
      <c r="C75" s="149">
        <f>'Inputs and eligible population'!F78</f>
        <v>0</v>
      </c>
      <c r="D75" s="128">
        <f>($C60*$C75*'Financial impact (cash)'!D13)/60</f>
        <v>0</v>
      </c>
      <c r="E75" s="128">
        <f>($C60*$C75*'Financial impact (cash)'!E13)/60</f>
        <v>0</v>
      </c>
      <c r="F75" s="128">
        <f>($C60*$C75*'Financial impact (cash)'!F13)/60</f>
        <v>0</v>
      </c>
      <c r="G75" s="128">
        <f>($C60*$C75*'Financial impact (cash)'!G13)/60</f>
        <v>0</v>
      </c>
      <c r="H75" s="128">
        <f>($C60*$C75*'Financial impact (cash)'!H13)/60</f>
        <v>0</v>
      </c>
      <c r="I75" s="128">
        <f>($C60*$C75*'Financial impact (cash)'!I13)/60</f>
        <v>0</v>
      </c>
      <c r="J75" s="298"/>
      <c r="K75" s="298"/>
      <c r="L75" s="298"/>
      <c r="M75" s="298"/>
      <c r="N75" s="298"/>
      <c r="O75" s="298"/>
      <c r="P75" s="298"/>
      <c r="Q75" s="222"/>
      <c r="S75" s="133"/>
      <c r="T75" s="133"/>
      <c r="U75" s="133"/>
      <c r="V75" s="133"/>
      <c r="W75" s="133"/>
      <c r="X75" s="133"/>
      <c r="Y75" s="133"/>
      <c r="Z75" s="133"/>
      <c r="AJ75" s="297"/>
      <c r="AK75" s="297"/>
      <c r="AL75" s="297"/>
      <c r="AM75" s="297"/>
      <c r="AN75" s="297"/>
    </row>
    <row r="76" spans="1:40" hidden="1" x14ac:dyDescent="0.25">
      <c r="A76" s="298"/>
      <c r="B76" s="367"/>
      <c r="C76" s="149">
        <f>'Inputs and eligible population'!G78</f>
        <v>0</v>
      </c>
      <c r="D76" s="128" t="e">
        <f>(#REF!*$C76*'Financial impact (cash)'!D15)/60</f>
        <v>#REF!</v>
      </c>
      <c r="E76" s="128" t="e">
        <f>(#REF!*$C76*'Financial impact (cash)'!E15)/60</f>
        <v>#REF!</v>
      </c>
      <c r="F76" s="128" t="e">
        <f>(#REF!*$C76*'Financial impact (cash)'!F15)/60</f>
        <v>#REF!</v>
      </c>
      <c r="G76" s="128" t="e">
        <f>(#REF!*$C76*'Financial impact (cash)'!G15)/60</f>
        <v>#REF!</v>
      </c>
      <c r="H76" s="128" t="e">
        <f>(#REF!*$C76*'Financial impact (cash)'!H15)/60</f>
        <v>#REF!</v>
      </c>
      <c r="I76" s="128" t="e">
        <f>(#REF!*$C76*'Financial impact (cash)'!I15)/60</f>
        <v>#REF!</v>
      </c>
      <c r="J76" s="298"/>
      <c r="K76" s="298"/>
      <c r="L76" s="298"/>
      <c r="M76" s="298"/>
      <c r="N76" s="298"/>
      <c r="O76" s="298"/>
      <c r="P76" s="298"/>
      <c r="Q76" s="222"/>
      <c r="S76" s="133"/>
      <c r="T76" s="133"/>
      <c r="U76" s="133"/>
      <c r="V76" s="133"/>
      <c r="W76" s="133"/>
      <c r="X76" s="133"/>
      <c r="Y76" s="133"/>
      <c r="Z76" s="133"/>
      <c r="AJ76" s="297"/>
      <c r="AK76" s="297"/>
      <c r="AL76" s="297"/>
      <c r="AM76" s="297"/>
      <c r="AN76" s="297"/>
    </row>
    <row r="77" spans="1:40" hidden="1" x14ac:dyDescent="0.25">
      <c r="A77" s="298"/>
      <c r="B77" s="367"/>
      <c r="C77" s="149">
        <f>'Inputs and eligible population'!H78</f>
        <v>0</v>
      </c>
      <c r="D77" s="128" t="e">
        <f>(#REF!*$C77*'Financial impact (cash)'!#REF!)/60</f>
        <v>#REF!</v>
      </c>
      <c r="E77" s="128" t="e">
        <f>(#REF!*$C77*'Financial impact (cash)'!#REF!)/60</f>
        <v>#REF!</v>
      </c>
      <c r="F77" s="128" t="e">
        <f>(#REF!*$C77*'Financial impact (cash)'!#REF!)/60</f>
        <v>#REF!</v>
      </c>
      <c r="G77" s="128" t="e">
        <f>(#REF!*$C77*'Financial impact (cash)'!#REF!)/60</f>
        <v>#REF!</v>
      </c>
      <c r="H77" s="128" t="e">
        <f>(#REF!*$C77*'Financial impact (cash)'!#REF!)/60</f>
        <v>#REF!</v>
      </c>
      <c r="I77" s="128" t="e">
        <f>(#REF!*$C77*'Financial impact (cash)'!#REF!)/60</f>
        <v>#REF!</v>
      </c>
      <c r="J77" s="298"/>
      <c r="K77" s="298"/>
      <c r="L77" s="298"/>
      <c r="M77" s="298"/>
      <c r="N77" s="298"/>
      <c r="O77" s="298"/>
      <c r="P77" s="298"/>
      <c r="Q77" s="222"/>
      <c r="S77" s="133"/>
      <c r="T77" s="133"/>
      <c r="U77" s="133"/>
      <c r="V77" s="133"/>
      <c r="W77" s="133"/>
      <c r="X77" s="133"/>
      <c r="Y77" s="133"/>
      <c r="Z77" s="133"/>
      <c r="AJ77" s="297"/>
      <c r="AK77" s="297"/>
      <c r="AL77" s="297"/>
      <c r="AM77" s="297"/>
      <c r="AN77" s="297"/>
    </row>
    <row r="78" spans="1:40" hidden="1" x14ac:dyDescent="0.25">
      <c r="A78" s="298"/>
      <c r="B78" s="294"/>
      <c r="C78" s="294"/>
      <c r="D78" s="190" t="e">
        <f t="shared" ref="D78:I78" si="43">SUM(D75:D77)</f>
        <v>#REF!</v>
      </c>
      <c r="E78" s="190" t="e">
        <f t="shared" si="43"/>
        <v>#REF!</v>
      </c>
      <c r="F78" s="190" t="e">
        <f t="shared" si="43"/>
        <v>#REF!</v>
      </c>
      <c r="G78" s="190" t="e">
        <f t="shared" si="43"/>
        <v>#REF!</v>
      </c>
      <c r="H78" s="190" t="e">
        <f t="shared" si="43"/>
        <v>#REF!</v>
      </c>
      <c r="I78" s="190" t="e">
        <f t="shared" si="43"/>
        <v>#REF!</v>
      </c>
      <c r="J78" s="298"/>
      <c r="K78" s="298"/>
      <c r="L78" s="298"/>
      <c r="M78" s="298"/>
      <c r="N78" s="298"/>
      <c r="O78" s="298"/>
      <c r="P78" s="298"/>
      <c r="Q78" s="222"/>
      <c r="S78" s="133"/>
      <c r="T78" s="133"/>
      <c r="U78" s="133"/>
      <c r="V78" s="133"/>
      <c r="W78" s="133"/>
      <c r="X78" s="133"/>
      <c r="Y78" s="133"/>
      <c r="Z78" s="133"/>
      <c r="AJ78" s="297"/>
      <c r="AK78" s="297"/>
      <c r="AL78" s="297"/>
      <c r="AM78" s="297"/>
      <c r="AN78" s="297"/>
    </row>
    <row r="79" spans="1:40" hidden="1" x14ac:dyDescent="0.25">
      <c r="A79" s="298"/>
      <c r="B79" s="294"/>
      <c r="C79" s="294"/>
      <c r="D79" s="296" t="s">
        <v>901</v>
      </c>
      <c r="E79" s="190" t="e">
        <f>E78-$D$78</f>
        <v>#REF!</v>
      </c>
      <c r="F79" s="190" t="e">
        <f>F78-$D$78</f>
        <v>#REF!</v>
      </c>
      <c r="G79" s="190" t="e">
        <f>G78-$D$78</f>
        <v>#REF!</v>
      </c>
      <c r="H79" s="190" t="e">
        <f>H78-$D$78</f>
        <v>#REF!</v>
      </c>
      <c r="I79" s="190" t="e">
        <f>I78-$D$78</f>
        <v>#REF!</v>
      </c>
      <c r="J79" s="298"/>
      <c r="K79" s="298"/>
      <c r="L79" s="298"/>
      <c r="M79" s="298"/>
      <c r="N79" s="298"/>
      <c r="O79" s="298"/>
      <c r="P79" s="298"/>
      <c r="Q79" s="222"/>
      <c r="S79" s="133"/>
      <c r="T79" s="133"/>
      <c r="U79" s="133"/>
      <c r="V79" s="133"/>
      <c r="W79" s="133"/>
      <c r="X79" s="133"/>
      <c r="Y79" s="133"/>
      <c r="Z79" s="133"/>
      <c r="AJ79" s="297"/>
      <c r="AK79" s="297"/>
      <c r="AL79" s="297"/>
      <c r="AM79" s="297"/>
      <c r="AN79" s="297"/>
    </row>
    <row r="80" spans="1:40" hidden="1" x14ac:dyDescent="0.25">
      <c r="A80" s="298"/>
      <c r="B80" s="341"/>
      <c r="C80" s="222"/>
      <c r="D80" s="222"/>
      <c r="E80" s="222"/>
      <c r="F80" s="222"/>
      <c r="G80" s="222"/>
      <c r="H80" s="222"/>
      <c r="I80" s="222"/>
      <c r="J80" s="222"/>
      <c r="K80" s="222"/>
      <c r="L80" s="298"/>
      <c r="M80" s="298"/>
      <c r="N80" s="298"/>
      <c r="O80" s="298"/>
      <c r="P80" s="298"/>
      <c r="Q80" s="222"/>
      <c r="S80" s="133"/>
      <c r="T80" s="133"/>
      <c r="U80" s="133"/>
      <c r="V80" s="133"/>
      <c r="W80" s="133"/>
      <c r="X80" s="133"/>
      <c r="Y80" s="133"/>
      <c r="Z80" s="133"/>
      <c r="AJ80" s="297"/>
      <c r="AK80" s="297"/>
      <c r="AL80" s="297"/>
      <c r="AM80" s="297"/>
      <c r="AN80" s="297"/>
    </row>
    <row r="81" spans="1:40" hidden="1" x14ac:dyDescent="0.25">
      <c r="A81" s="298"/>
      <c r="B81" s="417" t="s">
        <v>855</v>
      </c>
      <c r="C81" s="416"/>
      <c r="D81" s="416"/>
      <c r="E81" s="416"/>
      <c r="F81" s="416"/>
      <c r="G81" s="416"/>
      <c r="H81" s="416"/>
      <c r="I81" s="221"/>
      <c r="J81" s="457"/>
      <c r="K81" s="222"/>
      <c r="L81" s="298"/>
      <c r="M81" s="298"/>
      <c r="N81" s="298"/>
      <c r="O81" s="298"/>
      <c r="P81" s="298"/>
      <c r="Q81" s="222"/>
      <c r="V81" s="133"/>
      <c r="AJ81" s="297"/>
      <c r="AK81" s="297"/>
      <c r="AL81" s="297"/>
      <c r="AM81" s="297"/>
      <c r="AN81" s="297"/>
    </row>
    <row r="82" spans="1:40" ht="60" hidden="1" x14ac:dyDescent="0.25">
      <c r="A82" s="298"/>
      <c r="B82" s="293" t="s">
        <v>799</v>
      </c>
      <c r="C82" s="168" t="s">
        <v>746</v>
      </c>
      <c r="D82" s="449" t="s">
        <v>872</v>
      </c>
      <c r="E82" s="266" t="s">
        <v>694</v>
      </c>
      <c r="F82" s="266" t="s">
        <v>695</v>
      </c>
      <c r="G82" s="167" t="s">
        <v>828</v>
      </c>
      <c r="H82" s="167" t="s">
        <v>829</v>
      </c>
      <c r="I82" s="266" t="s">
        <v>830</v>
      </c>
      <c r="J82" s="298"/>
      <c r="K82" s="298"/>
      <c r="L82" s="298"/>
      <c r="M82" s="298"/>
      <c r="N82" s="298"/>
      <c r="O82" s="298"/>
      <c r="P82" s="298"/>
      <c r="Q82" s="222"/>
      <c r="V82" s="133"/>
      <c r="AJ82" s="297"/>
      <c r="AK82" s="297"/>
      <c r="AL82" s="297"/>
      <c r="AM82" s="297"/>
      <c r="AN82" s="297"/>
    </row>
    <row r="83" spans="1:40" hidden="1" x14ac:dyDescent="0.25">
      <c r="A83" s="298"/>
      <c r="B83" s="367"/>
      <c r="C83" s="149">
        <f>'Inputs and eligible population'!F79</f>
        <v>0</v>
      </c>
      <c r="D83" s="128">
        <f>($C60*$C83*'Financial impact (cash)'!D13)/60</f>
        <v>0</v>
      </c>
      <c r="E83" s="128">
        <f>($C60*$C83*'Financial impact (cash)'!E13)/60</f>
        <v>0</v>
      </c>
      <c r="F83" s="128">
        <f>($C60*$C83*'Financial impact (cash)'!F13)/60</f>
        <v>0</v>
      </c>
      <c r="G83" s="128">
        <f>($C60*$C83*'Financial impact (cash)'!G13)/60</f>
        <v>0</v>
      </c>
      <c r="H83" s="128">
        <f>($C60*$C83*'Financial impact (cash)'!H13)/60</f>
        <v>0</v>
      </c>
      <c r="I83" s="128">
        <f>($C60*$C83*'Financial impact (cash)'!I13)/60</f>
        <v>0</v>
      </c>
      <c r="J83" s="298"/>
      <c r="K83" s="298"/>
      <c r="L83" s="298"/>
      <c r="M83" s="298"/>
      <c r="N83" s="298"/>
      <c r="O83" s="298"/>
      <c r="P83" s="298"/>
      <c r="Q83" s="222"/>
      <c r="V83" s="133"/>
      <c r="AJ83" s="297"/>
      <c r="AK83" s="297"/>
      <c r="AL83" s="297"/>
      <c r="AM83" s="297"/>
      <c r="AN83" s="297"/>
    </row>
    <row r="84" spans="1:40" hidden="1" x14ac:dyDescent="0.25">
      <c r="A84" s="298"/>
      <c r="B84" s="367"/>
      <c r="C84" s="149">
        <f>'Inputs and eligible population'!G79</f>
        <v>0</v>
      </c>
      <c r="D84" s="128" t="e">
        <f>(#REF!*$C84*'Financial impact (cash)'!D15)/60</f>
        <v>#REF!</v>
      </c>
      <c r="E84" s="128" t="e">
        <f>(#REF!*$C84*'Financial impact (cash)'!E15)/60</f>
        <v>#REF!</v>
      </c>
      <c r="F84" s="128" t="e">
        <f>(#REF!*$C84*'Financial impact (cash)'!F15)/60</f>
        <v>#REF!</v>
      </c>
      <c r="G84" s="128" t="e">
        <f>(#REF!*$C84*'Financial impact (cash)'!G15)/60</f>
        <v>#REF!</v>
      </c>
      <c r="H84" s="128" t="e">
        <f>(#REF!*$C84*'Financial impact (cash)'!H15)/60</f>
        <v>#REF!</v>
      </c>
      <c r="I84" s="128" t="e">
        <f>(#REF!*$C84*'Financial impact (cash)'!I15)/60</f>
        <v>#REF!</v>
      </c>
      <c r="J84" s="298"/>
      <c r="K84" s="298"/>
      <c r="L84" s="298"/>
      <c r="M84" s="298"/>
      <c r="N84" s="298"/>
      <c r="O84" s="298"/>
      <c r="P84" s="298"/>
      <c r="Q84" s="222"/>
      <c r="V84" s="133"/>
      <c r="AJ84" s="297"/>
      <c r="AK84" s="297"/>
      <c r="AL84" s="297"/>
      <c r="AM84" s="297"/>
      <c r="AN84" s="297"/>
    </row>
    <row r="85" spans="1:40" hidden="1" x14ac:dyDescent="0.25">
      <c r="A85" s="298"/>
      <c r="B85" s="367"/>
      <c r="C85" s="149">
        <f>'Inputs and eligible population'!H79</f>
        <v>0</v>
      </c>
      <c r="D85" s="128" t="e">
        <f>(#REF!*$C85*'Financial impact (cash)'!#REF!)/60</f>
        <v>#REF!</v>
      </c>
      <c r="E85" s="128" t="e">
        <f>(#REF!*$C85*'Financial impact (cash)'!#REF!)/60</f>
        <v>#REF!</v>
      </c>
      <c r="F85" s="128" t="e">
        <f>(#REF!*$C85*'Financial impact (cash)'!#REF!)/60</f>
        <v>#REF!</v>
      </c>
      <c r="G85" s="128" t="e">
        <f>(#REF!*$C85*'Financial impact (cash)'!#REF!)/60</f>
        <v>#REF!</v>
      </c>
      <c r="H85" s="128" t="e">
        <f>(#REF!*$C85*'Financial impact (cash)'!#REF!)/60</f>
        <v>#REF!</v>
      </c>
      <c r="I85" s="128" t="e">
        <f>(#REF!*$C85*'Financial impact (cash)'!#REF!)/60</f>
        <v>#REF!</v>
      </c>
      <c r="J85" s="298"/>
      <c r="K85" s="298"/>
      <c r="L85" s="298"/>
      <c r="M85" s="298"/>
      <c r="N85" s="298"/>
      <c r="O85" s="298"/>
      <c r="P85" s="298"/>
      <c r="Q85" s="222"/>
      <c r="V85" s="133"/>
      <c r="AJ85" s="297"/>
      <c r="AK85" s="297"/>
      <c r="AL85" s="297"/>
      <c r="AM85" s="297"/>
      <c r="AN85" s="297"/>
    </row>
    <row r="86" spans="1:40" hidden="1" x14ac:dyDescent="0.25">
      <c r="A86" s="298"/>
      <c r="B86" s="294"/>
      <c r="C86" s="294"/>
      <c r="D86" s="190" t="e">
        <f t="shared" ref="D86:I86" si="44">SUM(D83:D85)</f>
        <v>#REF!</v>
      </c>
      <c r="E86" s="190" t="e">
        <f t="shared" si="44"/>
        <v>#REF!</v>
      </c>
      <c r="F86" s="190" t="e">
        <f t="shared" si="44"/>
        <v>#REF!</v>
      </c>
      <c r="G86" s="190" t="e">
        <f t="shared" si="44"/>
        <v>#REF!</v>
      </c>
      <c r="H86" s="190" t="e">
        <f t="shared" si="44"/>
        <v>#REF!</v>
      </c>
      <c r="I86" s="190" t="e">
        <f t="shared" si="44"/>
        <v>#REF!</v>
      </c>
      <c r="J86" s="298"/>
      <c r="K86" s="298"/>
      <c r="L86" s="298"/>
      <c r="M86" s="298"/>
      <c r="N86" s="298"/>
      <c r="O86" s="298"/>
      <c r="P86" s="298"/>
      <c r="Q86" s="222"/>
      <c r="R86" s="133"/>
      <c r="S86" s="133"/>
      <c r="T86" s="133"/>
      <c r="U86" s="133"/>
      <c r="V86" s="133"/>
      <c r="W86" s="133"/>
      <c r="X86" s="133"/>
      <c r="Y86" s="133"/>
      <c r="Z86" s="133"/>
      <c r="AJ86" s="297"/>
      <c r="AK86" s="297"/>
      <c r="AL86" s="297"/>
      <c r="AM86" s="297"/>
      <c r="AN86" s="297"/>
    </row>
    <row r="87" spans="1:40" hidden="1" x14ac:dyDescent="0.25">
      <c r="A87" s="298"/>
      <c r="B87" s="321"/>
      <c r="C87" s="294"/>
      <c r="D87" s="296" t="s">
        <v>902</v>
      </c>
      <c r="E87" s="190" t="e">
        <f>E86-$D$86</f>
        <v>#REF!</v>
      </c>
      <c r="F87" s="190" t="e">
        <f>F86-$D$86</f>
        <v>#REF!</v>
      </c>
      <c r="G87" s="190" t="e">
        <f>G86-$D$86</f>
        <v>#REF!</v>
      </c>
      <c r="H87" s="190" t="e">
        <f>H86-$D$86</f>
        <v>#REF!</v>
      </c>
      <c r="I87" s="190" t="e">
        <f>I86-$D$86</f>
        <v>#REF!</v>
      </c>
      <c r="J87" s="298"/>
      <c r="K87" s="298"/>
      <c r="L87" s="298"/>
      <c r="M87" s="298"/>
      <c r="N87" s="298"/>
      <c r="O87" s="298"/>
      <c r="P87" s="298"/>
      <c r="Q87" s="222"/>
      <c r="R87" s="133"/>
      <c r="S87" s="133"/>
      <c r="T87" s="133"/>
      <c r="U87" s="133"/>
      <c r="V87" s="133"/>
      <c r="W87" s="133"/>
      <c r="X87" s="133"/>
      <c r="Y87" s="133"/>
      <c r="Z87" s="133"/>
      <c r="AJ87" s="297"/>
      <c r="AK87" s="297"/>
      <c r="AL87" s="297"/>
      <c r="AM87" s="297"/>
      <c r="AN87" s="297"/>
    </row>
    <row r="88" spans="1:40" hidden="1" x14ac:dyDescent="0.25">
      <c r="A88" s="298"/>
      <c r="B88" s="341"/>
      <c r="C88" s="222"/>
      <c r="D88" s="222"/>
      <c r="E88" s="222"/>
      <c r="F88" s="222"/>
      <c r="G88" s="222"/>
      <c r="H88" s="222"/>
      <c r="I88" s="222"/>
      <c r="J88" s="298"/>
      <c r="K88" s="298"/>
      <c r="L88" s="298"/>
      <c r="M88" s="298"/>
      <c r="N88" s="298"/>
      <c r="O88" s="298"/>
      <c r="P88" s="298"/>
      <c r="Q88" s="222"/>
      <c r="R88" s="133"/>
      <c r="S88" s="133"/>
      <c r="T88" s="133"/>
      <c r="U88" s="133"/>
      <c r="V88" s="133"/>
      <c r="W88" s="133"/>
      <c r="X88" s="133"/>
      <c r="Y88" s="133"/>
      <c r="Z88" s="133"/>
      <c r="AJ88" s="297"/>
      <c r="AK88" s="297"/>
      <c r="AL88" s="297"/>
      <c r="AM88" s="297"/>
      <c r="AN88" s="297"/>
    </row>
    <row r="89" spans="1:40" hidden="1" x14ac:dyDescent="0.25">
      <c r="A89" s="300"/>
      <c r="B89" s="342" t="s">
        <v>903</v>
      </c>
      <c r="C89" s="324"/>
      <c r="D89" s="323"/>
      <c r="E89" s="324"/>
      <c r="F89" s="325"/>
      <c r="G89" s="326"/>
      <c r="H89" s="326"/>
      <c r="I89" s="388"/>
      <c r="J89" s="300"/>
      <c r="K89" s="300"/>
      <c r="L89" s="300"/>
      <c r="M89" s="300"/>
      <c r="N89" s="300"/>
      <c r="O89" s="300"/>
      <c r="P89" s="300"/>
      <c r="Q89" s="300"/>
      <c r="R89" s="133"/>
      <c r="S89" s="133"/>
      <c r="T89" s="133"/>
      <c r="U89" s="133"/>
      <c r="V89" s="133"/>
      <c r="W89" s="133"/>
      <c r="X89" s="133"/>
      <c r="Y89" s="133"/>
      <c r="Z89" s="133"/>
      <c r="AJ89" s="297"/>
      <c r="AK89" s="297"/>
      <c r="AL89" s="297"/>
      <c r="AM89" s="297"/>
      <c r="AN89" s="297"/>
    </row>
    <row r="90" spans="1:40" hidden="1" x14ac:dyDescent="0.25">
      <c r="A90" s="300"/>
      <c r="B90" s="418" t="s">
        <v>904</v>
      </c>
      <c r="C90" s="419"/>
      <c r="D90" s="419"/>
      <c r="E90" s="419"/>
      <c r="F90" s="419"/>
      <c r="G90" s="419"/>
      <c r="H90" s="419"/>
      <c r="I90" s="225"/>
      <c r="J90" s="300"/>
      <c r="K90" s="300"/>
      <c r="L90" s="300"/>
      <c r="M90" s="300"/>
      <c r="N90" s="300"/>
      <c r="O90" s="300"/>
      <c r="P90" s="300"/>
      <c r="Q90" s="300"/>
      <c r="R90" s="133"/>
      <c r="S90" s="133"/>
      <c r="T90" s="133"/>
      <c r="U90" s="133"/>
      <c r="V90" s="133"/>
      <c r="W90" s="133"/>
      <c r="X90" s="133"/>
      <c r="Y90" s="133"/>
      <c r="Z90" s="133"/>
      <c r="AJ90" s="297"/>
      <c r="AK90" s="297"/>
      <c r="AL90" s="297"/>
      <c r="AM90" s="297"/>
      <c r="AN90" s="297"/>
    </row>
    <row r="91" spans="1:40" ht="75" hidden="1" x14ac:dyDescent="0.25">
      <c r="A91" s="300"/>
      <c r="B91" s="290" t="s">
        <v>799</v>
      </c>
      <c r="C91" s="168" t="s">
        <v>905</v>
      </c>
      <c r="D91" s="449" t="s">
        <v>872</v>
      </c>
      <c r="E91" s="266" t="s">
        <v>694</v>
      </c>
      <c r="F91" s="266" t="s">
        <v>695</v>
      </c>
      <c r="G91" s="167" t="s">
        <v>828</v>
      </c>
      <c r="H91" s="167" t="s">
        <v>829</v>
      </c>
      <c r="I91" s="266" t="s">
        <v>830</v>
      </c>
      <c r="J91" s="300"/>
      <c r="K91" s="300"/>
      <c r="L91" s="300"/>
      <c r="M91" s="300"/>
      <c r="N91" s="300"/>
      <c r="O91" s="300"/>
      <c r="P91" s="300"/>
      <c r="Q91" s="300"/>
      <c r="R91" s="133"/>
      <c r="S91" s="133"/>
      <c r="T91" s="133"/>
      <c r="U91" s="133"/>
      <c r="V91" s="133"/>
      <c r="W91" s="133"/>
      <c r="X91" s="133"/>
      <c r="Y91" s="133"/>
      <c r="Z91" s="133"/>
      <c r="AJ91" s="297"/>
      <c r="AK91" s="297"/>
      <c r="AL91" s="297"/>
      <c r="AM91" s="297"/>
      <c r="AN91" s="297"/>
    </row>
    <row r="92" spans="1:40" hidden="1" x14ac:dyDescent="0.25">
      <c r="A92" s="300"/>
      <c r="B92" s="367"/>
      <c r="C92" s="149">
        <f>'Inputs and eligible population'!F80</f>
        <v>0</v>
      </c>
      <c r="D92" s="128">
        <f>D$7*'Inputs and eligible population'!E60*'Inputs and eligible population'!$D50*'Capacity (national prices)'!$C92</f>
        <v>0</v>
      </c>
      <c r="E92" s="128">
        <f>E$7*'Inputs and eligible population'!F60*'Inputs and eligible population'!$D50*'Capacity (national prices)'!$C92</f>
        <v>0</v>
      </c>
      <c r="F92" s="128">
        <f>F$7*'Inputs and eligible population'!G60*'Inputs and eligible population'!$D50*'Capacity (national prices)'!$C92</f>
        <v>0</v>
      </c>
      <c r="G92" s="128">
        <f>G$7*'Inputs and eligible population'!H60*'Inputs and eligible population'!$D50*'Capacity (national prices)'!$C92</f>
        <v>0</v>
      </c>
      <c r="H92" s="128">
        <f>H$7*'Inputs and eligible population'!I60*'Inputs and eligible population'!$D50*'Capacity (national prices)'!$C92</f>
        <v>0</v>
      </c>
      <c r="I92" s="128">
        <f>I$7*'Inputs and eligible population'!J60*'Inputs and eligible population'!$D50*'Capacity (national prices)'!$C92</f>
        <v>0</v>
      </c>
      <c r="J92" s="300"/>
      <c r="K92" s="300"/>
      <c r="L92" s="300"/>
      <c r="M92" s="300"/>
      <c r="N92" s="300"/>
      <c r="O92" s="300"/>
      <c r="P92" s="300"/>
      <c r="Q92" s="300"/>
      <c r="R92" s="133"/>
      <c r="S92" s="133"/>
      <c r="T92" s="133"/>
      <c r="U92" s="133"/>
      <c r="V92" s="133"/>
      <c r="W92" s="133"/>
      <c r="X92" s="133"/>
      <c r="Y92" s="133"/>
      <c r="Z92" s="133"/>
      <c r="AJ92" s="297"/>
      <c r="AK92" s="297"/>
      <c r="AL92" s="297"/>
      <c r="AM92" s="297"/>
      <c r="AN92" s="297"/>
    </row>
    <row r="93" spans="1:40" hidden="1" x14ac:dyDescent="0.25">
      <c r="A93" s="300"/>
      <c r="B93" s="367"/>
      <c r="C93" s="149">
        <f>'Inputs and eligible population'!G80</f>
        <v>0</v>
      </c>
      <c r="D93" s="128" t="e">
        <f>D$7*'Inputs and eligible population'!E62*'Inputs and eligible population'!#REF!*'Capacity (national prices)'!$C93</f>
        <v>#REF!</v>
      </c>
      <c r="E93" s="128" t="e">
        <f>E$7*'Inputs and eligible population'!F62*'Inputs and eligible population'!#REF!*'Capacity (national prices)'!$C93</f>
        <v>#REF!</v>
      </c>
      <c r="F93" s="128" t="e">
        <f>F$7*'Inputs and eligible population'!G62*'Inputs and eligible population'!#REF!*'Capacity (national prices)'!$C93</f>
        <v>#REF!</v>
      </c>
      <c r="G93" s="128" t="e">
        <f>G$7*'Inputs and eligible population'!H62*'Inputs and eligible population'!#REF!*'Capacity (national prices)'!$C93</f>
        <v>#REF!</v>
      </c>
      <c r="H93" s="128" t="e">
        <f>H$7*'Inputs and eligible population'!I62*'Inputs and eligible population'!#REF!*'Capacity (national prices)'!$C93</f>
        <v>#REF!</v>
      </c>
      <c r="I93" s="128" t="e">
        <f>I$7*'Inputs and eligible population'!J62*'Inputs and eligible population'!#REF!*'Capacity (national prices)'!$C93</f>
        <v>#REF!</v>
      </c>
      <c r="J93" s="300"/>
      <c r="K93" s="300"/>
      <c r="L93" s="300"/>
      <c r="M93" s="300"/>
      <c r="N93" s="300"/>
      <c r="O93" s="300"/>
      <c r="P93" s="300"/>
      <c r="Q93" s="300"/>
      <c r="R93" s="133"/>
      <c r="S93" s="133"/>
      <c r="T93" s="133"/>
      <c r="U93" s="133"/>
      <c r="V93" s="133"/>
      <c r="W93" s="133"/>
      <c r="X93" s="133"/>
      <c r="Y93" s="133"/>
      <c r="Z93" s="133"/>
      <c r="AJ93" s="297"/>
      <c r="AK93" s="297"/>
      <c r="AL93" s="297"/>
      <c r="AM93" s="297"/>
      <c r="AN93" s="297"/>
    </row>
    <row r="94" spans="1:40" hidden="1" x14ac:dyDescent="0.25">
      <c r="A94" s="300"/>
      <c r="B94" s="367"/>
      <c r="C94" s="149">
        <f>'Inputs and eligible population'!H80</f>
        <v>0</v>
      </c>
      <c r="D94" s="128" t="e">
        <f>D$7*'Inputs and eligible population'!#REF!*'Inputs and eligible population'!#REF!*'Capacity (national prices)'!$C94</f>
        <v>#REF!</v>
      </c>
      <c r="E94" s="128" t="e">
        <f>E$7*'Inputs and eligible population'!#REF!*'Inputs and eligible population'!#REF!*'Capacity (national prices)'!$C94</f>
        <v>#REF!</v>
      </c>
      <c r="F94" s="128" t="e">
        <f>F$7*'Inputs and eligible population'!#REF!*'Inputs and eligible population'!#REF!*'Capacity (national prices)'!$C94</f>
        <v>#REF!</v>
      </c>
      <c r="G94" s="128" t="e">
        <f>G$7*'Inputs and eligible population'!#REF!*'Inputs and eligible population'!#REF!*'Capacity (national prices)'!$C94</f>
        <v>#REF!</v>
      </c>
      <c r="H94" s="128" t="e">
        <f>H$7*'Inputs and eligible population'!#REF!*'Inputs and eligible population'!#REF!*'Capacity (national prices)'!$C94</f>
        <v>#REF!</v>
      </c>
      <c r="I94" s="128" t="e">
        <f>I$7*'Inputs and eligible population'!#REF!*'Inputs and eligible population'!#REF!*'Capacity (national prices)'!$C94</f>
        <v>#REF!</v>
      </c>
      <c r="J94" s="300"/>
      <c r="K94" s="300"/>
      <c r="L94" s="300"/>
      <c r="M94" s="300"/>
      <c r="N94" s="300"/>
      <c r="O94" s="300"/>
      <c r="P94" s="300"/>
      <c r="Q94" s="300"/>
      <c r="R94" s="133"/>
      <c r="S94" s="133"/>
      <c r="T94" s="133"/>
      <c r="U94" s="133"/>
      <c r="V94" s="133"/>
      <c r="W94" s="133"/>
      <c r="X94" s="133"/>
      <c r="Y94" s="133"/>
      <c r="Z94" s="133"/>
      <c r="AJ94" s="297"/>
      <c r="AK94" s="297"/>
      <c r="AL94" s="297"/>
      <c r="AM94" s="297"/>
      <c r="AN94" s="297"/>
    </row>
    <row r="95" spans="1:40" hidden="1" x14ac:dyDescent="0.25">
      <c r="A95" s="300"/>
      <c r="B95" s="294"/>
      <c r="C95" s="212"/>
      <c r="D95" s="190" t="e">
        <f t="shared" ref="D95:I95" si="45">SUM(D92:D94)</f>
        <v>#REF!</v>
      </c>
      <c r="E95" s="190" t="e">
        <f>SUM(E92:E94)</f>
        <v>#REF!</v>
      </c>
      <c r="F95" s="190" t="e">
        <f t="shared" si="45"/>
        <v>#REF!</v>
      </c>
      <c r="G95" s="190" t="e">
        <f t="shared" si="45"/>
        <v>#REF!</v>
      </c>
      <c r="H95" s="190" t="e">
        <f t="shared" si="45"/>
        <v>#REF!</v>
      </c>
      <c r="I95" s="190" t="e">
        <f t="shared" si="45"/>
        <v>#REF!</v>
      </c>
      <c r="J95" s="300"/>
      <c r="K95" s="300"/>
      <c r="L95" s="300"/>
      <c r="M95" s="300"/>
      <c r="N95" s="300"/>
      <c r="O95" s="300"/>
      <c r="P95" s="300"/>
      <c r="Q95" s="300"/>
      <c r="R95" s="133"/>
      <c r="S95" s="133"/>
      <c r="T95" s="133"/>
      <c r="U95" s="133"/>
      <c r="V95" s="133"/>
      <c r="W95" s="133"/>
      <c r="X95" s="133"/>
      <c r="Y95" s="133"/>
      <c r="Z95" s="133"/>
      <c r="AJ95" s="297"/>
      <c r="AK95" s="297"/>
      <c r="AL95" s="297"/>
      <c r="AM95" s="297"/>
      <c r="AN95" s="297"/>
    </row>
    <row r="96" spans="1:40" hidden="1" x14ac:dyDescent="0.25">
      <c r="A96" s="300"/>
      <c r="B96" s="321"/>
      <c r="C96" s="230"/>
      <c r="D96" s="296" t="s">
        <v>857</v>
      </c>
      <c r="E96" s="190" t="e">
        <f>E95-$D$95</f>
        <v>#REF!</v>
      </c>
      <c r="F96" s="190" t="e">
        <f>F95-$D$95</f>
        <v>#REF!</v>
      </c>
      <c r="G96" s="190" t="e">
        <f>G95-$D$95</f>
        <v>#REF!</v>
      </c>
      <c r="H96" s="190" t="e">
        <f>H95-$D$95</f>
        <v>#REF!</v>
      </c>
      <c r="I96" s="190" t="e">
        <f>I95-$D$95</f>
        <v>#REF!</v>
      </c>
      <c r="J96" s="300"/>
      <c r="K96" s="300"/>
      <c r="L96" s="300"/>
      <c r="M96" s="300"/>
      <c r="N96" s="300"/>
      <c r="O96" s="300"/>
      <c r="P96" s="300"/>
      <c r="Q96" s="300"/>
      <c r="R96" s="133"/>
      <c r="S96" s="133"/>
      <c r="T96" s="133"/>
      <c r="U96" s="133"/>
      <c r="V96" s="133"/>
      <c r="W96" s="133"/>
      <c r="X96" s="133"/>
      <c r="Y96" s="133"/>
      <c r="Z96" s="133"/>
      <c r="AJ96" s="297"/>
      <c r="AK96" s="297"/>
      <c r="AL96" s="297"/>
      <c r="AM96" s="297"/>
      <c r="AN96" s="297"/>
    </row>
    <row r="97" spans="1:40" hidden="1" x14ac:dyDescent="0.25">
      <c r="A97" s="300"/>
      <c r="B97" s="343"/>
      <c r="C97" s="419"/>
      <c r="D97" s="226"/>
      <c r="E97" s="226"/>
      <c r="F97" s="226"/>
      <c r="G97" s="226"/>
      <c r="H97" s="326"/>
      <c r="I97" s="326"/>
      <c r="J97" s="300"/>
      <c r="K97" s="300"/>
      <c r="L97" s="300"/>
      <c r="M97" s="300"/>
      <c r="N97" s="300"/>
      <c r="O97" s="300"/>
      <c r="P97" s="300"/>
      <c r="Q97" s="300"/>
      <c r="R97" s="133"/>
      <c r="S97" s="133"/>
      <c r="T97" s="133"/>
      <c r="U97" s="133"/>
      <c r="V97" s="133"/>
      <c r="W97" s="133"/>
      <c r="X97" s="133"/>
      <c r="Y97" s="133"/>
      <c r="Z97" s="133"/>
      <c r="AJ97" s="297"/>
      <c r="AK97" s="297"/>
      <c r="AL97" s="297"/>
      <c r="AM97" s="297"/>
      <c r="AN97" s="297"/>
    </row>
    <row r="98" spans="1:40" hidden="1" x14ac:dyDescent="0.25">
      <c r="A98" s="300"/>
      <c r="B98" s="418" t="s">
        <v>906</v>
      </c>
      <c r="C98" s="419"/>
      <c r="D98" s="419"/>
      <c r="E98" s="419"/>
      <c r="F98" s="419"/>
      <c r="G98" s="419"/>
      <c r="H98" s="419"/>
      <c r="I98" s="225"/>
      <c r="J98" s="300"/>
      <c r="K98" s="300"/>
      <c r="L98" s="300"/>
      <c r="M98" s="300"/>
      <c r="N98" s="300"/>
      <c r="O98" s="300"/>
      <c r="P98" s="300"/>
      <c r="Q98" s="300"/>
      <c r="R98" s="133"/>
      <c r="S98" s="133"/>
      <c r="T98" s="133"/>
      <c r="U98" s="133"/>
      <c r="V98" s="133"/>
      <c r="W98" s="133"/>
      <c r="X98" s="133"/>
      <c r="Y98" s="133"/>
      <c r="Z98" s="133"/>
      <c r="AJ98" s="297"/>
      <c r="AK98" s="297"/>
      <c r="AL98" s="297"/>
      <c r="AM98" s="297"/>
      <c r="AN98" s="297"/>
    </row>
    <row r="99" spans="1:40" ht="75" hidden="1" x14ac:dyDescent="0.25">
      <c r="A99" s="300"/>
      <c r="B99" s="290" t="s">
        <v>799</v>
      </c>
      <c r="C99" s="168" t="s">
        <v>907</v>
      </c>
      <c r="D99" s="449" t="s">
        <v>872</v>
      </c>
      <c r="E99" s="266" t="s">
        <v>694</v>
      </c>
      <c r="F99" s="266" t="s">
        <v>695</v>
      </c>
      <c r="G99" s="167" t="s">
        <v>828</v>
      </c>
      <c r="H99" s="167" t="s">
        <v>829</v>
      </c>
      <c r="I99" s="266" t="s">
        <v>830</v>
      </c>
      <c r="J99" s="300"/>
      <c r="K99" s="300"/>
      <c r="L99" s="300"/>
      <c r="M99" s="300"/>
      <c r="N99" s="300"/>
      <c r="O99" s="300"/>
      <c r="P99" s="300"/>
      <c r="Q99" s="300"/>
      <c r="R99" s="133"/>
      <c r="S99" s="133"/>
      <c r="T99" s="133"/>
      <c r="U99" s="133"/>
      <c r="V99" s="133"/>
      <c r="W99" s="133"/>
      <c r="X99" s="133"/>
      <c r="Y99" s="133"/>
      <c r="Z99" s="133"/>
      <c r="AJ99" s="297"/>
      <c r="AK99" s="297"/>
      <c r="AL99" s="297"/>
      <c r="AM99" s="297"/>
      <c r="AN99" s="297"/>
    </row>
    <row r="100" spans="1:40" hidden="1" x14ac:dyDescent="0.25">
      <c r="A100" s="300"/>
      <c r="B100" s="367"/>
      <c r="C100" s="149">
        <f>'Inputs and eligible population'!F81</f>
        <v>0</v>
      </c>
      <c r="D100" s="128">
        <f>D$7*'Inputs and eligible population'!E60*'Inputs and eligible population'!$D50*'Capacity (national prices)'!$C100</f>
        <v>0</v>
      </c>
      <c r="E100" s="128">
        <f>E$7*'Inputs and eligible population'!F60*'Inputs and eligible population'!$D50*'Capacity (national prices)'!$C100</f>
        <v>0</v>
      </c>
      <c r="F100" s="128">
        <f>F$7*'Inputs and eligible population'!G60*'Inputs and eligible population'!$D50*'Capacity (national prices)'!$C100</f>
        <v>0</v>
      </c>
      <c r="G100" s="128">
        <f>G$7*'Inputs and eligible population'!H60*'Inputs and eligible population'!$D50*'Capacity (national prices)'!$C100</f>
        <v>0</v>
      </c>
      <c r="H100" s="128">
        <f>H$7*'Inputs and eligible population'!I60*'Inputs and eligible population'!$D50*'Capacity (national prices)'!$C100</f>
        <v>0</v>
      </c>
      <c r="I100" s="128">
        <f>I$7*'Inputs and eligible population'!J60*'Inputs and eligible population'!$D50*'Capacity (national prices)'!$C100</f>
        <v>0</v>
      </c>
      <c r="J100" s="300"/>
      <c r="K100" s="300"/>
      <c r="L100" s="226"/>
      <c r="M100" s="226"/>
      <c r="N100" s="300"/>
      <c r="O100" s="226"/>
      <c r="P100" s="226"/>
      <c r="Q100" s="226"/>
      <c r="R100" s="133"/>
      <c r="S100" s="133"/>
      <c r="T100" s="133"/>
      <c r="U100" s="133"/>
      <c r="V100" s="133"/>
      <c r="W100" s="133"/>
      <c r="X100" s="133"/>
      <c r="Y100" s="133"/>
      <c r="Z100" s="133"/>
      <c r="AJ100" s="297"/>
      <c r="AK100" s="297"/>
      <c r="AL100" s="297"/>
      <c r="AM100" s="297"/>
      <c r="AN100" s="297"/>
    </row>
    <row r="101" spans="1:40" hidden="1" x14ac:dyDescent="0.25">
      <c r="A101" s="300"/>
      <c r="B101" s="367"/>
      <c r="C101" s="149">
        <f>'Inputs and eligible population'!G81</f>
        <v>0</v>
      </c>
      <c r="D101" s="128" t="e">
        <f>D$7*'Inputs and eligible population'!E62*'Inputs and eligible population'!#REF!*'Capacity (national prices)'!$C101</f>
        <v>#REF!</v>
      </c>
      <c r="E101" s="128" t="e">
        <f>E$7*'Inputs and eligible population'!F62*'Inputs and eligible population'!#REF!*'Capacity (national prices)'!$C101</f>
        <v>#REF!</v>
      </c>
      <c r="F101" s="128" t="e">
        <f>F$7*'Inputs and eligible population'!G62*'Inputs and eligible population'!#REF!*'Capacity (national prices)'!$C101</f>
        <v>#REF!</v>
      </c>
      <c r="G101" s="128" t="e">
        <f>G$7*'Inputs and eligible population'!H62*'Inputs and eligible population'!#REF!*'Capacity (national prices)'!$C101</f>
        <v>#REF!</v>
      </c>
      <c r="H101" s="128" t="e">
        <f>H$7*'Inputs and eligible population'!I62*'Inputs and eligible population'!#REF!*'Capacity (national prices)'!$C101</f>
        <v>#REF!</v>
      </c>
      <c r="I101" s="128" t="e">
        <f>I$7*'Inputs and eligible population'!J62*'Inputs and eligible population'!#REF!*'Capacity (national prices)'!$C101</f>
        <v>#REF!</v>
      </c>
      <c r="J101" s="300"/>
      <c r="K101" s="300"/>
      <c r="L101" s="226"/>
      <c r="M101" s="226"/>
      <c r="N101" s="300"/>
      <c r="O101" s="226"/>
      <c r="P101" s="226"/>
      <c r="Q101" s="226"/>
      <c r="R101" s="133"/>
      <c r="S101" s="133"/>
      <c r="T101" s="133"/>
      <c r="U101" s="133"/>
      <c r="V101" s="133"/>
      <c r="W101" s="133"/>
      <c r="X101" s="133"/>
      <c r="Y101" s="133"/>
      <c r="Z101" s="133"/>
      <c r="AJ101" s="297"/>
      <c r="AK101" s="297"/>
      <c r="AL101" s="297"/>
      <c r="AM101" s="297"/>
      <c r="AN101" s="297"/>
    </row>
    <row r="102" spans="1:40" hidden="1" x14ac:dyDescent="0.25">
      <c r="A102" s="300"/>
      <c r="B102" s="367"/>
      <c r="C102" s="149">
        <f>'Inputs and eligible population'!H81</f>
        <v>0</v>
      </c>
      <c r="D102" s="128" t="e">
        <f>D$7*'Inputs and eligible population'!#REF!*'Inputs and eligible population'!#REF!*'Capacity (national prices)'!$C102</f>
        <v>#REF!</v>
      </c>
      <c r="E102" s="128" t="e">
        <f>E$7*'Inputs and eligible population'!#REF!*'Inputs and eligible population'!#REF!*'Capacity (national prices)'!$C102</f>
        <v>#REF!</v>
      </c>
      <c r="F102" s="128" t="e">
        <f>F$7*'Inputs and eligible population'!#REF!*'Inputs and eligible population'!#REF!*'Capacity (national prices)'!$C102</f>
        <v>#REF!</v>
      </c>
      <c r="G102" s="128" t="e">
        <f>G$7*'Inputs and eligible population'!#REF!*'Inputs and eligible population'!#REF!*'Capacity (national prices)'!$C102</f>
        <v>#REF!</v>
      </c>
      <c r="H102" s="128" t="e">
        <f>H$7*'Inputs and eligible population'!#REF!*'Inputs and eligible population'!#REF!*'Capacity (national prices)'!$C102</f>
        <v>#REF!</v>
      </c>
      <c r="I102" s="128" t="e">
        <f>I$7*'Inputs and eligible population'!#REF!*'Inputs and eligible population'!#REF!*'Capacity (national prices)'!$C102</f>
        <v>#REF!</v>
      </c>
      <c r="J102" s="300"/>
      <c r="K102" s="300"/>
      <c r="L102" s="226"/>
      <c r="M102" s="226"/>
      <c r="N102" s="300"/>
      <c r="O102" s="226"/>
      <c r="P102" s="226"/>
      <c r="Q102" s="226"/>
      <c r="R102" s="133"/>
      <c r="S102" s="133"/>
      <c r="T102" s="133"/>
      <c r="U102" s="133"/>
      <c r="V102" s="133"/>
      <c r="W102" s="133"/>
      <c r="X102" s="133"/>
      <c r="Y102" s="133"/>
      <c r="Z102" s="133"/>
      <c r="AJ102" s="297"/>
      <c r="AK102" s="297"/>
      <c r="AL102" s="297"/>
      <c r="AM102" s="297"/>
      <c r="AN102" s="297"/>
    </row>
    <row r="103" spans="1:40" hidden="1" x14ac:dyDescent="0.25">
      <c r="A103" s="300"/>
      <c r="B103" s="294"/>
      <c r="C103" s="212"/>
      <c r="D103" s="190" t="e">
        <f t="shared" ref="D103:I103" si="46">SUM(D100:D102)</f>
        <v>#REF!</v>
      </c>
      <c r="E103" s="190" t="e">
        <f t="shared" si="46"/>
        <v>#REF!</v>
      </c>
      <c r="F103" s="190" t="e">
        <f t="shared" si="46"/>
        <v>#REF!</v>
      </c>
      <c r="G103" s="190" t="e">
        <f t="shared" si="46"/>
        <v>#REF!</v>
      </c>
      <c r="H103" s="190" t="e">
        <f t="shared" si="46"/>
        <v>#REF!</v>
      </c>
      <c r="I103" s="190" t="e">
        <f t="shared" si="46"/>
        <v>#REF!</v>
      </c>
      <c r="J103" s="300"/>
      <c r="K103" s="300"/>
      <c r="L103" s="226"/>
      <c r="M103" s="226"/>
      <c r="N103" s="300"/>
      <c r="O103" s="226"/>
      <c r="P103" s="226"/>
      <c r="Q103" s="226"/>
      <c r="V103" s="133"/>
    </row>
    <row r="104" spans="1:40" hidden="1" x14ac:dyDescent="0.25">
      <c r="A104" s="300"/>
      <c r="B104" s="321"/>
      <c r="C104" s="230"/>
      <c r="D104" s="296" t="s">
        <v>858</v>
      </c>
      <c r="E104" s="190" t="e">
        <f>E103-$D$103</f>
        <v>#REF!</v>
      </c>
      <c r="F104" s="190" t="e">
        <f>F103-$D$103</f>
        <v>#REF!</v>
      </c>
      <c r="G104" s="190" t="e">
        <f>G103-$D$103</f>
        <v>#REF!</v>
      </c>
      <c r="H104" s="190" t="e">
        <f>H103-$D$103</f>
        <v>#REF!</v>
      </c>
      <c r="I104" s="190" t="e">
        <f>I103-$D$103</f>
        <v>#REF!</v>
      </c>
      <c r="J104" s="300"/>
      <c r="K104" s="300"/>
      <c r="L104" s="226"/>
      <c r="M104" s="226"/>
      <c r="N104" s="300"/>
      <c r="O104" s="226"/>
      <c r="P104" s="226"/>
      <c r="Q104" s="226"/>
      <c r="V104" s="133"/>
    </row>
    <row r="105" spans="1:40" hidden="1" x14ac:dyDescent="0.25">
      <c r="A105" s="300"/>
      <c r="B105" s="343"/>
      <c r="C105" s="419"/>
      <c r="D105" s="226"/>
      <c r="E105" s="226"/>
      <c r="F105" s="226"/>
      <c r="G105" s="226"/>
      <c r="H105" s="326"/>
      <c r="I105" s="326"/>
      <c r="J105" s="300"/>
      <c r="K105" s="300"/>
      <c r="L105" s="226"/>
      <c r="M105" s="226"/>
      <c r="N105" s="300"/>
      <c r="O105" s="226"/>
      <c r="P105" s="226"/>
      <c r="Q105" s="226"/>
      <c r="V105" s="133"/>
    </row>
    <row r="106" spans="1:40" hidden="1" x14ac:dyDescent="0.25">
      <c r="A106" s="300"/>
      <c r="B106" s="418" t="s">
        <v>908</v>
      </c>
      <c r="C106" s="419"/>
      <c r="D106" s="419"/>
      <c r="E106" s="419"/>
      <c r="F106" s="419"/>
      <c r="G106" s="419"/>
      <c r="H106" s="419"/>
      <c r="I106" s="225"/>
      <c r="J106" s="300"/>
      <c r="K106" s="300"/>
      <c r="L106" s="226"/>
      <c r="M106" s="226"/>
      <c r="N106" s="300"/>
      <c r="O106" s="226"/>
      <c r="P106" s="226"/>
      <c r="Q106" s="226"/>
      <c r="V106" s="133"/>
    </row>
    <row r="107" spans="1:40" ht="75" hidden="1" x14ac:dyDescent="0.25">
      <c r="A107" s="300"/>
      <c r="B107" s="290" t="s">
        <v>799</v>
      </c>
      <c r="C107" s="168" t="s">
        <v>909</v>
      </c>
      <c r="D107" s="449" t="s">
        <v>872</v>
      </c>
      <c r="E107" s="266" t="s">
        <v>694</v>
      </c>
      <c r="F107" s="266" t="s">
        <v>695</v>
      </c>
      <c r="G107" s="167" t="s">
        <v>828</v>
      </c>
      <c r="H107" s="167" t="s">
        <v>829</v>
      </c>
      <c r="I107" s="266" t="s">
        <v>830</v>
      </c>
      <c r="J107" s="300"/>
      <c r="K107" s="300"/>
      <c r="L107" s="226"/>
      <c r="M107" s="226"/>
      <c r="N107" s="300"/>
      <c r="O107" s="226"/>
      <c r="P107" s="226"/>
      <c r="Q107" s="226"/>
      <c r="V107" s="133"/>
    </row>
    <row r="108" spans="1:40" hidden="1" x14ac:dyDescent="0.25">
      <c r="A108" s="300"/>
      <c r="B108" s="367"/>
      <c r="C108" s="149">
        <f>'Inputs and eligible population'!F82</f>
        <v>0</v>
      </c>
      <c r="D108" s="128">
        <f>(D$7*'Inputs and eligible population'!E60*'Inputs and eligible population'!$D50*'Capacity (national prices)'!$C108)/60</f>
        <v>0</v>
      </c>
      <c r="E108" s="128">
        <f>(E$7*'Inputs and eligible population'!F60*'Inputs and eligible population'!$D50*'Capacity (national prices)'!$C108)/60</f>
        <v>0</v>
      </c>
      <c r="F108" s="128">
        <f>(F$7*'Inputs and eligible population'!G60*'Inputs and eligible population'!$D50*'Capacity (national prices)'!$C108)/60</f>
        <v>0</v>
      </c>
      <c r="G108" s="128">
        <f>(G$7*'Inputs and eligible population'!H60*'Inputs and eligible population'!$D50*'Capacity (national prices)'!$C108)/60</f>
        <v>0</v>
      </c>
      <c r="H108" s="128">
        <f>(H$7*'Inputs and eligible population'!I60*'Inputs and eligible population'!$D50*'Capacity (national prices)'!$C108)/60</f>
        <v>0</v>
      </c>
      <c r="I108" s="128">
        <f>(I$7*'Inputs and eligible population'!J60*'Inputs and eligible population'!$D50*'Capacity (national prices)'!$C108)/60</f>
        <v>0</v>
      </c>
      <c r="J108" s="300"/>
      <c r="K108" s="300"/>
      <c r="L108" s="226"/>
      <c r="M108" s="226"/>
      <c r="N108" s="300"/>
      <c r="O108" s="226"/>
      <c r="P108" s="226"/>
      <c r="Q108" s="226"/>
      <c r="V108" s="133"/>
    </row>
    <row r="109" spans="1:40" hidden="1" x14ac:dyDescent="0.25">
      <c r="A109" s="300"/>
      <c r="B109" s="367"/>
      <c r="C109" s="149">
        <f>'Inputs and eligible population'!G82</f>
        <v>0</v>
      </c>
      <c r="D109" s="128" t="e">
        <f>(D$7*'Inputs and eligible population'!E62*'Inputs and eligible population'!#REF!*'Capacity (national prices)'!$C109)/60</f>
        <v>#REF!</v>
      </c>
      <c r="E109" s="128" t="e">
        <f>(E$7*'Inputs and eligible population'!F62*'Inputs and eligible population'!#REF!*'Capacity (national prices)'!$C109)/60</f>
        <v>#REF!</v>
      </c>
      <c r="F109" s="128" t="e">
        <f>(F$7*'Inputs and eligible population'!G62*'Inputs and eligible population'!#REF!*'Capacity (national prices)'!$C109)/60</f>
        <v>#REF!</v>
      </c>
      <c r="G109" s="128" t="e">
        <f>(G$7*'Inputs and eligible population'!H62*'Inputs and eligible population'!#REF!*'Capacity (national prices)'!$C109)/60</f>
        <v>#REF!</v>
      </c>
      <c r="H109" s="128" t="e">
        <f>(H$7*'Inputs and eligible population'!I62*'Inputs and eligible population'!#REF!*'Capacity (national prices)'!$C109)/60</f>
        <v>#REF!</v>
      </c>
      <c r="I109" s="128" t="e">
        <f>(I$7*'Inputs and eligible population'!J62*'Inputs and eligible population'!#REF!*'Capacity (national prices)'!$C109)/60</f>
        <v>#REF!</v>
      </c>
      <c r="J109" s="300"/>
      <c r="K109" s="300"/>
      <c r="L109" s="226"/>
      <c r="M109" s="226"/>
      <c r="N109" s="300"/>
      <c r="O109" s="226"/>
      <c r="P109" s="226"/>
      <c r="Q109" s="226"/>
      <c r="V109" s="133"/>
    </row>
    <row r="110" spans="1:40" hidden="1" x14ac:dyDescent="0.25">
      <c r="A110" s="300"/>
      <c r="B110" s="367"/>
      <c r="C110" s="149">
        <f>'Inputs and eligible population'!H82</f>
        <v>0</v>
      </c>
      <c r="D110" s="128" t="e">
        <f>(D$7*'Inputs and eligible population'!#REF!*'Inputs and eligible population'!#REF!*'Capacity (national prices)'!$C110)/60</f>
        <v>#REF!</v>
      </c>
      <c r="E110" s="128" t="e">
        <f>(E$7*'Inputs and eligible population'!#REF!*'Inputs and eligible population'!#REF!*'Capacity (national prices)'!$C110)/60</f>
        <v>#REF!</v>
      </c>
      <c r="F110" s="128" t="e">
        <f>(F$7*'Inputs and eligible population'!#REF!*'Inputs and eligible population'!#REF!*'Capacity (national prices)'!$C110)/60</f>
        <v>#REF!</v>
      </c>
      <c r="G110" s="128" t="e">
        <f>(G$7*'Inputs and eligible population'!#REF!*'Inputs and eligible population'!#REF!*'Capacity (national prices)'!$C110)/60</f>
        <v>#REF!</v>
      </c>
      <c r="H110" s="128" t="e">
        <f>(H$7*'Inputs and eligible population'!#REF!*'Inputs and eligible population'!#REF!*'Capacity (national prices)'!$C110)/60</f>
        <v>#REF!</v>
      </c>
      <c r="I110" s="128" t="e">
        <f>(I$7*'Inputs and eligible population'!#REF!*'Inputs and eligible population'!#REF!*'Capacity (national prices)'!$C110)/60</f>
        <v>#REF!</v>
      </c>
      <c r="J110" s="300"/>
      <c r="K110" s="300"/>
      <c r="L110" s="226"/>
      <c r="M110" s="226"/>
      <c r="N110" s="300"/>
      <c r="O110" s="226"/>
      <c r="P110" s="226"/>
      <c r="Q110" s="226"/>
      <c r="V110" s="133"/>
    </row>
    <row r="111" spans="1:40" hidden="1" x14ac:dyDescent="0.25">
      <c r="A111" s="300"/>
      <c r="B111" s="294"/>
      <c r="C111" s="212"/>
      <c r="D111" s="190" t="e">
        <f t="shared" ref="D111:I111" si="47">SUM(D108:D110)</f>
        <v>#REF!</v>
      </c>
      <c r="E111" s="190" t="e">
        <f t="shared" si="47"/>
        <v>#REF!</v>
      </c>
      <c r="F111" s="190" t="e">
        <f t="shared" si="47"/>
        <v>#REF!</v>
      </c>
      <c r="G111" s="190" t="e">
        <f t="shared" si="47"/>
        <v>#REF!</v>
      </c>
      <c r="H111" s="190" t="e">
        <f t="shared" si="47"/>
        <v>#REF!</v>
      </c>
      <c r="I111" s="190" t="e">
        <f t="shared" si="47"/>
        <v>#REF!</v>
      </c>
      <c r="J111" s="300"/>
      <c r="K111" s="300"/>
      <c r="L111" s="226"/>
      <c r="M111" s="226"/>
      <c r="N111" s="300"/>
      <c r="O111" s="226"/>
      <c r="P111" s="226"/>
      <c r="Q111" s="226"/>
      <c r="V111" s="133"/>
    </row>
    <row r="112" spans="1:40" hidden="1" x14ac:dyDescent="0.25">
      <c r="A112" s="300"/>
      <c r="B112" s="321"/>
      <c r="C112" s="230"/>
      <c r="D112" s="296" t="s">
        <v>859</v>
      </c>
      <c r="E112" s="190" t="e">
        <f>E111-$D$111</f>
        <v>#REF!</v>
      </c>
      <c r="F112" s="190" t="e">
        <f>F111-$D$111</f>
        <v>#REF!</v>
      </c>
      <c r="G112" s="190" t="e">
        <f>G111-$D$111</f>
        <v>#REF!</v>
      </c>
      <c r="H112" s="190" t="e">
        <f>H111-$D$111</f>
        <v>#REF!</v>
      </c>
      <c r="I112" s="190" t="e">
        <f>I111-$D$111</f>
        <v>#REF!</v>
      </c>
      <c r="J112" s="300"/>
      <c r="K112" s="300"/>
      <c r="L112" s="226"/>
      <c r="M112" s="226"/>
      <c r="N112" s="300"/>
      <c r="O112" s="226"/>
      <c r="P112" s="226"/>
      <c r="Q112" s="226"/>
      <c r="V112" s="133"/>
    </row>
    <row r="113" spans="1:22" hidden="1" x14ac:dyDescent="0.25">
      <c r="A113" s="300"/>
      <c r="B113" s="343"/>
      <c r="C113" s="419"/>
      <c r="D113" s="226"/>
      <c r="E113" s="226"/>
      <c r="F113" s="226"/>
      <c r="G113" s="226"/>
      <c r="H113" s="326"/>
      <c r="I113" s="326"/>
      <c r="J113" s="300"/>
      <c r="K113" s="300"/>
      <c r="L113" s="226"/>
      <c r="M113" s="226"/>
      <c r="N113" s="300"/>
      <c r="O113" s="226"/>
      <c r="P113" s="226"/>
      <c r="Q113" s="226"/>
      <c r="V113" s="133"/>
    </row>
    <row r="114" spans="1:22" hidden="1" x14ac:dyDescent="0.25">
      <c r="A114" s="300"/>
      <c r="B114" s="418" t="s">
        <v>910</v>
      </c>
      <c r="C114" s="419"/>
      <c r="D114" s="419"/>
      <c r="E114" s="419"/>
      <c r="F114" s="419"/>
      <c r="G114" s="419"/>
      <c r="H114" s="419"/>
      <c r="I114" s="225"/>
      <c r="J114" s="300"/>
      <c r="K114" s="300"/>
      <c r="L114" s="226"/>
      <c r="M114" s="226"/>
      <c r="N114" s="300"/>
      <c r="O114" s="226"/>
      <c r="P114" s="226"/>
      <c r="Q114" s="226"/>
      <c r="V114" s="133"/>
    </row>
    <row r="115" spans="1:22" ht="75" hidden="1" x14ac:dyDescent="0.25">
      <c r="A115" s="300"/>
      <c r="B115" s="290" t="s">
        <v>799</v>
      </c>
      <c r="C115" s="168" t="s">
        <v>911</v>
      </c>
      <c r="D115" s="449" t="s">
        <v>872</v>
      </c>
      <c r="E115" s="266" t="s">
        <v>694</v>
      </c>
      <c r="F115" s="266" t="s">
        <v>695</v>
      </c>
      <c r="G115" s="167" t="s">
        <v>828</v>
      </c>
      <c r="H115" s="167" t="s">
        <v>829</v>
      </c>
      <c r="I115" s="266" t="s">
        <v>830</v>
      </c>
      <c r="J115" s="300"/>
      <c r="K115" s="300"/>
      <c r="L115" s="226"/>
      <c r="M115" s="226"/>
      <c r="N115" s="300"/>
      <c r="O115" s="226"/>
      <c r="P115" s="226"/>
      <c r="Q115" s="226"/>
      <c r="V115" s="133"/>
    </row>
    <row r="116" spans="1:22" hidden="1" x14ac:dyDescent="0.25">
      <c r="A116" s="300"/>
      <c r="B116" s="367"/>
      <c r="C116" s="149">
        <f>'Inputs and eligible population'!F83</f>
        <v>0</v>
      </c>
      <c r="D116" s="128">
        <f>(D$7*'Inputs and eligible population'!E60*'Inputs and eligible population'!$D50*'Capacity (national prices)'!$C116)/60</f>
        <v>0</v>
      </c>
      <c r="E116" s="128">
        <f>(E$7*'Inputs and eligible population'!F60*'Inputs and eligible population'!$D50*'Capacity (national prices)'!$C116)/60</f>
        <v>0</v>
      </c>
      <c r="F116" s="128">
        <f>(F$7*'Inputs and eligible population'!G60*'Inputs and eligible population'!$D50*'Capacity (national prices)'!$C116)/60</f>
        <v>0</v>
      </c>
      <c r="G116" s="128">
        <f>(G$7*'Inputs and eligible population'!H60*'Inputs and eligible population'!$D50*'Capacity (national prices)'!$C116)/60</f>
        <v>0</v>
      </c>
      <c r="H116" s="128">
        <f>(H$7*'Inputs and eligible population'!I60*'Inputs and eligible population'!$D50*'Capacity (national prices)'!$C116)/60</f>
        <v>0</v>
      </c>
      <c r="I116" s="128">
        <f>(I$7*'Inputs and eligible population'!J60*'Inputs and eligible population'!$D50*'Capacity (national prices)'!$C116)/60</f>
        <v>0</v>
      </c>
      <c r="J116" s="300"/>
      <c r="K116" s="300"/>
      <c r="L116" s="226"/>
      <c r="M116" s="226"/>
      <c r="N116" s="300"/>
      <c r="O116" s="226"/>
      <c r="P116" s="226"/>
      <c r="Q116" s="226"/>
      <c r="V116" s="133"/>
    </row>
    <row r="117" spans="1:22" hidden="1" x14ac:dyDescent="0.25">
      <c r="A117" s="300"/>
      <c r="B117" s="367"/>
      <c r="C117" s="149">
        <f>'Inputs and eligible population'!G83</f>
        <v>0</v>
      </c>
      <c r="D117" s="128" t="e">
        <f>(D$7*'Inputs and eligible population'!E62*'Inputs and eligible population'!#REF!*'Capacity (national prices)'!$C117)/60</f>
        <v>#REF!</v>
      </c>
      <c r="E117" s="128" t="e">
        <f>(E$7*'Inputs and eligible population'!F62*'Inputs and eligible population'!#REF!*'Capacity (national prices)'!$C117)/60</f>
        <v>#REF!</v>
      </c>
      <c r="F117" s="128" t="e">
        <f>(F$7*'Inputs and eligible population'!G62*'Inputs and eligible population'!#REF!*'Capacity (national prices)'!$C117)/60</f>
        <v>#REF!</v>
      </c>
      <c r="G117" s="128" t="e">
        <f>(G$7*'Inputs and eligible population'!H62*'Inputs and eligible population'!#REF!*'Capacity (national prices)'!$C117)/60</f>
        <v>#REF!</v>
      </c>
      <c r="H117" s="128" t="e">
        <f>(H$7*'Inputs and eligible population'!I62*'Inputs and eligible population'!#REF!*'Capacity (national prices)'!$C117)/60</f>
        <v>#REF!</v>
      </c>
      <c r="I117" s="128" t="e">
        <f>(I$7*'Inputs and eligible population'!J62*'Inputs and eligible population'!#REF!*'Capacity (national prices)'!$C117)/60</f>
        <v>#REF!</v>
      </c>
      <c r="J117" s="300"/>
      <c r="K117" s="300"/>
      <c r="L117" s="226"/>
      <c r="M117" s="226"/>
      <c r="N117" s="300"/>
      <c r="O117" s="226"/>
      <c r="P117" s="226"/>
      <c r="Q117" s="226"/>
      <c r="V117" s="133"/>
    </row>
    <row r="118" spans="1:22" hidden="1" x14ac:dyDescent="0.25">
      <c r="A118" s="300"/>
      <c r="B118" s="367"/>
      <c r="C118" s="149">
        <f>'Inputs and eligible population'!H83</f>
        <v>0</v>
      </c>
      <c r="D118" s="128" t="e">
        <f>(D$7*'Inputs and eligible population'!#REF!*'Inputs and eligible population'!#REF!*'Capacity (national prices)'!$C118)/60</f>
        <v>#REF!</v>
      </c>
      <c r="E118" s="128" t="e">
        <f>(E$7*'Inputs and eligible population'!#REF!*'Inputs and eligible population'!#REF!*'Capacity (national prices)'!$C118)/60</f>
        <v>#REF!</v>
      </c>
      <c r="F118" s="128" t="e">
        <f>(F$7*'Inputs and eligible population'!#REF!*'Inputs and eligible population'!#REF!*'Capacity (national prices)'!$C118)/60</f>
        <v>#REF!</v>
      </c>
      <c r="G118" s="128" t="e">
        <f>(G$7*'Inputs and eligible population'!#REF!*'Inputs and eligible population'!#REF!*'Capacity (national prices)'!$C118)/60</f>
        <v>#REF!</v>
      </c>
      <c r="H118" s="128" t="e">
        <f>(H$7*'Inputs and eligible population'!#REF!*'Inputs and eligible population'!#REF!*'Capacity (national prices)'!$C118)/60</f>
        <v>#REF!</v>
      </c>
      <c r="I118" s="128" t="e">
        <f>(I$7*'Inputs and eligible population'!#REF!*'Inputs and eligible population'!#REF!*'Capacity (national prices)'!$C118)/60</f>
        <v>#REF!</v>
      </c>
      <c r="J118" s="300"/>
      <c r="K118" s="300"/>
      <c r="L118" s="226"/>
      <c r="M118" s="226"/>
      <c r="N118" s="300"/>
      <c r="O118" s="226"/>
      <c r="P118" s="226"/>
      <c r="Q118" s="226"/>
      <c r="V118" s="133"/>
    </row>
    <row r="119" spans="1:22" hidden="1" x14ac:dyDescent="0.25">
      <c r="A119" s="300"/>
      <c r="B119" s="294"/>
      <c r="C119" s="212"/>
      <c r="D119" s="190" t="e">
        <f t="shared" ref="D119:I119" si="48">SUM(D116:D118)</f>
        <v>#REF!</v>
      </c>
      <c r="E119" s="190" t="e">
        <f t="shared" si="48"/>
        <v>#REF!</v>
      </c>
      <c r="F119" s="190" t="e">
        <f t="shared" si="48"/>
        <v>#REF!</v>
      </c>
      <c r="G119" s="190" t="e">
        <f t="shared" si="48"/>
        <v>#REF!</v>
      </c>
      <c r="H119" s="190" t="e">
        <f t="shared" si="48"/>
        <v>#REF!</v>
      </c>
      <c r="I119" s="190" t="e">
        <f t="shared" si="48"/>
        <v>#REF!</v>
      </c>
      <c r="J119" s="300"/>
      <c r="K119" s="300"/>
      <c r="L119" s="226"/>
      <c r="M119" s="226"/>
      <c r="N119" s="300"/>
      <c r="O119" s="226"/>
      <c r="P119" s="226"/>
      <c r="Q119" s="226"/>
      <c r="V119" s="133"/>
    </row>
    <row r="120" spans="1:22" hidden="1" x14ac:dyDescent="0.25">
      <c r="A120" s="300"/>
      <c r="B120" s="321"/>
      <c r="C120" s="230"/>
      <c r="D120" s="296" t="s">
        <v>860</v>
      </c>
      <c r="E120" s="190" t="e">
        <f>E119-$D$119</f>
        <v>#REF!</v>
      </c>
      <c r="F120" s="190" t="e">
        <f>F119-$D$119</f>
        <v>#REF!</v>
      </c>
      <c r="G120" s="190" t="e">
        <f>G119-$D$119</f>
        <v>#REF!</v>
      </c>
      <c r="H120" s="190" t="e">
        <f>H119-$D$119</f>
        <v>#REF!</v>
      </c>
      <c r="I120" s="190" t="e">
        <f>I119-$D$119</f>
        <v>#REF!</v>
      </c>
      <c r="J120" s="300"/>
      <c r="K120" s="300"/>
      <c r="L120" s="226"/>
      <c r="M120" s="226"/>
      <c r="N120" s="300"/>
      <c r="O120" s="226"/>
      <c r="P120" s="226"/>
      <c r="Q120" s="226"/>
      <c r="V120" s="133"/>
    </row>
    <row r="121" spans="1:22" hidden="1" x14ac:dyDescent="0.25">
      <c r="A121" s="300"/>
      <c r="B121" s="343"/>
      <c r="C121" s="419"/>
      <c r="D121" s="226"/>
      <c r="E121" s="226"/>
      <c r="F121" s="226"/>
      <c r="G121" s="226"/>
      <c r="H121" s="326"/>
      <c r="I121" s="326"/>
      <c r="J121" s="300"/>
      <c r="K121" s="300"/>
      <c r="L121" s="226"/>
      <c r="M121" s="226"/>
      <c r="N121" s="300"/>
      <c r="O121" s="226"/>
      <c r="P121" s="226"/>
      <c r="Q121" s="226"/>
      <c r="V121" s="133"/>
    </row>
    <row r="122" spans="1:22" hidden="1" x14ac:dyDescent="0.25">
      <c r="A122" s="300"/>
      <c r="B122" s="418" t="s">
        <v>912</v>
      </c>
      <c r="C122" s="419"/>
      <c r="D122" s="419"/>
      <c r="E122" s="419"/>
      <c r="F122" s="419"/>
      <c r="G122" s="419"/>
      <c r="H122" s="419"/>
      <c r="I122" s="225"/>
      <c r="J122" s="300"/>
      <c r="K122" s="300"/>
      <c r="L122" s="226"/>
      <c r="M122" s="226"/>
      <c r="N122" s="300"/>
      <c r="O122" s="226"/>
      <c r="P122" s="226"/>
      <c r="Q122" s="226"/>
      <c r="V122" s="133"/>
    </row>
    <row r="123" spans="1:22" ht="45" hidden="1" x14ac:dyDescent="0.25">
      <c r="A123" s="300"/>
      <c r="B123" s="290" t="s">
        <v>799</v>
      </c>
      <c r="C123" s="168" t="s">
        <v>751</v>
      </c>
      <c r="D123" s="449" t="s">
        <v>872</v>
      </c>
      <c r="E123" s="266" t="s">
        <v>694</v>
      </c>
      <c r="F123" s="266" t="s">
        <v>695</v>
      </c>
      <c r="G123" s="167" t="s">
        <v>828</v>
      </c>
      <c r="H123" s="167" t="s">
        <v>829</v>
      </c>
      <c r="I123" s="266" t="s">
        <v>830</v>
      </c>
      <c r="J123" s="300"/>
      <c r="K123" s="300"/>
      <c r="L123" s="226"/>
      <c r="M123" s="226"/>
      <c r="N123" s="300"/>
      <c r="O123" s="226"/>
      <c r="P123" s="226"/>
      <c r="Q123" s="226"/>
      <c r="V123" s="133"/>
    </row>
    <row r="124" spans="1:22" hidden="1" x14ac:dyDescent="0.25">
      <c r="A124" s="300"/>
      <c r="B124" s="367"/>
      <c r="C124" s="149">
        <f>'Inputs and eligible population'!F84</f>
        <v>0</v>
      </c>
      <c r="D124" s="128">
        <f>($C124*'Financial impact (cash)'!D13*'Inputs and eligible population'!$D50)/60</f>
        <v>0</v>
      </c>
      <c r="E124" s="128">
        <f>($C124*'Financial impact (cash)'!E13*'Inputs and eligible population'!$D50)/60</f>
        <v>0</v>
      </c>
      <c r="F124" s="128">
        <f>($C124*'Financial impact (cash)'!F13*'Inputs and eligible population'!$D50)/60</f>
        <v>0</v>
      </c>
      <c r="G124" s="128">
        <f>($C124*'Financial impact (cash)'!G13*'Inputs and eligible population'!$D50)/60</f>
        <v>0</v>
      </c>
      <c r="H124" s="128">
        <f>($C124*'Financial impact (cash)'!H13*'Inputs and eligible population'!$D50)/60</f>
        <v>0</v>
      </c>
      <c r="I124" s="128">
        <f>($C124*'Financial impact (cash)'!I13*'Inputs and eligible population'!$D50)/60</f>
        <v>0</v>
      </c>
      <c r="J124" s="300"/>
      <c r="K124" s="300"/>
      <c r="L124" s="226"/>
      <c r="M124" s="226"/>
      <c r="N124" s="300"/>
      <c r="O124" s="226"/>
      <c r="P124" s="226"/>
      <c r="Q124" s="226"/>
      <c r="V124" s="133"/>
    </row>
    <row r="125" spans="1:22" hidden="1" x14ac:dyDescent="0.25">
      <c r="A125" s="300"/>
      <c r="B125" s="367"/>
      <c r="C125" s="149">
        <f>'Inputs and eligible population'!G84</f>
        <v>0</v>
      </c>
      <c r="D125" s="128" t="e">
        <f>($C125*'Financial impact (cash)'!D15*'Inputs and eligible population'!#REF!)/60</f>
        <v>#REF!</v>
      </c>
      <c r="E125" s="128" t="e">
        <f>($C125*'Financial impact (cash)'!E15*'Inputs and eligible population'!#REF!)/60</f>
        <v>#REF!</v>
      </c>
      <c r="F125" s="128" t="e">
        <f>($C125*'Financial impact (cash)'!F15*'Inputs and eligible population'!#REF!)/60</f>
        <v>#REF!</v>
      </c>
      <c r="G125" s="128" t="e">
        <f>($C125*'Financial impact (cash)'!G15*'Inputs and eligible population'!#REF!)/60</f>
        <v>#REF!</v>
      </c>
      <c r="H125" s="128" t="e">
        <f>($C125*'Financial impact (cash)'!H15*'Inputs and eligible population'!#REF!)/60</f>
        <v>#REF!</v>
      </c>
      <c r="I125" s="128" t="e">
        <f>($C125*'Financial impact (cash)'!I15*'Inputs and eligible population'!#REF!)/60</f>
        <v>#REF!</v>
      </c>
      <c r="J125" s="300"/>
      <c r="K125" s="300"/>
      <c r="L125" s="226"/>
      <c r="M125" s="226"/>
      <c r="N125" s="300"/>
      <c r="O125" s="226"/>
      <c r="P125" s="226"/>
      <c r="Q125" s="226"/>
      <c r="V125" s="133"/>
    </row>
    <row r="126" spans="1:22" hidden="1" x14ac:dyDescent="0.25">
      <c r="A126" s="300"/>
      <c r="B126" s="367"/>
      <c r="C126" s="149">
        <f>'Inputs and eligible population'!H84</f>
        <v>0</v>
      </c>
      <c r="D126" s="128" t="e">
        <f>($C126*'Financial impact (cash)'!#REF!*'Inputs and eligible population'!#REF!)/60</f>
        <v>#REF!</v>
      </c>
      <c r="E126" s="128" t="e">
        <f>($C126*'Financial impact (cash)'!#REF!*'Inputs and eligible population'!#REF!)/60</f>
        <v>#REF!</v>
      </c>
      <c r="F126" s="128" t="e">
        <f>($C126*'Financial impact (cash)'!#REF!*'Inputs and eligible population'!#REF!)/60</f>
        <v>#REF!</v>
      </c>
      <c r="G126" s="128" t="e">
        <f>($C126*'Financial impact (cash)'!#REF!*'Inputs and eligible population'!#REF!)/60</f>
        <v>#REF!</v>
      </c>
      <c r="H126" s="128" t="e">
        <f>($C126*'Financial impact (cash)'!#REF!*'Inputs and eligible population'!#REF!)/60</f>
        <v>#REF!</v>
      </c>
      <c r="I126" s="128" t="e">
        <f>($C126*'Financial impact (cash)'!#REF!*'Inputs and eligible population'!#REF!)/60</f>
        <v>#REF!</v>
      </c>
      <c r="J126" s="300"/>
      <c r="K126" s="300"/>
      <c r="L126" s="226"/>
      <c r="M126" s="226"/>
      <c r="N126" s="300"/>
      <c r="O126" s="226"/>
      <c r="P126" s="226"/>
      <c r="Q126" s="226"/>
      <c r="V126" s="133"/>
    </row>
    <row r="127" spans="1:22" hidden="1" x14ac:dyDescent="0.25">
      <c r="A127" s="300"/>
      <c r="B127" s="294"/>
      <c r="C127" s="212"/>
      <c r="D127" s="190" t="e">
        <f t="shared" ref="D127:I127" si="49">SUM(D124:D126)</f>
        <v>#REF!</v>
      </c>
      <c r="E127" s="190" t="e">
        <f t="shared" si="49"/>
        <v>#REF!</v>
      </c>
      <c r="F127" s="190" t="e">
        <f t="shared" si="49"/>
        <v>#REF!</v>
      </c>
      <c r="G127" s="190" t="e">
        <f t="shared" si="49"/>
        <v>#REF!</v>
      </c>
      <c r="H127" s="190" t="e">
        <f t="shared" si="49"/>
        <v>#REF!</v>
      </c>
      <c r="I127" s="190" t="e">
        <f t="shared" si="49"/>
        <v>#REF!</v>
      </c>
      <c r="J127" s="300"/>
      <c r="K127" s="300"/>
      <c r="L127" s="226"/>
      <c r="M127" s="226"/>
      <c r="N127" s="300"/>
      <c r="O127" s="226"/>
      <c r="P127" s="226"/>
      <c r="Q127" s="226"/>
      <c r="V127" s="133"/>
    </row>
    <row r="128" spans="1:22" hidden="1" x14ac:dyDescent="0.25">
      <c r="A128" s="300"/>
      <c r="B128" s="321"/>
      <c r="C128" s="230"/>
      <c r="D128" s="296" t="s">
        <v>861</v>
      </c>
      <c r="E128" s="190" t="e">
        <f>E127-$D$127</f>
        <v>#REF!</v>
      </c>
      <c r="F128" s="190" t="e">
        <f>F127-$D$127</f>
        <v>#REF!</v>
      </c>
      <c r="G128" s="190" t="e">
        <f>G127-$D$127</f>
        <v>#REF!</v>
      </c>
      <c r="H128" s="190" t="e">
        <f>H127-$D$127</f>
        <v>#REF!</v>
      </c>
      <c r="I128" s="190" t="e">
        <f>I127-$D$127</f>
        <v>#REF!</v>
      </c>
      <c r="J128" s="300"/>
      <c r="K128" s="300"/>
      <c r="L128" s="226"/>
      <c r="M128" s="226"/>
      <c r="N128" s="300"/>
      <c r="O128" s="226"/>
      <c r="P128" s="226"/>
      <c r="Q128" s="226"/>
      <c r="V128" s="133"/>
    </row>
    <row r="129" spans="1:40" hidden="1" x14ac:dyDescent="0.25">
      <c r="A129" s="300"/>
      <c r="B129" s="343"/>
      <c r="C129" s="419"/>
      <c r="D129" s="226"/>
      <c r="E129" s="226"/>
      <c r="F129" s="226"/>
      <c r="G129" s="226"/>
      <c r="H129" s="226"/>
      <c r="I129" s="226"/>
      <c r="J129" s="226"/>
      <c r="K129" s="226"/>
      <c r="L129" s="226"/>
      <c r="M129" s="226"/>
      <c r="N129" s="300"/>
      <c r="O129" s="226"/>
      <c r="P129" s="226"/>
      <c r="Q129" s="226"/>
      <c r="R129" s="133"/>
      <c r="S129" s="133"/>
      <c r="T129" s="133"/>
      <c r="U129" s="133"/>
      <c r="V129" s="133"/>
      <c r="W129" s="133"/>
      <c r="X129" s="133"/>
      <c r="Y129" s="133"/>
      <c r="Z129" s="133"/>
      <c r="AJ129" s="297"/>
      <c r="AK129" s="297"/>
      <c r="AL129" s="297"/>
      <c r="AM129" s="297"/>
      <c r="AN129" s="297"/>
    </row>
    <row r="130" spans="1:40" hidden="1" x14ac:dyDescent="0.25">
      <c r="A130" s="348"/>
      <c r="B130" s="349" t="s">
        <v>913</v>
      </c>
      <c r="C130" s="350"/>
      <c r="D130" s="350"/>
      <c r="E130" s="351"/>
      <c r="F130" s="352"/>
      <c r="G130" s="353"/>
      <c r="H130" s="353"/>
      <c r="I130" s="412"/>
      <c r="J130" s="348"/>
      <c r="K130" s="348"/>
      <c r="L130" s="348"/>
      <c r="M130" s="348"/>
      <c r="N130" s="348"/>
      <c r="O130" s="348"/>
      <c r="P130" s="348"/>
      <c r="Q130" s="433"/>
      <c r="R130" s="133"/>
      <c r="S130" s="133"/>
      <c r="T130" s="133"/>
      <c r="U130" s="133"/>
      <c r="V130" s="133"/>
      <c r="W130" s="133"/>
      <c r="X130" s="133"/>
      <c r="Y130" s="133"/>
      <c r="Z130" s="133"/>
      <c r="AJ130" s="297"/>
      <c r="AK130" s="297"/>
      <c r="AL130" s="297"/>
      <c r="AM130" s="297"/>
      <c r="AN130" s="297"/>
    </row>
    <row r="131" spans="1:40" hidden="1" x14ac:dyDescent="0.25">
      <c r="A131" s="348"/>
      <c r="B131" s="422" t="s">
        <v>914</v>
      </c>
      <c r="C131" s="423"/>
      <c r="D131" s="423"/>
      <c r="E131" s="423"/>
      <c r="F131" s="423"/>
      <c r="G131" s="423"/>
      <c r="H131" s="423"/>
      <c r="I131" s="354"/>
      <c r="J131" s="433"/>
      <c r="K131" s="433"/>
      <c r="L131" s="463"/>
      <c r="M131" s="463"/>
      <c r="N131" s="463"/>
      <c r="O131" s="463"/>
      <c r="P131" s="463"/>
      <c r="Q131" s="463"/>
      <c r="R131" s="133"/>
      <c r="S131" s="133"/>
      <c r="T131" s="133"/>
      <c r="U131" s="133"/>
      <c r="V131" s="133"/>
      <c r="W131" s="133"/>
      <c r="X131" s="133"/>
      <c r="Y131" s="133"/>
      <c r="Z131" s="133"/>
      <c r="AJ131" s="297"/>
      <c r="AK131" s="297"/>
      <c r="AL131" s="297"/>
      <c r="AM131" s="297"/>
      <c r="AN131" s="297"/>
    </row>
    <row r="132" spans="1:40" ht="45" hidden="1" x14ac:dyDescent="0.25">
      <c r="A132" s="348"/>
      <c r="B132" s="290" t="s">
        <v>799</v>
      </c>
      <c r="C132" s="168" t="s">
        <v>754</v>
      </c>
      <c r="D132" s="449" t="s">
        <v>872</v>
      </c>
      <c r="E132" s="266" t="s">
        <v>694</v>
      </c>
      <c r="F132" s="266" t="s">
        <v>695</v>
      </c>
      <c r="G132" s="167" t="s">
        <v>828</v>
      </c>
      <c r="H132" s="167" t="s">
        <v>829</v>
      </c>
      <c r="I132" s="266" t="s">
        <v>830</v>
      </c>
      <c r="J132" s="348"/>
      <c r="K132" s="624" t="s">
        <v>801</v>
      </c>
      <c r="L132" s="449" t="s">
        <v>872</v>
      </c>
      <c r="M132" s="266" t="s">
        <v>694</v>
      </c>
      <c r="N132" s="266" t="s">
        <v>695</v>
      </c>
      <c r="O132" s="167" t="s">
        <v>828</v>
      </c>
      <c r="P132" s="167" t="s">
        <v>829</v>
      </c>
      <c r="Q132" s="266" t="s">
        <v>830</v>
      </c>
      <c r="R132" s="133"/>
      <c r="S132" s="133"/>
      <c r="T132" s="133"/>
      <c r="U132" s="133"/>
      <c r="V132" s="133"/>
      <c r="W132" s="133"/>
      <c r="X132" s="133"/>
      <c r="Y132" s="133"/>
      <c r="Z132" s="133"/>
      <c r="AJ132" s="297"/>
      <c r="AK132" s="297"/>
      <c r="AL132" s="297"/>
      <c r="AM132" s="297"/>
      <c r="AN132" s="297"/>
    </row>
    <row r="133" spans="1:40" hidden="1" x14ac:dyDescent="0.25">
      <c r="A133" s="348"/>
      <c r="B133" s="367"/>
      <c r="C133" s="149">
        <f>'Inputs and eligible population'!F85</f>
        <v>0</v>
      </c>
      <c r="D133" s="128">
        <f>'Financial impact (cash)'!D13*'Capacity (national prices)'!$C133</f>
        <v>0</v>
      </c>
      <c r="E133" s="128">
        <f>'Financial impact (cash)'!E13*'Capacity (national prices)'!$C133</f>
        <v>0</v>
      </c>
      <c r="F133" s="128">
        <f>'Financial impact (cash)'!F13*'Capacity (national prices)'!$C133</f>
        <v>0</v>
      </c>
      <c r="G133" s="128">
        <f>'Financial impact (cash)'!G13*'Capacity (national prices)'!$C133</f>
        <v>0</v>
      </c>
      <c r="H133" s="128">
        <f>'Financial impact (cash)'!H13*'Capacity (national prices)'!$C133</f>
        <v>0</v>
      </c>
      <c r="I133" s="128">
        <f>'Financial impact (cash)'!I13*'Capacity (national prices)'!$C133</f>
        <v>0</v>
      </c>
      <c r="J133" s="348"/>
      <c r="K133" s="304">
        <f>(C133*'Unit costs'!$N$36)/1000</f>
        <v>0</v>
      </c>
      <c r="L133" s="304">
        <f>(D133*'Unit costs'!$N$44)/1000</f>
        <v>0</v>
      </c>
      <c r="M133" s="304">
        <f>(E133*'Unit costs'!$N$44)/1000</f>
        <v>0</v>
      </c>
      <c r="N133" s="304">
        <f>(F133*'Unit costs'!$N$44)/1000</f>
        <v>0</v>
      </c>
      <c r="O133" s="304">
        <f>(G133*'Unit costs'!$N$44)/1000</f>
        <v>0</v>
      </c>
      <c r="P133" s="304">
        <f>(H133*'Unit costs'!$N$44)/1000</f>
        <v>0</v>
      </c>
      <c r="Q133" s="304">
        <f>(I133*'Unit costs'!$N$44)/1000</f>
        <v>0</v>
      </c>
      <c r="R133" s="133"/>
      <c r="S133" s="133"/>
      <c r="T133" s="133"/>
      <c r="U133" s="133"/>
      <c r="V133" s="133"/>
      <c r="W133" s="133"/>
      <c r="X133" s="133"/>
      <c r="Y133" s="133"/>
      <c r="Z133" s="133"/>
      <c r="AJ133" s="297"/>
      <c r="AK133" s="297"/>
      <c r="AL133" s="297"/>
      <c r="AM133" s="297"/>
      <c r="AN133" s="297"/>
    </row>
    <row r="134" spans="1:40" hidden="1" x14ac:dyDescent="0.25">
      <c r="A134" s="348"/>
      <c r="B134" s="367"/>
      <c r="C134" s="149">
        <f>'Inputs and eligible population'!G85</f>
        <v>0</v>
      </c>
      <c r="D134" s="128">
        <f>'Financial impact (cash)'!D15*'Capacity (national prices)'!$C134</f>
        <v>0</v>
      </c>
      <c r="E134" s="128">
        <f>'Financial impact (cash)'!E15*'Capacity (national prices)'!$C134</f>
        <v>0</v>
      </c>
      <c r="F134" s="128">
        <f>'Financial impact (cash)'!F15*'Capacity (national prices)'!$C134</f>
        <v>0</v>
      </c>
      <c r="G134" s="128">
        <f>'Financial impact (cash)'!G15*'Capacity (national prices)'!$C134</f>
        <v>0</v>
      </c>
      <c r="H134" s="128">
        <f>'Financial impact (cash)'!H15*'Capacity (national prices)'!$C134</f>
        <v>0</v>
      </c>
      <c r="I134" s="128">
        <f>'Financial impact (cash)'!I15*'Capacity (national prices)'!$C134</f>
        <v>0</v>
      </c>
      <c r="J134" s="348"/>
      <c r="K134" s="304">
        <f>(C134*'Unit costs'!$N$36)/1000</f>
        <v>0</v>
      </c>
      <c r="L134" s="304">
        <f>(D134*'Unit costs'!$N$44)/1000</f>
        <v>0</v>
      </c>
      <c r="M134" s="304">
        <f>(E134*'Unit costs'!$N$44)/1000</f>
        <v>0</v>
      </c>
      <c r="N134" s="304">
        <f>(F134*'Unit costs'!$N$44)/1000</f>
        <v>0</v>
      </c>
      <c r="O134" s="304">
        <f>(G134*'Unit costs'!$N$44)/1000</f>
        <v>0</v>
      </c>
      <c r="P134" s="304">
        <f>(H134*'Unit costs'!$N$44)/1000</f>
        <v>0</v>
      </c>
      <c r="Q134" s="304">
        <f>(I134*'Unit costs'!$N$44)/1000</f>
        <v>0</v>
      </c>
      <c r="R134" s="133"/>
      <c r="S134" s="133"/>
      <c r="T134" s="133"/>
      <c r="U134" s="133"/>
      <c r="V134" s="133"/>
      <c r="W134" s="133"/>
      <c r="X134" s="133"/>
      <c r="Y134" s="133"/>
      <c r="Z134" s="133"/>
      <c r="AJ134" s="297"/>
      <c r="AK134" s="297"/>
      <c r="AL134" s="297"/>
      <c r="AM134" s="297"/>
      <c r="AN134" s="297"/>
    </row>
    <row r="135" spans="1:40" hidden="1" x14ac:dyDescent="0.25">
      <c r="A135" s="348"/>
      <c r="B135" s="367"/>
      <c r="C135" s="149">
        <f>'Inputs and eligible population'!H85</f>
        <v>0</v>
      </c>
      <c r="D135" s="128" t="e">
        <f>'Financial impact (cash)'!#REF!*'Capacity (national prices)'!$C135</f>
        <v>#REF!</v>
      </c>
      <c r="E135" s="128" t="e">
        <f>'Financial impact (cash)'!#REF!*'Capacity (national prices)'!$C135</f>
        <v>#REF!</v>
      </c>
      <c r="F135" s="128" t="e">
        <f>'Financial impact (cash)'!#REF!*'Capacity (national prices)'!$C135</f>
        <v>#REF!</v>
      </c>
      <c r="G135" s="128" t="e">
        <f>'Financial impact (cash)'!#REF!*'Capacity (national prices)'!$C135</f>
        <v>#REF!</v>
      </c>
      <c r="H135" s="128" t="e">
        <f>'Financial impact (cash)'!#REF!*'Capacity (national prices)'!$C135</f>
        <v>#REF!</v>
      </c>
      <c r="I135" s="128" t="e">
        <f>'Financial impact (cash)'!#REF!*'Capacity (national prices)'!$C135</f>
        <v>#REF!</v>
      </c>
      <c r="J135" s="348"/>
      <c r="K135" s="304">
        <f>(C135*'Unit costs'!$N$36)/1000</f>
        <v>0</v>
      </c>
      <c r="L135" s="304" t="e">
        <f>(D135*'Unit costs'!$N$44)/1000</f>
        <v>#REF!</v>
      </c>
      <c r="M135" s="304" t="e">
        <f>(E135*'Unit costs'!$N$44)/1000</f>
        <v>#REF!</v>
      </c>
      <c r="N135" s="304" t="e">
        <f>(F135*'Unit costs'!$N$44)/1000</f>
        <v>#REF!</v>
      </c>
      <c r="O135" s="304" t="e">
        <f>(G135*'Unit costs'!$N$44)/1000</f>
        <v>#REF!</v>
      </c>
      <c r="P135" s="304" t="e">
        <f>(H135*'Unit costs'!$N$44)/1000</f>
        <v>#REF!</v>
      </c>
      <c r="Q135" s="304" t="e">
        <f>(I135*'Unit costs'!$N$44)/1000</f>
        <v>#REF!</v>
      </c>
      <c r="R135" s="133"/>
      <c r="S135" s="133"/>
      <c r="T135" s="133"/>
      <c r="U135" s="133"/>
      <c r="V135" s="133"/>
      <c r="W135" s="133"/>
      <c r="X135" s="133"/>
      <c r="Y135" s="133"/>
      <c r="Z135" s="133"/>
      <c r="AJ135" s="297"/>
      <c r="AK135" s="297"/>
      <c r="AL135" s="297"/>
      <c r="AM135" s="297"/>
      <c r="AN135" s="297"/>
    </row>
    <row r="136" spans="1:40" hidden="1" x14ac:dyDescent="0.25">
      <c r="A136" s="348"/>
      <c r="B136" s="294"/>
      <c r="C136" s="212"/>
      <c r="D136" s="190" t="e">
        <f t="shared" ref="D136:I136" si="50">SUM(D133:D135)</f>
        <v>#REF!</v>
      </c>
      <c r="E136" s="190" t="e">
        <f t="shared" si="50"/>
        <v>#REF!</v>
      </c>
      <c r="F136" s="190" t="e">
        <f t="shared" si="50"/>
        <v>#REF!</v>
      </c>
      <c r="G136" s="190" t="e">
        <f t="shared" si="50"/>
        <v>#REF!</v>
      </c>
      <c r="H136" s="190" t="e">
        <f t="shared" si="50"/>
        <v>#REF!</v>
      </c>
      <c r="I136" s="190" t="e">
        <f t="shared" si="50"/>
        <v>#REF!</v>
      </c>
      <c r="J136" s="348"/>
      <c r="K136" s="305">
        <f>SUM(K133:K135)</f>
        <v>0</v>
      </c>
      <c r="L136" s="305" t="e">
        <f>SUM(L133:L135)</f>
        <v>#REF!</v>
      </c>
      <c r="M136" s="305" t="e">
        <f t="shared" ref="M136:Q136" si="51">SUM(M133:M135)</f>
        <v>#REF!</v>
      </c>
      <c r="N136" s="305" t="e">
        <f t="shared" si="51"/>
        <v>#REF!</v>
      </c>
      <c r="O136" s="305" t="e">
        <f t="shared" si="51"/>
        <v>#REF!</v>
      </c>
      <c r="P136" s="305" t="e">
        <f t="shared" si="51"/>
        <v>#REF!</v>
      </c>
      <c r="Q136" s="305" t="e">
        <f t="shared" si="51"/>
        <v>#REF!</v>
      </c>
      <c r="R136" s="133"/>
      <c r="S136" s="133"/>
      <c r="T136" s="133"/>
      <c r="U136" s="133"/>
      <c r="V136" s="133"/>
      <c r="W136" s="133"/>
      <c r="X136" s="133"/>
      <c r="Y136" s="133"/>
      <c r="Z136" s="133"/>
      <c r="AJ136" s="297"/>
      <c r="AK136" s="297"/>
      <c r="AL136" s="297"/>
      <c r="AM136" s="297"/>
      <c r="AN136" s="297"/>
    </row>
    <row r="137" spans="1:40" hidden="1" x14ac:dyDescent="0.25">
      <c r="A137" s="348"/>
      <c r="B137" s="321"/>
      <c r="C137" s="267"/>
      <c r="D137" s="296" t="s">
        <v>915</v>
      </c>
      <c r="E137" s="190" t="e">
        <f>E136-$D$136</f>
        <v>#REF!</v>
      </c>
      <c r="F137" s="190" t="e">
        <f>F136-$D$136</f>
        <v>#REF!</v>
      </c>
      <c r="G137" s="190" t="e">
        <f>G136-$D$136</f>
        <v>#REF!</v>
      </c>
      <c r="H137" s="190" t="e">
        <f>H136-$D$136</f>
        <v>#REF!</v>
      </c>
      <c r="I137" s="190" t="e">
        <f>I136-$D$136</f>
        <v>#REF!</v>
      </c>
      <c r="J137" s="348"/>
      <c r="K137" s="348"/>
      <c r="L137" s="603"/>
      <c r="M137" s="305" t="e">
        <f>M136-$L$136</f>
        <v>#REF!</v>
      </c>
      <c r="N137" s="305" t="e">
        <f t="shared" ref="N137:Q137" si="52">N136-$L$136</f>
        <v>#REF!</v>
      </c>
      <c r="O137" s="305" t="e">
        <f t="shared" si="52"/>
        <v>#REF!</v>
      </c>
      <c r="P137" s="305" t="e">
        <f t="shared" si="52"/>
        <v>#REF!</v>
      </c>
      <c r="Q137" s="305" t="e">
        <f t="shared" si="52"/>
        <v>#REF!</v>
      </c>
      <c r="V137" s="133"/>
    </row>
    <row r="138" spans="1:40" hidden="1" x14ac:dyDescent="0.25">
      <c r="A138" s="348"/>
      <c r="B138" s="348"/>
      <c r="C138" s="348"/>
      <c r="D138" s="348"/>
      <c r="E138" s="348"/>
      <c r="F138" s="348"/>
      <c r="G138" s="348"/>
      <c r="H138" s="348"/>
      <c r="I138" s="348"/>
      <c r="J138" s="348"/>
      <c r="K138" s="348"/>
      <c r="L138" s="348"/>
      <c r="M138" s="348"/>
      <c r="N138" s="348"/>
      <c r="O138" s="348"/>
      <c r="P138" s="348"/>
      <c r="Q138" s="348"/>
      <c r="V138" s="133"/>
    </row>
    <row r="139" spans="1:40" hidden="1" x14ac:dyDescent="0.25">
      <c r="A139" s="301"/>
      <c r="B139" s="344" t="s">
        <v>916</v>
      </c>
      <c r="C139" s="327"/>
      <c r="D139" s="328"/>
      <c r="E139" s="329"/>
      <c r="F139" s="330"/>
      <c r="G139" s="330"/>
      <c r="H139" s="330"/>
      <c r="I139" s="464"/>
      <c r="J139" s="301"/>
      <c r="K139" s="301"/>
      <c r="L139" s="301"/>
      <c r="M139" s="301"/>
      <c r="N139" s="301"/>
      <c r="O139" s="301"/>
      <c r="P139" s="301"/>
      <c r="Q139" s="228"/>
      <c r="R139" s="133"/>
      <c r="S139" s="133"/>
      <c r="T139" s="133"/>
      <c r="U139" s="133"/>
      <c r="V139" s="133"/>
      <c r="W139" s="133"/>
      <c r="X139" s="133"/>
      <c r="Y139" s="133"/>
      <c r="Z139" s="133"/>
      <c r="AJ139" s="297"/>
      <c r="AK139" s="297"/>
      <c r="AL139" s="297"/>
      <c r="AM139" s="297"/>
      <c r="AN139" s="297"/>
    </row>
    <row r="140" spans="1:40" hidden="1" x14ac:dyDescent="0.25">
      <c r="A140" s="301"/>
      <c r="B140" s="424" t="s">
        <v>917</v>
      </c>
      <c r="C140" s="425"/>
      <c r="D140" s="425"/>
      <c r="E140" s="425"/>
      <c r="F140" s="425"/>
      <c r="G140" s="425"/>
      <c r="H140" s="425"/>
      <c r="I140" s="227"/>
      <c r="J140" s="228"/>
      <c r="K140" s="228"/>
      <c r="L140" s="458"/>
      <c r="M140" s="458"/>
      <c r="N140" s="458"/>
      <c r="O140" s="458"/>
      <c r="P140" s="458"/>
      <c r="Q140" s="458"/>
      <c r="R140" s="133"/>
      <c r="S140" s="133"/>
      <c r="T140" s="133"/>
      <c r="U140" s="133"/>
      <c r="V140" s="133"/>
      <c r="W140" s="133"/>
      <c r="X140" s="133"/>
      <c r="Y140" s="133"/>
      <c r="Z140" s="133"/>
      <c r="AJ140" s="297"/>
      <c r="AK140" s="297"/>
      <c r="AL140" s="297"/>
      <c r="AM140" s="297"/>
      <c r="AN140" s="297"/>
    </row>
    <row r="141" spans="1:40" ht="45" hidden="1" x14ac:dyDescent="0.25">
      <c r="A141" s="301"/>
      <c r="B141" s="290" t="s">
        <v>799</v>
      </c>
      <c r="C141" s="168" t="s">
        <v>917</v>
      </c>
      <c r="D141" s="449" t="s">
        <v>872</v>
      </c>
      <c r="E141" s="266" t="s">
        <v>694</v>
      </c>
      <c r="F141" s="266" t="s">
        <v>695</v>
      </c>
      <c r="G141" s="167" t="s">
        <v>828</v>
      </c>
      <c r="H141" s="167" t="s">
        <v>829</v>
      </c>
      <c r="I141" s="266" t="s">
        <v>830</v>
      </c>
      <c r="J141" s="301"/>
      <c r="K141" s="624" t="s">
        <v>801</v>
      </c>
      <c r="L141" s="449" t="s">
        <v>872</v>
      </c>
      <c r="M141" s="266" t="s">
        <v>694</v>
      </c>
      <c r="N141" s="266" t="s">
        <v>695</v>
      </c>
      <c r="O141" s="167" t="s">
        <v>828</v>
      </c>
      <c r="P141" s="167" t="s">
        <v>829</v>
      </c>
      <c r="Q141" s="266" t="s">
        <v>830</v>
      </c>
      <c r="R141" s="133"/>
      <c r="S141" s="133"/>
      <c r="T141" s="133"/>
      <c r="U141" s="133"/>
      <c r="V141" s="133"/>
      <c r="W141" s="133"/>
      <c r="X141" s="133"/>
      <c r="Y141" s="133"/>
      <c r="Z141" s="133"/>
      <c r="AJ141" s="297"/>
      <c r="AK141" s="297"/>
      <c r="AL141" s="297"/>
      <c r="AM141" s="297"/>
      <c r="AN141" s="297"/>
    </row>
    <row r="142" spans="1:40" hidden="1" x14ac:dyDescent="0.25">
      <c r="A142" s="301"/>
      <c r="B142" s="367"/>
      <c r="C142" s="149">
        <f>'Inputs and eligible population'!F87</f>
        <v>0</v>
      </c>
      <c r="D142" s="128">
        <f>D$7*'Inputs and eligible population'!E60*'Capacity (national prices)'!$C142</f>
        <v>0</v>
      </c>
      <c r="E142" s="128">
        <f>E$7*'Inputs and eligible population'!F60*'Capacity (national prices)'!$C142</f>
        <v>0</v>
      </c>
      <c r="F142" s="128">
        <f>F$7*'Inputs and eligible population'!G60*'Capacity (national prices)'!$C142</f>
        <v>0</v>
      </c>
      <c r="G142" s="128">
        <f>G$7*'Inputs and eligible population'!H60*'Capacity (national prices)'!$C142</f>
        <v>0</v>
      </c>
      <c r="H142" s="128">
        <f>H$7*'Inputs and eligible population'!I60*'Capacity (national prices)'!$C142</f>
        <v>0</v>
      </c>
      <c r="I142" s="128">
        <f>I$7*'Inputs and eligible population'!J60*'Capacity (national prices)'!$C142</f>
        <v>0</v>
      </c>
      <c r="J142" s="301"/>
      <c r="K142" s="304">
        <f>(C142*'Unit costs'!$N$36)/1000</f>
        <v>0</v>
      </c>
      <c r="L142" s="304">
        <f>(D142*'Unit costs'!$N$51)/1000</f>
        <v>0</v>
      </c>
      <c r="M142" s="304">
        <f>(E142*'Unit costs'!$N$51)/1000</f>
        <v>0</v>
      </c>
      <c r="N142" s="304">
        <f>(F142*'Unit costs'!$N$51)/1000</f>
        <v>0</v>
      </c>
      <c r="O142" s="304">
        <f>(G142*'Unit costs'!$N$51)/1000</f>
        <v>0</v>
      </c>
      <c r="P142" s="304">
        <f>(H142*'Unit costs'!$N$51)/1000</f>
        <v>0</v>
      </c>
      <c r="Q142" s="304">
        <f>(I142*'Unit costs'!$N$51)/1000</f>
        <v>0</v>
      </c>
      <c r="R142" s="133"/>
      <c r="S142" s="133"/>
      <c r="T142" s="133"/>
      <c r="U142" s="133"/>
      <c r="V142" s="133"/>
      <c r="W142" s="133"/>
      <c r="X142" s="133"/>
      <c r="Y142" s="133"/>
      <c r="Z142" s="133"/>
      <c r="AJ142" s="297"/>
      <c r="AK142" s="297"/>
      <c r="AL142" s="297"/>
      <c r="AM142" s="297"/>
      <c r="AN142" s="297"/>
    </row>
    <row r="143" spans="1:40" hidden="1" x14ac:dyDescent="0.25">
      <c r="A143" s="301"/>
      <c r="B143" s="367"/>
      <c r="C143" s="149">
        <f>'Inputs and eligible population'!G87</f>
        <v>0</v>
      </c>
      <c r="D143" s="128">
        <f>D$7*'Inputs and eligible population'!E62*'Capacity (national prices)'!$C143</f>
        <v>0</v>
      </c>
      <c r="E143" s="128">
        <f>E$7*'Inputs and eligible population'!F62*'Capacity (national prices)'!$C143</f>
        <v>0</v>
      </c>
      <c r="F143" s="128">
        <f>F$7*'Inputs and eligible population'!G62*'Capacity (national prices)'!$C143</f>
        <v>0</v>
      </c>
      <c r="G143" s="128">
        <f>G$7*'Inputs and eligible population'!H62*'Capacity (national prices)'!$C143</f>
        <v>0</v>
      </c>
      <c r="H143" s="128">
        <f>H$7*'Inputs and eligible population'!I62*'Capacity (national prices)'!$C143</f>
        <v>0</v>
      </c>
      <c r="I143" s="128">
        <f>I$7*'Inputs and eligible population'!J62*'Capacity (national prices)'!$C143</f>
        <v>0</v>
      </c>
      <c r="J143" s="301"/>
      <c r="K143" s="304">
        <f>(C143*'Unit costs'!$N$36)/1000</f>
        <v>0</v>
      </c>
      <c r="L143" s="304">
        <f>(D143*'Unit costs'!$N$51)/1000</f>
        <v>0</v>
      </c>
      <c r="M143" s="304">
        <f>(E143*'Unit costs'!$N$51)/1000</f>
        <v>0</v>
      </c>
      <c r="N143" s="304">
        <f>(F143*'Unit costs'!$N$51)/1000</f>
        <v>0</v>
      </c>
      <c r="O143" s="304">
        <f>(G143*'Unit costs'!$N$51)/1000</f>
        <v>0</v>
      </c>
      <c r="P143" s="304">
        <f>(H143*'Unit costs'!$N$51)/1000</f>
        <v>0</v>
      </c>
      <c r="Q143" s="304">
        <f>(I143*'Unit costs'!$N$51)/1000</f>
        <v>0</v>
      </c>
      <c r="R143" s="133"/>
      <c r="S143" s="133"/>
      <c r="T143" s="133"/>
      <c r="U143" s="133"/>
      <c r="V143" s="133"/>
      <c r="W143" s="133"/>
      <c r="X143" s="133"/>
      <c r="Y143" s="133"/>
      <c r="Z143" s="133"/>
      <c r="AJ143" s="297"/>
      <c r="AK143" s="297"/>
      <c r="AL143" s="297"/>
      <c r="AM143" s="297"/>
      <c r="AN143" s="297"/>
    </row>
    <row r="144" spans="1:40" hidden="1" x14ac:dyDescent="0.25">
      <c r="A144" s="301"/>
      <c r="B144" s="367"/>
      <c r="C144" s="149">
        <f>'Inputs and eligible population'!H87</f>
        <v>0</v>
      </c>
      <c r="D144" s="128" t="e">
        <f>D$7*'Inputs and eligible population'!#REF!*'Capacity (national prices)'!$C144</f>
        <v>#REF!</v>
      </c>
      <c r="E144" s="128" t="e">
        <f>E$7*'Inputs and eligible population'!#REF!*'Capacity (national prices)'!$C144</f>
        <v>#REF!</v>
      </c>
      <c r="F144" s="128" t="e">
        <f>F$7*'Inputs and eligible population'!#REF!*'Capacity (national prices)'!$C144</f>
        <v>#REF!</v>
      </c>
      <c r="G144" s="128" t="e">
        <f>G$7*'Inputs and eligible population'!#REF!*'Capacity (national prices)'!$C144</f>
        <v>#REF!</v>
      </c>
      <c r="H144" s="128" t="e">
        <f>H$7*'Inputs and eligible population'!#REF!*'Capacity (national prices)'!$C144</f>
        <v>#REF!</v>
      </c>
      <c r="I144" s="128" t="e">
        <f>I$7*'Inputs and eligible population'!#REF!*'Capacity (national prices)'!$C144</f>
        <v>#REF!</v>
      </c>
      <c r="J144" s="301"/>
      <c r="K144" s="304">
        <f>(C144*'Unit costs'!$N$36)/1000</f>
        <v>0</v>
      </c>
      <c r="L144" s="304" t="e">
        <f>(D144*'Unit costs'!$N$51)/1000</f>
        <v>#REF!</v>
      </c>
      <c r="M144" s="304" t="e">
        <f>(E144*'Unit costs'!$N$51)/1000</f>
        <v>#REF!</v>
      </c>
      <c r="N144" s="304" t="e">
        <f>(F144*'Unit costs'!$N$51)/1000</f>
        <v>#REF!</v>
      </c>
      <c r="O144" s="304" t="e">
        <f>(G144*'Unit costs'!$N$51)/1000</f>
        <v>#REF!</v>
      </c>
      <c r="P144" s="304" t="e">
        <f>(H144*'Unit costs'!$N$51)/1000</f>
        <v>#REF!</v>
      </c>
      <c r="Q144" s="304" t="e">
        <f>(I144*'Unit costs'!$N$51)/1000</f>
        <v>#REF!</v>
      </c>
      <c r="R144" s="133"/>
      <c r="S144" s="133"/>
      <c r="T144" s="133"/>
      <c r="U144" s="133"/>
      <c r="V144" s="133"/>
      <c r="W144" s="133"/>
      <c r="X144" s="133"/>
      <c r="Y144" s="133"/>
      <c r="Z144" s="133"/>
      <c r="AJ144" s="297"/>
      <c r="AK144" s="297"/>
      <c r="AL144" s="297"/>
      <c r="AM144" s="297"/>
      <c r="AN144" s="297"/>
    </row>
    <row r="145" spans="1:40" hidden="1" x14ac:dyDescent="0.25">
      <c r="A145" s="301"/>
      <c r="B145" s="294"/>
      <c r="C145" s="212"/>
      <c r="D145" s="190" t="e">
        <f t="shared" ref="D145:I145" si="53">SUM(D142:D144)</f>
        <v>#REF!</v>
      </c>
      <c r="E145" s="190" t="e">
        <f t="shared" si="53"/>
        <v>#REF!</v>
      </c>
      <c r="F145" s="190" t="e">
        <f t="shared" si="53"/>
        <v>#REF!</v>
      </c>
      <c r="G145" s="190" t="e">
        <f t="shared" si="53"/>
        <v>#REF!</v>
      </c>
      <c r="H145" s="190" t="e">
        <f t="shared" si="53"/>
        <v>#REF!</v>
      </c>
      <c r="I145" s="190" t="e">
        <f t="shared" si="53"/>
        <v>#REF!</v>
      </c>
      <c r="J145" s="301"/>
      <c r="K145" s="305">
        <f>SUM(K142:K144)</f>
        <v>0</v>
      </c>
      <c r="L145" s="305" t="e">
        <f>SUM(L142:L144)</f>
        <v>#REF!</v>
      </c>
      <c r="M145" s="305" t="e">
        <f t="shared" ref="M145:Q145" si="54">SUM(M142:M144)</f>
        <v>#REF!</v>
      </c>
      <c r="N145" s="305" t="e">
        <f t="shared" si="54"/>
        <v>#REF!</v>
      </c>
      <c r="O145" s="305" t="e">
        <f t="shared" si="54"/>
        <v>#REF!</v>
      </c>
      <c r="P145" s="305" t="e">
        <f t="shared" si="54"/>
        <v>#REF!</v>
      </c>
      <c r="Q145" s="305" t="e">
        <f t="shared" si="54"/>
        <v>#REF!</v>
      </c>
      <c r="R145" s="133"/>
      <c r="S145" s="133"/>
      <c r="T145" s="133"/>
      <c r="U145" s="133"/>
      <c r="V145" s="133"/>
      <c r="W145" s="133"/>
      <c r="X145" s="133"/>
      <c r="Y145" s="133"/>
      <c r="Z145" s="133"/>
      <c r="AJ145" s="297"/>
      <c r="AK145" s="297"/>
      <c r="AL145" s="297"/>
      <c r="AM145" s="297"/>
      <c r="AN145" s="297"/>
    </row>
    <row r="146" spans="1:40" hidden="1" x14ac:dyDescent="0.25">
      <c r="A146" s="301"/>
      <c r="B146" s="321"/>
      <c r="C146" s="267"/>
      <c r="D146" s="296" t="s">
        <v>918</v>
      </c>
      <c r="E146" s="190" t="e">
        <f>E145-$D$145</f>
        <v>#REF!</v>
      </c>
      <c r="F146" s="190" t="e">
        <f>F145-$D$145</f>
        <v>#REF!</v>
      </c>
      <c r="G146" s="190" t="e">
        <f>G145-$D$145</f>
        <v>#REF!</v>
      </c>
      <c r="H146" s="190" t="e">
        <f>H145-$D$145</f>
        <v>#REF!</v>
      </c>
      <c r="I146" s="190" t="e">
        <f>I145-$D$145</f>
        <v>#REF!</v>
      </c>
      <c r="J146" s="301"/>
      <c r="K146" s="301"/>
      <c r="L146" s="604"/>
      <c r="M146" s="305" t="e">
        <f>M145-$L$145</f>
        <v>#REF!</v>
      </c>
      <c r="N146" s="305" t="e">
        <f t="shared" ref="N146:Q146" si="55">N145-$L$145</f>
        <v>#REF!</v>
      </c>
      <c r="O146" s="305" t="e">
        <f t="shared" si="55"/>
        <v>#REF!</v>
      </c>
      <c r="P146" s="305" t="e">
        <f t="shared" si="55"/>
        <v>#REF!</v>
      </c>
      <c r="Q146" s="305" t="e">
        <f t="shared" si="55"/>
        <v>#REF!</v>
      </c>
      <c r="V146" s="133"/>
    </row>
    <row r="147" spans="1:40" hidden="1" x14ac:dyDescent="0.25">
      <c r="A147" s="301"/>
      <c r="B147" s="345"/>
      <c r="C147" s="228"/>
      <c r="D147" s="228"/>
      <c r="E147" s="228"/>
      <c r="F147" s="228"/>
      <c r="G147" s="228"/>
      <c r="H147" s="228"/>
      <c r="I147" s="228"/>
      <c r="J147" s="301"/>
      <c r="K147" s="301"/>
      <c r="L147" s="228"/>
      <c r="M147" s="228"/>
      <c r="N147" s="228"/>
      <c r="O147" s="228"/>
      <c r="P147" s="228"/>
      <c r="Q147" s="228"/>
      <c r="V147" s="133"/>
    </row>
    <row r="148" spans="1:40" hidden="1" x14ac:dyDescent="0.25">
      <c r="A148" s="301"/>
      <c r="B148" s="424" t="s">
        <v>919</v>
      </c>
      <c r="C148" s="425"/>
      <c r="D148" s="425"/>
      <c r="E148" s="425"/>
      <c r="F148" s="425"/>
      <c r="G148" s="425"/>
      <c r="H148" s="425"/>
      <c r="I148" s="227"/>
      <c r="J148" s="301"/>
      <c r="K148" s="301"/>
      <c r="L148" s="228"/>
      <c r="M148" s="228"/>
      <c r="N148" s="228"/>
      <c r="O148" s="228"/>
      <c r="P148" s="228"/>
      <c r="Q148" s="228"/>
      <c r="R148" s="133"/>
      <c r="S148" s="133"/>
      <c r="T148" s="133"/>
      <c r="U148" s="133"/>
      <c r="V148" s="133"/>
      <c r="W148" s="133"/>
      <c r="X148" s="133"/>
      <c r="Y148" s="133"/>
      <c r="Z148" s="133"/>
      <c r="AJ148" s="297"/>
      <c r="AK148" s="297"/>
      <c r="AL148" s="297"/>
      <c r="AM148" s="297"/>
      <c r="AN148" s="297"/>
    </row>
    <row r="149" spans="1:40" ht="60" hidden="1" x14ac:dyDescent="0.25">
      <c r="A149" s="301"/>
      <c r="B149" s="290" t="s">
        <v>799</v>
      </c>
      <c r="C149" s="168" t="s">
        <v>920</v>
      </c>
      <c r="D149" s="449" t="s">
        <v>872</v>
      </c>
      <c r="E149" s="266" t="s">
        <v>694</v>
      </c>
      <c r="F149" s="266" t="s">
        <v>695</v>
      </c>
      <c r="G149" s="167" t="s">
        <v>828</v>
      </c>
      <c r="H149" s="167" t="s">
        <v>829</v>
      </c>
      <c r="I149" s="266" t="s">
        <v>830</v>
      </c>
      <c r="J149" s="301"/>
      <c r="K149" s="301"/>
      <c r="L149" s="228"/>
      <c r="M149" s="228"/>
      <c r="N149" s="228"/>
      <c r="O149" s="228"/>
      <c r="P149" s="228"/>
      <c r="Q149" s="228"/>
      <c r="R149" s="133"/>
      <c r="S149" s="133"/>
      <c r="T149" s="133"/>
      <c r="U149" s="133"/>
      <c r="V149" s="133"/>
      <c r="W149" s="133"/>
      <c r="X149" s="133"/>
      <c r="Y149" s="133"/>
      <c r="Z149" s="133"/>
      <c r="AJ149" s="297"/>
      <c r="AK149" s="297"/>
      <c r="AL149" s="297"/>
      <c r="AM149" s="297"/>
      <c r="AN149" s="297"/>
    </row>
    <row r="150" spans="1:40" hidden="1" x14ac:dyDescent="0.25">
      <c r="A150" s="301"/>
      <c r="B150" s="367"/>
      <c r="C150" s="149">
        <f>'Inputs and eligible population'!F89</f>
        <v>0</v>
      </c>
      <c r="D150" s="128">
        <f>D$7*'Inputs and eligible population'!E60*'Capacity (national prices)'!$C150</f>
        <v>0</v>
      </c>
      <c r="E150" s="128">
        <f>E$7*'Inputs and eligible population'!F60*'Capacity (national prices)'!$C150</f>
        <v>0</v>
      </c>
      <c r="F150" s="128">
        <f>F$7*'Inputs and eligible population'!G60*'Capacity (national prices)'!$C150</f>
        <v>0</v>
      </c>
      <c r="G150" s="128">
        <f>G$7*'Inputs and eligible population'!H60*'Capacity (national prices)'!$C150</f>
        <v>0</v>
      </c>
      <c r="H150" s="128">
        <f>H$7*'Inputs and eligible population'!I60*'Capacity (national prices)'!$C150</f>
        <v>0</v>
      </c>
      <c r="I150" s="128">
        <f>I$7*'Inputs and eligible population'!J60*'Capacity (national prices)'!$C150</f>
        <v>0</v>
      </c>
      <c r="J150" s="301"/>
      <c r="K150" s="301"/>
      <c r="L150" s="228"/>
      <c r="M150" s="228"/>
      <c r="N150" s="228"/>
      <c r="O150" s="228"/>
      <c r="P150" s="228"/>
      <c r="Q150" s="228"/>
      <c r="R150" s="133"/>
      <c r="S150" s="133"/>
      <c r="T150" s="133"/>
      <c r="U150" s="133"/>
      <c r="V150" s="133"/>
      <c r="W150" s="133"/>
      <c r="X150" s="133"/>
      <c r="Y150" s="133"/>
      <c r="Z150" s="133"/>
      <c r="AJ150" s="297"/>
      <c r="AK150" s="297"/>
      <c r="AL150" s="297"/>
      <c r="AM150" s="297"/>
      <c r="AN150" s="297"/>
    </row>
    <row r="151" spans="1:40" hidden="1" x14ac:dyDescent="0.25">
      <c r="A151" s="301"/>
      <c r="B151" s="367"/>
      <c r="C151" s="149">
        <f>'Inputs and eligible population'!G89</f>
        <v>0</v>
      </c>
      <c r="D151" s="128">
        <f>D$7*'Inputs and eligible population'!E62*'Capacity (national prices)'!$C151</f>
        <v>0</v>
      </c>
      <c r="E151" s="128">
        <f>E$7*'Inputs and eligible population'!F62*'Capacity (national prices)'!$C151</f>
        <v>0</v>
      </c>
      <c r="F151" s="128">
        <f>F$7*'Inputs and eligible population'!G62*'Capacity (national prices)'!$C151</f>
        <v>0</v>
      </c>
      <c r="G151" s="128">
        <f>G$7*'Inputs and eligible population'!H62*'Capacity (national prices)'!$C151</f>
        <v>0</v>
      </c>
      <c r="H151" s="128">
        <f>H$7*'Inputs and eligible population'!I62*'Capacity (national prices)'!$C151</f>
        <v>0</v>
      </c>
      <c r="I151" s="128">
        <f>I$7*'Inputs and eligible population'!J62*'Capacity (national prices)'!$C151</f>
        <v>0</v>
      </c>
      <c r="J151" s="301"/>
      <c r="K151" s="301"/>
      <c r="L151" s="228"/>
      <c r="M151" s="228"/>
      <c r="N151" s="228"/>
      <c r="O151" s="228"/>
      <c r="P151" s="228"/>
      <c r="Q151" s="228"/>
      <c r="R151" s="133"/>
      <c r="S151" s="133"/>
      <c r="T151" s="133"/>
      <c r="U151" s="133"/>
      <c r="V151" s="133"/>
      <c r="W151" s="133"/>
      <c r="X151" s="133"/>
      <c r="Y151" s="133"/>
      <c r="Z151" s="133"/>
      <c r="AJ151" s="297"/>
      <c r="AK151" s="297"/>
      <c r="AL151" s="297"/>
      <c r="AM151" s="297"/>
      <c r="AN151" s="297"/>
    </row>
    <row r="152" spans="1:40" hidden="1" x14ac:dyDescent="0.25">
      <c r="A152" s="301"/>
      <c r="B152" s="367"/>
      <c r="C152" s="149">
        <f>'Inputs and eligible population'!H89</f>
        <v>0</v>
      </c>
      <c r="D152" s="128" t="e">
        <f>D$7*'Inputs and eligible population'!#REF!*'Capacity (national prices)'!$C152</f>
        <v>#REF!</v>
      </c>
      <c r="E152" s="128" t="e">
        <f>E$7*'Inputs and eligible population'!#REF!*'Capacity (national prices)'!$C152</f>
        <v>#REF!</v>
      </c>
      <c r="F152" s="128" t="e">
        <f>F$7*'Inputs and eligible population'!#REF!*'Capacity (national prices)'!$C152</f>
        <v>#REF!</v>
      </c>
      <c r="G152" s="128" t="e">
        <f>G$7*'Inputs and eligible population'!#REF!*'Capacity (national prices)'!$C152</f>
        <v>#REF!</v>
      </c>
      <c r="H152" s="128" t="e">
        <f>H$7*'Inputs and eligible population'!#REF!*'Capacity (national prices)'!$C152</f>
        <v>#REF!</v>
      </c>
      <c r="I152" s="128" t="e">
        <f>I$7*'Inputs and eligible population'!#REF!*'Capacity (national prices)'!$C152</f>
        <v>#REF!</v>
      </c>
      <c r="J152" s="301"/>
      <c r="K152" s="301"/>
      <c r="L152" s="228"/>
      <c r="M152" s="228"/>
      <c r="N152" s="228"/>
      <c r="O152" s="228"/>
      <c r="P152" s="228"/>
      <c r="Q152" s="228"/>
      <c r="R152" s="133"/>
      <c r="S152" s="133"/>
      <c r="T152" s="133"/>
      <c r="U152" s="133"/>
      <c r="V152" s="133"/>
      <c r="W152" s="133"/>
      <c r="X152" s="133"/>
      <c r="Y152" s="133"/>
      <c r="Z152" s="133"/>
      <c r="AJ152" s="297"/>
      <c r="AK152" s="297"/>
      <c r="AL152" s="297"/>
      <c r="AM152" s="297"/>
      <c r="AN152" s="297"/>
    </row>
    <row r="153" spans="1:40" hidden="1" x14ac:dyDescent="0.25">
      <c r="A153" s="301"/>
      <c r="B153" s="294"/>
      <c r="C153" s="212"/>
      <c r="D153" s="190" t="e">
        <f t="shared" ref="D153:I153" si="56">SUM(D150:D152)</f>
        <v>#REF!</v>
      </c>
      <c r="E153" s="190" t="e">
        <f t="shared" si="56"/>
        <v>#REF!</v>
      </c>
      <c r="F153" s="190" t="e">
        <f t="shared" si="56"/>
        <v>#REF!</v>
      </c>
      <c r="G153" s="190" t="e">
        <f t="shared" si="56"/>
        <v>#REF!</v>
      </c>
      <c r="H153" s="190" t="e">
        <f t="shared" si="56"/>
        <v>#REF!</v>
      </c>
      <c r="I153" s="190" t="e">
        <f t="shared" si="56"/>
        <v>#REF!</v>
      </c>
      <c r="J153" s="301"/>
      <c r="K153" s="301"/>
      <c r="L153" s="228"/>
      <c r="M153" s="228"/>
      <c r="N153" s="228"/>
      <c r="O153" s="228"/>
      <c r="P153" s="228"/>
      <c r="Q153" s="228"/>
      <c r="R153" s="133"/>
      <c r="S153" s="133"/>
      <c r="T153" s="133"/>
      <c r="U153" s="133"/>
      <c r="V153" s="133"/>
      <c r="W153" s="133"/>
      <c r="X153" s="133"/>
      <c r="Y153" s="133"/>
      <c r="Z153" s="133"/>
      <c r="AJ153" s="297"/>
      <c r="AK153" s="297"/>
      <c r="AL153" s="297"/>
      <c r="AM153" s="297"/>
      <c r="AN153" s="297"/>
    </row>
    <row r="154" spans="1:40" hidden="1" x14ac:dyDescent="0.25">
      <c r="A154" s="301"/>
      <c r="B154" s="321"/>
      <c r="C154" s="267"/>
      <c r="D154" s="296" t="s">
        <v>921</v>
      </c>
      <c r="E154" s="190" t="e">
        <f>E153-$D$153</f>
        <v>#REF!</v>
      </c>
      <c r="F154" s="190" t="e">
        <f>F153-$D$153</f>
        <v>#REF!</v>
      </c>
      <c r="G154" s="190" t="e">
        <f>G153-$D$153</f>
        <v>#REF!</v>
      </c>
      <c r="H154" s="190" t="e">
        <f>H153-$D$153</f>
        <v>#REF!</v>
      </c>
      <c r="I154" s="190" t="e">
        <f>I153-$D$153</f>
        <v>#REF!</v>
      </c>
      <c r="J154" s="301"/>
      <c r="K154" s="301"/>
      <c r="L154" s="228"/>
      <c r="M154" s="228"/>
      <c r="N154" s="228"/>
      <c r="O154" s="228"/>
      <c r="P154" s="228"/>
      <c r="Q154" s="228"/>
      <c r="V154" s="133"/>
    </row>
    <row r="155" spans="1:40" hidden="1" x14ac:dyDescent="0.25">
      <c r="A155" s="301"/>
      <c r="B155" s="345"/>
      <c r="C155" s="228"/>
      <c r="D155" s="228"/>
      <c r="E155" s="228"/>
      <c r="F155" s="228"/>
      <c r="G155" s="228"/>
      <c r="H155" s="228"/>
      <c r="I155" s="228"/>
      <c r="J155" s="228"/>
      <c r="K155" s="228"/>
      <c r="L155" s="228"/>
      <c r="M155" s="228"/>
      <c r="N155" s="228"/>
      <c r="O155" s="228"/>
      <c r="P155" s="228"/>
      <c r="Q155" s="228"/>
      <c r="V155" s="133"/>
    </row>
    <row r="156" spans="1:40" hidden="1" x14ac:dyDescent="0.25">
      <c r="A156" s="301"/>
      <c r="B156" s="424" t="s">
        <v>922</v>
      </c>
      <c r="C156" s="425"/>
      <c r="D156" s="425"/>
      <c r="E156" s="425"/>
      <c r="F156" s="425"/>
      <c r="G156" s="425"/>
      <c r="H156" s="425"/>
      <c r="I156" s="227"/>
      <c r="J156" s="228"/>
      <c r="K156" s="228"/>
      <c r="L156" s="228"/>
      <c r="M156" s="228"/>
      <c r="N156" s="228"/>
      <c r="O156" s="228"/>
      <c r="P156" s="228"/>
      <c r="Q156" s="228"/>
      <c r="R156" s="133"/>
      <c r="S156" s="133"/>
      <c r="T156" s="133"/>
      <c r="U156" s="133"/>
      <c r="V156" s="133"/>
      <c r="W156" s="133"/>
      <c r="X156" s="133"/>
      <c r="Y156" s="133"/>
      <c r="Z156" s="133"/>
      <c r="AJ156" s="297"/>
      <c r="AK156" s="297"/>
      <c r="AL156" s="297"/>
      <c r="AM156" s="297"/>
      <c r="AN156" s="297"/>
    </row>
    <row r="157" spans="1:40" ht="45" hidden="1" x14ac:dyDescent="0.25">
      <c r="A157" s="301"/>
      <c r="B157" s="290" t="s">
        <v>799</v>
      </c>
      <c r="C157" s="168" t="s">
        <v>922</v>
      </c>
      <c r="D157" s="449" t="s">
        <v>872</v>
      </c>
      <c r="E157" s="266" t="s">
        <v>694</v>
      </c>
      <c r="F157" s="266" t="s">
        <v>695</v>
      </c>
      <c r="G157" s="167" t="s">
        <v>828</v>
      </c>
      <c r="H157" s="167" t="s">
        <v>829</v>
      </c>
      <c r="I157" s="266" t="s">
        <v>830</v>
      </c>
      <c r="J157" s="301"/>
      <c r="K157" s="301"/>
      <c r="L157" s="228"/>
      <c r="M157" s="228"/>
      <c r="N157" s="228"/>
      <c r="O157" s="228"/>
      <c r="P157" s="228"/>
      <c r="Q157" s="228"/>
      <c r="R157" s="133"/>
      <c r="S157" s="133"/>
      <c r="T157" s="133"/>
      <c r="U157" s="133"/>
      <c r="V157" s="133"/>
      <c r="W157" s="133"/>
      <c r="X157" s="133"/>
      <c r="Y157" s="133"/>
      <c r="Z157" s="133"/>
      <c r="AJ157" s="297"/>
      <c r="AK157" s="297"/>
      <c r="AL157" s="297"/>
      <c r="AM157" s="297"/>
      <c r="AN157" s="297"/>
    </row>
    <row r="158" spans="1:40" hidden="1" x14ac:dyDescent="0.25">
      <c r="A158" s="301"/>
      <c r="B158" s="367"/>
      <c r="C158" s="149">
        <f>'Inputs and eligible population'!F91</f>
        <v>0</v>
      </c>
      <c r="D158" s="128">
        <f>'Financial impact (cash)'!D13*'Capacity (national prices)'!$C158</f>
        <v>0</v>
      </c>
      <c r="E158" s="128">
        <f>'Financial impact (cash)'!E13*'Capacity (national prices)'!$C158</f>
        <v>0</v>
      </c>
      <c r="F158" s="128">
        <f>'Financial impact (cash)'!F13*'Capacity (national prices)'!$C158</f>
        <v>0</v>
      </c>
      <c r="G158" s="128">
        <f>'Financial impact (cash)'!G13*'Capacity (national prices)'!$C158</f>
        <v>0</v>
      </c>
      <c r="H158" s="128">
        <f>'Financial impact (cash)'!H13*'Capacity (national prices)'!$C158</f>
        <v>0</v>
      </c>
      <c r="I158" s="128">
        <f>'Financial impact (cash)'!I13*'Capacity (national prices)'!$C158</f>
        <v>0</v>
      </c>
      <c r="J158" s="301"/>
      <c r="K158" s="301"/>
      <c r="L158" s="228"/>
      <c r="M158" s="228"/>
      <c r="N158" s="228"/>
      <c r="O158" s="228"/>
      <c r="P158" s="228"/>
      <c r="Q158" s="228"/>
      <c r="R158" s="133"/>
      <c r="S158" s="133"/>
      <c r="T158" s="133"/>
      <c r="U158" s="133"/>
      <c r="V158" s="133"/>
      <c r="W158" s="133"/>
      <c r="X158" s="133"/>
      <c r="Y158" s="133"/>
      <c r="Z158" s="133"/>
      <c r="AJ158" s="297"/>
      <c r="AK158" s="297"/>
      <c r="AL158" s="297"/>
      <c r="AM158" s="297"/>
      <c r="AN158" s="297"/>
    </row>
    <row r="159" spans="1:40" hidden="1" x14ac:dyDescent="0.25">
      <c r="A159" s="301"/>
      <c r="B159" s="367"/>
      <c r="C159" s="149">
        <f>'Inputs and eligible population'!G91</f>
        <v>0</v>
      </c>
      <c r="D159" s="128">
        <f>'Financial impact (cash)'!D15*'Capacity (national prices)'!$C159</f>
        <v>0</v>
      </c>
      <c r="E159" s="128">
        <f>'Financial impact (cash)'!E15*'Capacity (national prices)'!$C159</f>
        <v>0</v>
      </c>
      <c r="F159" s="128">
        <f>'Financial impact (cash)'!F15*'Capacity (national prices)'!$C159</f>
        <v>0</v>
      </c>
      <c r="G159" s="128">
        <f>'Financial impact (cash)'!G15*'Capacity (national prices)'!$C159</f>
        <v>0</v>
      </c>
      <c r="H159" s="128">
        <f>'Financial impact (cash)'!H15*'Capacity (national prices)'!$C159</f>
        <v>0</v>
      </c>
      <c r="I159" s="128">
        <f>'Financial impact (cash)'!I15*'Capacity (national prices)'!$C159</f>
        <v>0</v>
      </c>
      <c r="J159" s="301"/>
      <c r="K159" s="301"/>
      <c r="L159" s="228"/>
      <c r="M159" s="228"/>
      <c r="N159" s="228"/>
      <c r="O159" s="228"/>
      <c r="P159" s="228"/>
      <c r="Q159" s="228"/>
      <c r="R159" s="133"/>
      <c r="S159" s="133"/>
      <c r="T159" s="133"/>
      <c r="U159" s="133"/>
      <c r="V159" s="133"/>
      <c r="W159" s="133"/>
      <c r="X159" s="133"/>
      <c r="Y159" s="133"/>
      <c r="Z159" s="133"/>
      <c r="AJ159" s="297"/>
      <c r="AK159" s="297"/>
      <c r="AL159" s="297"/>
      <c r="AM159" s="297"/>
      <c r="AN159" s="297"/>
    </row>
    <row r="160" spans="1:40" hidden="1" x14ac:dyDescent="0.25">
      <c r="A160" s="301"/>
      <c r="B160" s="367"/>
      <c r="C160" s="149">
        <f>'Inputs and eligible population'!H91</f>
        <v>0</v>
      </c>
      <c r="D160" s="128" t="e">
        <f>'Financial impact (cash)'!#REF!*'Capacity (national prices)'!$C160</f>
        <v>#REF!</v>
      </c>
      <c r="E160" s="128" t="e">
        <f>'Financial impact (cash)'!#REF!*'Capacity (national prices)'!$C160</f>
        <v>#REF!</v>
      </c>
      <c r="F160" s="128" t="e">
        <f>'Financial impact (cash)'!#REF!*'Capacity (national prices)'!$C160</f>
        <v>#REF!</v>
      </c>
      <c r="G160" s="128" t="e">
        <f>'Financial impact (cash)'!#REF!*'Capacity (national prices)'!$C160</f>
        <v>#REF!</v>
      </c>
      <c r="H160" s="128" t="e">
        <f>'Financial impact (cash)'!#REF!*'Capacity (national prices)'!$C160</f>
        <v>#REF!</v>
      </c>
      <c r="I160" s="128" t="e">
        <f>'Financial impact (cash)'!#REF!*'Capacity (national prices)'!$C160</f>
        <v>#REF!</v>
      </c>
      <c r="J160" s="301"/>
      <c r="K160" s="301"/>
      <c r="L160" s="228"/>
      <c r="M160" s="228"/>
      <c r="N160" s="228"/>
      <c r="O160" s="228"/>
      <c r="P160" s="228"/>
      <c r="Q160" s="228"/>
      <c r="R160" s="133"/>
      <c r="S160" s="133"/>
      <c r="T160" s="133"/>
      <c r="U160" s="133"/>
      <c r="V160" s="133"/>
      <c r="W160" s="133"/>
      <c r="X160" s="133"/>
      <c r="Y160" s="133"/>
      <c r="Z160" s="133"/>
      <c r="AJ160" s="297"/>
      <c r="AK160" s="297"/>
      <c r="AL160" s="297"/>
      <c r="AM160" s="297"/>
      <c r="AN160" s="297"/>
    </row>
    <row r="161" spans="1:40" hidden="1" x14ac:dyDescent="0.25">
      <c r="A161" s="301"/>
      <c r="B161" s="294"/>
      <c r="C161" s="212"/>
      <c r="D161" s="190" t="e">
        <f t="shared" ref="D161:I161" si="57">SUM(D158:D160)</f>
        <v>#REF!</v>
      </c>
      <c r="E161" s="190" t="e">
        <f t="shared" si="57"/>
        <v>#REF!</v>
      </c>
      <c r="F161" s="190" t="e">
        <f t="shared" si="57"/>
        <v>#REF!</v>
      </c>
      <c r="G161" s="190" t="e">
        <f t="shared" si="57"/>
        <v>#REF!</v>
      </c>
      <c r="H161" s="190" t="e">
        <f t="shared" si="57"/>
        <v>#REF!</v>
      </c>
      <c r="I161" s="190" t="e">
        <f t="shared" si="57"/>
        <v>#REF!</v>
      </c>
      <c r="J161" s="301"/>
      <c r="K161" s="301"/>
      <c r="L161" s="228"/>
      <c r="M161" s="228"/>
      <c r="N161" s="228"/>
      <c r="O161" s="228"/>
      <c r="P161" s="228"/>
      <c r="Q161" s="228"/>
      <c r="R161" s="133"/>
      <c r="S161" s="133"/>
      <c r="T161" s="133"/>
      <c r="U161" s="133"/>
      <c r="V161" s="133"/>
      <c r="W161" s="133"/>
      <c r="X161" s="133"/>
      <c r="Y161" s="133"/>
      <c r="Z161" s="133"/>
      <c r="AJ161" s="297"/>
      <c r="AK161" s="297"/>
      <c r="AL161" s="297"/>
      <c r="AM161" s="297"/>
      <c r="AN161" s="297"/>
    </row>
    <row r="162" spans="1:40" hidden="1" x14ac:dyDescent="0.25">
      <c r="A162" s="301"/>
      <c r="B162" s="321"/>
      <c r="C162" s="267"/>
      <c r="D162" s="296" t="s">
        <v>923</v>
      </c>
      <c r="E162" s="190" t="e">
        <f>E161-$D$161</f>
        <v>#REF!</v>
      </c>
      <c r="F162" s="190" t="e">
        <f>F161-$D$161</f>
        <v>#REF!</v>
      </c>
      <c r="G162" s="190" t="e">
        <f>G161-$D$161</f>
        <v>#REF!</v>
      </c>
      <c r="H162" s="190" t="e">
        <f>H161-$D$161</f>
        <v>#REF!</v>
      </c>
      <c r="I162" s="190" t="e">
        <f>I161-$D$161</f>
        <v>#REF!</v>
      </c>
      <c r="J162" s="301"/>
      <c r="K162" s="301"/>
      <c r="L162" s="228"/>
      <c r="M162" s="228"/>
      <c r="N162" s="228"/>
      <c r="O162" s="228"/>
      <c r="P162" s="228"/>
      <c r="Q162" s="228"/>
      <c r="V162" s="133"/>
    </row>
    <row r="163" spans="1:40" hidden="1" x14ac:dyDescent="0.25">
      <c r="A163" s="301"/>
      <c r="B163" s="301"/>
      <c r="C163" s="228"/>
      <c r="D163" s="301"/>
      <c r="E163" s="301"/>
      <c r="F163" s="301"/>
      <c r="G163" s="301"/>
      <c r="H163" s="301"/>
      <c r="I163" s="228"/>
      <c r="J163" s="228"/>
      <c r="K163" s="228"/>
      <c r="L163" s="228"/>
      <c r="M163" s="228"/>
      <c r="N163" s="228"/>
      <c r="O163" s="228"/>
      <c r="P163" s="228"/>
      <c r="Q163" s="228"/>
      <c r="V163" s="133"/>
    </row>
    <row r="164" spans="1:40" hidden="1" x14ac:dyDescent="0.25">
      <c r="A164" s="301"/>
      <c r="B164" s="424" t="s">
        <v>924</v>
      </c>
      <c r="C164" s="425"/>
      <c r="D164" s="425"/>
      <c r="E164" s="425"/>
      <c r="F164" s="425"/>
      <c r="G164" s="425"/>
      <c r="H164" s="425"/>
      <c r="I164" s="227"/>
      <c r="J164" s="228"/>
      <c r="K164" s="228"/>
      <c r="L164" s="458"/>
      <c r="M164" s="458"/>
      <c r="N164" s="458"/>
      <c r="O164" s="458"/>
      <c r="P164" s="458"/>
      <c r="Q164" s="458"/>
      <c r="V164" s="133"/>
    </row>
    <row r="165" spans="1:40" ht="75" hidden="1" x14ac:dyDescent="0.25">
      <c r="A165" s="301"/>
      <c r="B165" s="290" t="s">
        <v>799</v>
      </c>
      <c r="C165" s="168" t="s">
        <v>925</v>
      </c>
      <c r="D165" s="449" t="s">
        <v>872</v>
      </c>
      <c r="E165" s="266" t="s">
        <v>694</v>
      </c>
      <c r="F165" s="266" t="s">
        <v>695</v>
      </c>
      <c r="G165" s="167" t="s">
        <v>828</v>
      </c>
      <c r="H165" s="167" t="s">
        <v>829</v>
      </c>
      <c r="I165" s="266" t="s">
        <v>830</v>
      </c>
      <c r="J165" s="301"/>
      <c r="K165" s="624" t="s">
        <v>801</v>
      </c>
      <c r="L165" s="449" t="s">
        <v>872</v>
      </c>
      <c r="M165" s="266" t="s">
        <v>694</v>
      </c>
      <c r="N165" s="266" t="s">
        <v>695</v>
      </c>
      <c r="O165" s="167" t="s">
        <v>828</v>
      </c>
      <c r="P165" s="167" t="s">
        <v>829</v>
      </c>
      <c r="Q165" s="266" t="s">
        <v>830</v>
      </c>
      <c r="V165" s="133"/>
    </row>
    <row r="166" spans="1:40" hidden="1" x14ac:dyDescent="0.25">
      <c r="A166" s="301"/>
      <c r="B166" s="367"/>
      <c r="C166" s="149">
        <f>'Inputs and eligible population'!F92</f>
        <v>0</v>
      </c>
      <c r="D166" s="128">
        <f>($C158*$C166*'Financial impact (cash)'!D13)/60</f>
        <v>0</v>
      </c>
      <c r="E166" s="128">
        <f>($C158*$C166*'Financial impact (cash)'!E13)/60</f>
        <v>0</v>
      </c>
      <c r="F166" s="128">
        <f>($C158*$C166*'Financial impact (cash)'!F13)/60</f>
        <v>0</v>
      </c>
      <c r="G166" s="128">
        <f>($C158*$C166*'Financial impact (cash)'!G13)/60</f>
        <v>0</v>
      </c>
      <c r="H166" s="128">
        <f>($C158*$C166*'Financial impact (cash)'!H13)/60</f>
        <v>0</v>
      </c>
      <c r="I166" s="128">
        <f>($C158*$C166*'Financial impact (cash)'!I13)/60</f>
        <v>0</v>
      </c>
      <c r="J166" s="301"/>
      <c r="K166" s="304">
        <f>(C166*'Unit costs'!$N$36)/1000</f>
        <v>0</v>
      </c>
      <c r="L166" s="304">
        <f>(D166*C166*'Inputs and eligible population'!$F$92/60*'Inputs and eligible population'!$K$92)/1000</f>
        <v>0</v>
      </c>
      <c r="M166" s="304">
        <f>(E166*D166*'Inputs and eligible population'!$F$92/60*'Inputs and eligible population'!$K$92)/1000</f>
        <v>0</v>
      </c>
      <c r="N166" s="304">
        <f>(F166*E166*'Inputs and eligible population'!$F$92/60*'Inputs and eligible population'!$K$92)/1000</f>
        <v>0</v>
      </c>
      <c r="O166" s="304">
        <f>(G166*F166*'Inputs and eligible population'!$F$92/60*'Inputs and eligible population'!$K$92)/1000</f>
        <v>0</v>
      </c>
      <c r="P166" s="304">
        <f>(H166*G166*'Inputs and eligible population'!$F$92/60*'Inputs and eligible population'!$K$92)/1000</f>
        <v>0</v>
      </c>
      <c r="Q166" s="304">
        <f>(I166*H166*'Inputs and eligible population'!$F$92/60*'Inputs and eligible population'!$K$92)/1000</f>
        <v>0</v>
      </c>
      <c r="V166" s="133"/>
    </row>
    <row r="167" spans="1:40" hidden="1" x14ac:dyDescent="0.25">
      <c r="A167" s="301"/>
      <c r="B167" s="367"/>
      <c r="C167" s="149">
        <f>'Inputs and eligible population'!G92</f>
        <v>0</v>
      </c>
      <c r="D167" s="128">
        <f>($C159*$C167*'Financial impact (cash)'!D15)/60</f>
        <v>0</v>
      </c>
      <c r="E167" s="128">
        <f>($C159*$C167*'Financial impact (cash)'!E15)/60</f>
        <v>0</v>
      </c>
      <c r="F167" s="128">
        <f>($C159*$C167*'Financial impact (cash)'!F15)/60</f>
        <v>0</v>
      </c>
      <c r="G167" s="128">
        <f>($C159*$C167*'Financial impact (cash)'!G15)/60</f>
        <v>0</v>
      </c>
      <c r="H167" s="128">
        <f>($C159*$C167*'Financial impact (cash)'!H15)/60</f>
        <v>0</v>
      </c>
      <c r="I167" s="128">
        <f>($C159*$C167*'Financial impact (cash)'!I15)/60</f>
        <v>0</v>
      </c>
      <c r="J167" s="301"/>
      <c r="K167" s="304">
        <f>(C167*'Unit costs'!$N$36)/1000</f>
        <v>0</v>
      </c>
      <c r="L167" s="304">
        <f>(D167*C167*'Inputs and eligible population'!$G$92/60*'Inputs and eligible population'!$K$92)/1000</f>
        <v>0</v>
      </c>
      <c r="M167" s="304">
        <f>(E167*D167*'Inputs and eligible population'!$G$92/60*'Inputs and eligible population'!$K$92)/1000</f>
        <v>0</v>
      </c>
      <c r="N167" s="304">
        <f>(F167*E167*'Inputs and eligible population'!$G$92/60*'Inputs and eligible population'!$K$92)/1000</f>
        <v>0</v>
      </c>
      <c r="O167" s="304">
        <f>(G167*F167*'Inputs and eligible population'!$G$92/60*'Inputs and eligible population'!$K$92)/1000</f>
        <v>0</v>
      </c>
      <c r="P167" s="304">
        <f>(H167*G167*'Inputs and eligible population'!$G$92/60*'Inputs and eligible population'!$K$92)/1000</f>
        <v>0</v>
      </c>
      <c r="Q167" s="304">
        <f>(I167*H167*'Inputs and eligible population'!$G$92/60*'Inputs and eligible population'!$K$92)/1000</f>
        <v>0</v>
      </c>
      <c r="V167" s="133"/>
    </row>
    <row r="168" spans="1:40" hidden="1" x14ac:dyDescent="0.25">
      <c r="A168" s="301"/>
      <c r="B168" s="367"/>
      <c r="C168" s="149">
        <f>'Inputs and eligible population'!H92</f>
        <v>0</v>
      </c>
      <c r="D168" s="128" t="e">
        <f>($C160*$C168*'Financial impact (cash)'!#REF!)/60</f>
        <v>#REF!</v>
      </c>
      <c r="E168" s="128" t="e">
        <f>($C160*$C168*'Financial impact (cash)'!#REF!)/60</f>
        <v>#REF!</v>
      </c>
      <c r="F168" s="128" t="e">
        <f>($C160*$C168*'Financial impact (cash)'!#REF!)/60</f>
        <v>#REF!</v>
      </c>
      <c r="G168" s="128" t="e">
        <f>($C160*$C168*'Financial impact (cash)'!#REF!)/60</f>
        <v>#REF!</v>
      </c>
      <c r="H168" s="128" t="e">
        <f>($C160*$C168*'Financial impact (cash)'!#REF!)/60</f>
        <v>#REF!</v>
      </c>
      <c r="I168" s="128" t="e">
        <f>($C160*$C168*'Financial impact (cash)'!#REF!)/60</f>
        <v>#REF!</v>
      </c>
      <c r="J168" s="301"/>
      <c r="K168" s="304">
        <f>(C168*'Unit costs'!$N$36)/1000</f>
        <v>0</v>
      </c>
      <c r="L168" s="304" t="e">
        <f>(D168*C168*'Inputs and eligible population'!$H$92/60*'Inputs and eligible population'!$K$92)/1000</f>
        <v>#REF!</v>
      </c>
      <c r="M168" s="304" t="e">
        <f>(E168*D168*'Inputs and eligible population'!$H$92/60*'Inputs and eligible population'!$K$92)/1000</f>
        <v>#REF!</v>
      </c>
      <c r="N168" s="304" t="e">
        <f>(F168*E168*'Inputs and eligible population'!$H$92/60*'Inputs and eligible population'!$K$92)/1000</f>
        <v>#REF!</v>
      </c>
      <c r="O168" s="304" t="e">
        <f>(G168*F168*'Inputs and eligible population'!$H$92/60*'Inputs and eligible population'!$K$92)/1000</f>
        <v>#REF!</v>
      </c>
      <c r="P168" s="304" t="e">
        <f>(H168*G168*'Inputs and eligible population'!$H$92/60*'Inputs and eligible population'!$K$92)/1000</f>
        <v>#REF!</v>
      </c>
      <c r="Q168" s="304" t="e">
        <f>(I168*H168*'Inputs and eligible population'!$H$92/60*'Inputs and eligible population'!$K$92)/1000</f>
        <v>#REF!</v>
      </c>
      <c r="V168" s="133"/>
    </row>
    <row r="169" spans="1:40" hidden="1" x14ac:dyDescent="0.25">
      <c r="A169" s="301"/>
      <c r="B169" s="294"/>
      <c r="C169" s="212"/>
      <c r="D169" s="190" t="e">
        <f t="shared" ref="D169:I169" si="58">SUM(D166:D168)</f>
        <v>#REF!</v>
      </c>
      <c r="E169" s="190" t="e">
        <f t="shared" si="58"/>
        <v>#REF!</v>
      </c>
      <c r="F169" s="190" t="e">
        <f t="shared" si="58"/>
        <v>#REF!</v>
      </c>
      <c r="G169" s="190" t="e">
        <f t="shared" si="58"/>
        <v>#REF!</v>
      </c>
      <c r="H169" s="190" t="e">
        <f t="shared" si="58"/>
        <v>#REF!</v>
      </c>
      <c r="I169" s="190" t="e">
        <f t="shared" si="58"/>
        <v>#REF!</v>
      </c>
      <c r="J169" s="301"/>
      <c r="K169" s="305">
        <f>SUM(K166:K168)</f>
        <v>0</v>
      </c>
      <c r="L169" s="305" t="e">
        <f>SUM(L166:L168)</f>
        <v>#REF!</v>
      </c>
      <c r="M169" s="305" t="e">
        <f t="shared" ref="M169:Q169" si="59">SUM(M166:M168)</f>
        <v>#REF!</v>
      </c>
      <c r="N169" s="305" t="e">
        <f t="shared" si="59"/>
        <v>#REF!</v>
      </c>
      <c r="O169" s="305" t="e">
        <f t="shared" si="59"/>
        <v>#REF!</v>
      </c>
      <c r="P169" s="305" t="e">
        <f t="shared" si="59"/>
        <v>#REF!</v>
      </c>
      <c r="Q169" s="305" t="e">
        <f t="shared" si="59"/>
        <v>#REF!</v>
      </c>
      <c r="V169" s="133"/>
    </row>
    <row r="170" spans="1:40" hidden="1" x14ac:dyDescent="0.25">
      <c r="A170" s="301"/>
      <c r="B170" s="321"/>
      <c r="C170" s="267"/>
      <c r="D170" s="296" t="s">
        <v>926</v>
      </c>
      <c r="E170" s="190" t="e">
        <f>E169-$D$169</f>
        <v>#REF!</v>
      </c>
      <c r="F170" s="190" t="e">
        <f>F169-$D$169</f>
        <v>#REF!</v>
      </c>
      <c r="G170" s="190" t="e">
        <f>G169-$D$169</f>
        <v>#REF!</v>
      </c>
      <c r="H170" s="190" t="e">
        <f>H169-$D$169</f>
        <v>#REF!</v>
      </c>
      <c r="I170" s="190" t="e">
        <f>I169-$D$169</f>
        <v>#REF!</v>
      </c>
      <c r="J170" s="301"/>
      <c r="K170" s="301"/>
      <c r="L170" s="604"/>
      <c r="M170" s="305" t="e">
        <f>M169-$L$169</f>
        <v>#REF!</v>
      </c>
      <c r="N170" s="305" t="e">
        <f t="shared" ref="N170:Q170" si="60">N169-$L$169</f>
        <v>#REF!</v>
      </c>
      <c r="O170" s="305" t="e">
        <f t="shared" si="60"/>
        <v>#REF!</v>
      </c>
      <c r="P170" s="305" t="e">
        <f t="shared" si="60"/>
        <v>#REF!</v>
      </c>
      <c r="Q170" s="305" t="e">
        <f t="shared" si="60"/>
        <v>#REF!</v>
      </c>
      <c r="V170" s="133"/>
    </row>
    <row r="171" spans="1:40" hidden="1" x14ac:dyDescent="0.25">
      <c r="A171" s="301"/>
      <c r="B171" s="301"/>
      <c r="C171" s="228"/>
      <c r="D171" s="301"/>
      <c r="E171" s="301"/>
      <c r="F171" s="301"/>
      <c r="G171" s="301"/>
      <c r="H171" s="301"/>
      <c r="I171" s="228"/>
      <c r="J171" s="228"/>
      <c r="K171" s="228"/>
      <c r="L171" s="228"/>
      <c r="M171" s="228"/>
      <c r="N171" s="228"/>
      <c r="O171" s="228"/>
      <c r="P171" s="228"/>
      <c r="Q171" s="228"/>
      <c r="V171" s="133"/>
    </row>
    <row r="172" spans="1:40" x14ac:dyDescent="0.25">
      <c r="A172" s="302"/>
      <c r="B172" s="346" t="s">
        <v>932</v>
      </c>
      <c r="C172" s="331"/>
      <c r="D172" s="332"/>
      <c r="E172" s="333"/>
      <c r="F172" s="334"/>
      <c r="G172" s="334"/>
      <c r="H172" s="334"/>
      <c r="I172" s="459"/>
      <c r="J172" s="467"/>
      <c r="K172" s="302"/>
      <c r="L172" s="302"/>
      <c r="M172" s="302"/>
      <c r="N172" s="302"/>
      <c r="O172" s="302"/>
      <c r="P172" s="302"/>
      <c r="Q172" s="302"/>
      <c r="R172" s="133"/>
      <c r="S172" s="133"/>
      <c r="T172" s="133"/>
      <c r="U172" s="133"/>
      <c r="V172" s="133"/>
      <c r="W172" s="133"/>
      <c r="X172" s="133"/>
      <c r="Y172" s="133"/>
      <c r="Z172" s="133"/>
      <c r="AJ172" s="297"/>
      <c r="AK172" s="297"/>
      <c r="AL172" s="297"/>
      <c r="AM172" s="297"/>
      <c r="AN172" s="297"/>
    </row>
    <row r="173" spans="1:40" x14ac:dyDescent="0.25">
      <c r="A173" s="302"/>
      <c r="B173" s="426" t="s">
        <v>933</v>
      </c>
      <c r="C173" s="427"/>
      <c r="D173" s="427"/>
      <c r="E173" s="427"/>
      <c r="F173" s="427"/>
      <c r="G173" s="427"/>
      <c r="H173" s="427"/>
      <c r="I173" s="229"/>
      <c r="J173" s="465"/>
      <c r="K173" s="465"/>
      <c r="L173" s="466"/>
      <c r="M173" s="466"/>
      <c r="N173" s="466"/>
      <c r="O173" s="466"/>
      <c r="P173" s="466"/>
      <c r="Q173" s="466"/>
      <c r="R173" s="133"/>
      <c r="S173" s="133"/>
      <c r="T173" s="133"/>
      <c r="U173" s="133"/>
      <c r="V173" s="133"/>
      <c r="W173" s="133"/>
      <c r="X173" s="133"/>
      <c r="Y173" s="133"/>
      <c r="Z173" s="133"/>
      <c r="AJ173" s="297"/>
      <c r="AK173" s="297"/>
      <c r="AL173" s="297"/>
      <c r="AM173" s="297"/>
      <c r="AN173" s="297"/>
    </row>
    <row r="174" spans="1:40" ht="60" x14ac:dyDescent="0.25">
      <c r="A174" s="302"/>
      <c r="B174" s="290" t="s">
        <v>799</v>
      </c>
      <c r="C174" s="168" t="str">
        <f>'Capacity (local prices)'!C172</f>
        <v>Average number of annual bed days</v>
      </c>
      <c r="D174" s="449" t="s">
        <v>872</v>
      </c>
      <c r="E174" s="266" t="s">
        <v>694</v>
      </c>
      <c r="F174" s="266" t="s">
        <v>695</v>
      </c>
      <c r="G174" s="167" t="s">
        <v>828</v>
      </c>
      <c r="H174" s="167" t="s">
        <v>829</v>
      </c>
      <c r="I174" s="266" t="s">
        <v>830</v>
      </c>
      <c r="J174" s="302"/>
      <c r="K174" s="624" t="s">
        <v>801</v>
      </c>
      <c r="L174" s="449" t="s">
        <v>872</v>
      </c>
      <c r="M174" s="266" t="s">
        <v>694</v>
      </c>
      <c r="N174" s="266" t="s">
        <v>695</v>
      </c>
      <c r="O174" s="167" t="s">
        <v>828</v>
      </c>
      <c r="P174" s="167" t="s">
        <v>829</v>
      </c>
      <c r="Q174" s="266" t="s">
        <v>830</v>
      </c>
      <c r="R174" s="133"/>
      <c r="S174" s="133"/>
      <c r="T174" s="133"/>
      <c r="U174" s="133"/>
      <c r="V174" s="133"/>
      <c r="W174" s="133"/>
      <c r="X174" s="133"/>
      <c r="Y174" s="133"/>
      <c r="Z174" s="133"/>
      <c r="AJ174" s="297"/>
      <c r="AK174" s="297"/>
      <c r="AL174" s="297"/>
      <c r="AM174" s="297"/>
      <c r="AN174" s="297"/>
    </row>
    <row r="175" spans="1:40" x14ac:dyDescent="0.25">
      <c r="A175" s="302"/>
      <c r="B175" s="257" t="str">
        <f>'Capacity (local prices)'!B173</f>
        <v>People receiving tafamidis</v>
      </c>
      <c r="C175" s="257">
        <f>'Capacity (local prices)'!C173</f>
        <v>0</v>
      </c>
      <c r="D175" s="257">
        <f>'Capacity (local prices)'!D173</f>
        <v>0</v>
      </c>
      <c r="E175" s="257">
        <f>'Capacity (local prices)'!E173</f>
        <v>0</v>
      </c>
      <c r="F175" s="257">
        <f>'Capacity (local prices)'!F173</f>
        <v>0</v>
      </c>
      <c r="G175" s="257">
        <f>'Capacity (local prices)'!G173</f>
        <v>0</v>
      </c>
      <c r="H175" s="257">
        <f>'Capacity (local prices)'!H173</f>
        <v>0</v>
      </c>
      <c r="I175" s="257">
        <f>'Capacity (local prices)'!I173</f>
        <v>0</v>
      </c>
      <c r="J175" s="302"/>
      <c r="K175" s="304">
        <f>'Unit costs'!E39</f>
        <v>0</v>
      </c>
      <c r="L175" s="304">
        <f>(D175*$K175)/1000</f>
        <v>0</v>
      </c>
      <c r="M175" s="304">
        <f t="shared" ref="M175:Q176" si="61">(E175*$K175)/1000</f>
        <v>0</v>
      </c>
      <c r="N175" s="304">
        <f t="shared" si="61"/>
        <v>0</v>
      </c>
      <c r="O175" s="304">
        <f t="shared" si="61"/>
        <v>0</v>
      </c>
      <c r="P175" s="304">
        <f t="shared" si="61"/>
        <v>0</v>
      </c>
      <c r="Q175" s="304">
        <f t="shared" si="61"/>
        <v>0</v>
      </c>
      <c r="R175" s="133"/>
      <c r="S175" s="133"/>
      <c r="T175" s="133"/>
      <c r="U175" s="133"/>
      <c r="V175" s="133"/>
      <c r="W175" s="133"/>
      <c r="X175" s="133"/>
      <c r="Y175" s="133"/>
      <c r="Z175" s="133"/>
      <c r="AJ175" s="297"/>
      <c r="AK175" s="297"/>
      <c r="AL175" s="297"/>
      <c r="AM175" s="297"/>
      <c r="AN175" s="297"/>
    </row>
    <row r="176" spans="1:40" x14ac:dyDescent="0.25">
      <c r="A176" s="302"/>
      <c r="B176" s="257" t="str">
        <f>'Capacity (local prices)'!B174</f>
        <v>People receiving best supportive care</v>
      </c>
      <c r="C176" s="257">
        <f>'Capacity (local prices)'!C174</f>
        <v>0</v>
      </c>
      <c r="D176" s="257">
        <f>'Capacity (local prices)'!D174</f>
        <v>0</v>
      </c>
      <c r="E176" s="257">
        <f>'Capacity (local prices)'!E174</f>
        <v>0</v>
      </c>
      <c r="F176" s="257">
        <f>'Capacity (local prices)'!F174</f>
        <v>0</v>
      </c>
      <c r="G176" s="257">
        <f>'Capacity (local prices)'!G174</f>
        <v>0</v>
      </c>
      <c r="H176" s="257">
        <f>'Capacity (local prices)'!H174</f>
        <v>0</v>
      </c>
      <c r="I176" s="257">
        <f>'Capacity (local prices)'!I174</f>
        <v>0</v>
      </c>
      <c r="J176" s="302"/>
      <c r="K176" s="304">
        <f>'Unit costs'!E40</f>
        <v>0</v>
      </c>
      <c r="L176" s="304">
        <f t="shared" ref="L176" si="62">(D176*$K176)/1000</f>
        <v>0</v>
      </c>
      <c r="M176" s="304">
        <f t="shared" si="61"/>
        <v>0</v>
      </c>
      <c r="N176" s="304">
        <f t="shared" si="61"/>
        <v>0</v>
      </c>
      <c r="O176" s="304">
        <f t="shared" si="61"/>
        <v>0</v>
      </c>
      <c r="P176" s="304">
        <f t="shared" si="61"/>
        <v>0</v>
      </c>
      <c r="Q176" s="304">
        <f t="shared" si="61"/>
        <v>0</v>
      </c>
      <c r="R176" s="133"/>
      <c r="S176" s="133"/>
      <c r="T176" s="133"/>
      <c r="U176" s="133"/>
      <c r="V176" s="133"/>
      <c r="W176" s="133"/>
      <c r="X176" s="133"/>
      <c r="Y176" s="133"/>
      <c r="Z176" s="133"/>
      <c r="AJ176" s="297"/>
      <c r="AK176" s="297"/>
      <c r="AL176" s="297"/>
      <c r="AM176" s="297"/>
      <c r="AN176" s="297"/>
    </row>
    <row r="177" spans="1:40" x14ac:dyDescent="0.25">
      <c r="A177" s="302"/>
      <c r="B177" s="291"/>
      <c r="C177" s="214"/>
      <c r="D177" s="190">
        <f t="shared" ref="D177:I177" si="63">SUM(D175:D176)</f>
        <v>0</v>
      </c>
      <c r="E177" s="190">
        <f t="shared" si="63"/>
        <v>0</v>
      </c>
      <c r="F177" s="190">
        <f t="shared" si="63"/>
        <v>0</v>
      </c>
      <c r="G177" s="190">
        <f t="shared" si="63"/>
        <v>0</v>
      </c>
      <c r="H177" s="190">
        <f t="shared" si="63"/>
        <v>0</v>
      </c>
      <c r="I177" s="190">
        <f t="shared" si="63"/>
        <v>0</v>
      </c>
      <c r="J177" s="302"/>
      <c r="K177" s="302"/>
      <c r="L177" s="305">
        <f t="shared" ref="L177:Q177" si="64">SUM(L175:L176)</f>
        <v>0</v>
      </c>
      <c r="M177" s="305">
        <f t="shared" si="64"/>
        <v>0</v>
      </c>
      <c r="N177" s="305">
        <f t="shared" si="64"/>
        <v>0</v>
      </c>
      <c r="O177" s="305">
        <f t="shared" si="64"/>
        <v>0</v>
      </c>
      <c r="P177" s="305">
        <f t="shared" si="64"/>
        <v>0</v>
      </c>
      <c r="Q177" s="305">
        <f t="shared" si="64"/>
        <v>0</v>
      </c>
      <c r="R177" s="133"/>
      <c r="S177" s="133"/>
      <c r="T177" s="133"/>
      <c r="U177" s="133"/>
      <c r="V177" s="133"/>
      <c r="W177" s="133"/>
      <c r="X177" s="133"/>
      <c r="Y177" s="133"/>
      <c r="Z177" s="133"/>
      <c r="AJ177" s="297"/>
      <c r="AK177" s="297"/>
      <c r="AL177" s="297"/>
      <c r="AM177" s="297"/>
      <c r="AN177" s="297"/>
    </row>
    <row r="178" spans="1:40" x14ac:dyDescent="0.25">
      <c r="A178" s="302"/>
      <c r="B178" s="321"/>
      <c r="C178" s="214"/>
      <c r="D178" s="296" t="s">
        <v>934</v>
      </c>
      <c r="E178" s="190">
        <f>E177-$D$177</f>
        <v>0</v>
      </c>
      <c r="F178" s="190">
        <f>F177-$D$177</f>
        <v>0</v>
      </c>
      <c r="G178" s="190">
        <f>G177-$D$177</f>
        <v>0</v>
      </c>
      <c r="H178" s="190">
        <f>H177-$D$177</f>
        <v>0</v>
      </c>
      <c r="I178" s="190">
        <f>I177-$D$177</f>
        <v>0</v>
      </c>
      <c r="J178" s="302"/>
      <c r="K178" s="302"/>
      <c r="L178" s="605"/>
      <c r="M178" s="305">
        <f>M177-$L$177</f>
        <v>0</v>
      </c>
      <c r="N178" s="305">
        <f t="shared" ref="N178:Q178" si="65">N177-$L$177</f>
        <v>0</v>
      </c>
      <c r="O178" s="305">
        <f t="shared" si="65"/>
        <v>0</v>
      </c>
      <c r="P178" s="305">
        <f t="shared" si="65"/>
        <v>0</v>
      </c>
      <c r="Q178" s="305">
        <f t="shared" si="65"/>
        <v>0</v>
      </c>
    </row>
    <row r="179" spans="1:40" x14ac:dyDescent="0.25">
      <c r="A179" s="302"/>
      <c r="B179" s="302"/>
      <c r="C179" s="302"/>
      <c r="D179" s="302"/>
      <c r="E179" s="302"/>
      <c r="F179" s="302"/>
      <c r="G179" s="302"/>
      <c r="H179" s="302"/>
      <c r="I179" s="302"/>
      <c r="J179" s="302"/>
      <c r="K179" s="302"/>
      <c r="L179" s="302"/>
      <c r="M179" s="302"/>
      <c r="N179" s="302"/>
      <c r="O179" s="302"/>
      <c r="P179" s="302"/>
      <c r="Q179" s="302"/>
    </row>
    <row r="180" spans="1:40" x14ac:dyDescent="0.25">
      <c r="B180"/>
    </row>
    <row r="181" spans="1:40" x14ac:dyDescent="0.25">
      <c r="B181"/>
    </row>
    <row r="182" spans="1:40" x14ac:dyDescent="0.25">
      <c r="B182"/>
    </row>
    <row r="183" spans="1:40" x14ac:dyDescent="0.25">
      <c r="B183"/>
    </row>
    <row r="184" spans="1:40" x14ac:dyDescent="0.25">
      <c r="B184"/>
    </row>
  </sheetData>
  <sheetProtection algorithmName="SHA-512" hashValue="16vDxgmtpqilq+2Z4mUD2z7G9mkPJAy7/W3WRtc8ElXl77vAXmEK/yHuDzanCKRE7eJD7ryBMGpEQUvhSXWidg==" saltValue="Wsp0pWwoqfk/VnRNbGXNVQ==" spinCount="100000" sheet="1" objects="1" scenarios="1"/>
  <protectedRanges>
    <protectedRange sqref="B175:I176 C174" name="Range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29" min="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HU113"/>
  <sheetViews>
    <sheetView zoomScale="80" zoomScaleNormal="80" workbookViewId="0"/>
  </sheetViews>
  <sheetFormatPr defaultColWidth="8.5703125" defaultRowHeight="15" x14ac:dyDescent="0.25"/>
  <cols>
    <col min="1" max="1" width="13.5703125" customWidth="1"/>
    <col min="3" max="4" width="11.85546875" customWidth="1"/>
    <col min="5" max="5" width="10.42578125" style="502" customWidth="1"/>
    <col min="6" max="6" width="11.85546875" customWidth="1"/>
    <col min="7" max="7" width="12.5703125" customWidth="1"/>
    <col min="8" max="8" width="11.85546875" hidden="1" customWidth="1"/>
    <col min="9" max="9" width="8.85546875" hidden="1" customWidth="1"/>
    <col min="10" max="10" width="9.42578125" hidden="1" customWidth="1"/>
    <col min="11" max="11" width="10.42578125" hidden="1" customWidth="1"/>
    <col min="12" max="12" width="10.5703125" hidden="1" customWidth="1"/>
    <col min="13" max="13" width="11.42578125" hidden="1" customWidth="1"/>
    <col min="14" max="14" width="11.85546875" hidden="1" customWidth="1"/>
    <col min="15" max="15" width="11.85546875" customWidth="1"/>
    <col min="16" max="16" width="24.42578125" bestFit="1" customWidth="1"/>
    <col min="17" max="17" width="31.5703125" bestFit="1" customWidth="1"/>
    <col min="18" max="18" width="15.140625" style="503" bestFit="1" customWidth="1"/>
    <col min="19" max="22" width="9" customWidth="1"/>
    <col min="23" max="23" width="17.85546875" customWidth="1"/>
    <col min="24" max="24" width="12.5703125" customWidth="1"/>
    <col min="25" max="25" width="23.140625" customWidth="1"/>
    <col min="26" max="27" width="5.42578125" customWidth="1"/>
    <col min="28" max="28" width="13.42578125" customWidth="1"/>
    <col min="29" max="29" width="14.42578125" customWidth="1"/>
    <col min="30" max="30" width="10.42578125" customWidth="1"/>
  </cols>
  <sheetData>
    <row r="1" spans="1:22" ht="29.1" customHeight="1" x14ac:dyDescent="0.25"/>
    <row r="3" spans="1:22" ht="15.75" thickBot="1" x14ac:dyDescent="0.3">
      <c r="B3" s="809" t="s">
        <v>935</v>
      </c>
      <c r="C3" s="810"/>
      <c r="D3" s="810"/>
      <c r="E3" s="810"/>
      <c r="F3" s="810"/>
      <c r="G3" s="811"/>
      <c r="H3" s="812" t="s">
        <v>232</v>
      </c>
      <c r="I3" s="813"/>
      <c r="J3" s="813"/>
      <c r="K3" s="813"/>
      <c r="L3" s="813"/>
      <c r="M3" s="813"/>
      <c r="N3" s="814"/>
      <c r="O3" s="504"/>
      <c r="P3" s="504"/>
    </row>
    <row r="4" spans="1:22" ht="71.45" customHeight="1" x14ac:dyDescent="0.25">
      <c r="A4" s="544" t="s">
        <v>936</v>
      </c>
      <c r="B4" s="552" t="s">
        <v>937</v>
      </c>
      <c r="C4" s="553" t="s">
        <v>938</v>
      </c>
      <c r="D4" s="553" t="s">
        <v>939</v>
      </c>
      <c r="E4" s="554" t="s">
        <v>940</v>
      </c>
      <c r="F4" s="553" t="s">
        <v>941</v>
      </c>
      <c r="G4" s="555" t="s">
        <v>942</v>
      </c>
      <c r="H4" s="547" t="s">
        <v>938</v>
      </c>
      <c r="I4" s="548" t="s">
        <v>943</v>
      </c>
      <c r="J4" s="548" t="s">
        <v>232</v>
      </c>
      <c r="K4" s="548" t="s">
        <v>939</v>
      </c>
      <c r="L4" s="548" t="s">
        <v>940</v>
      </c>
      <c r="M4" s="548" t="s">
        <v>941</v>
      </c>
      <c r="N4" s="549" t="s">
        <v>942</v>
      </c>
      <c r="O4" s="505"/>
      <c r="P4" s="524" t="s">
        <v>936</v>
      </c>
      <c r="Q4" s="527" t="s">
        <v>944</v>
      </c>
      <c r="R4" s="524" t="s">
        <v>942</v>
      </c>
      <c r="S4" s="525" t="s">
        <v>945</v>
      </c>
      <c r="T4" s="528" t="s">
        <v>946</v>
      </c>
      <c r="U4" s="525" t="s">
        <v>947</v>
      </c>
      <c r="V4" s="525" t="s">
        <v>948</v>
      </c>
    </row>
    <row r="5" spans="1:22" x14ac:dyDescent="0.25">
      <c r="A5" s="545">
        <v>2</v>
      </c>
      <c r="B5" s="529" t="s">
        <v>949</v>
      </c>
      <c r="C5" s="621">
        <v>22383.9</v>
      </c>
      <c r="D5" s="506">
        <f>(C5-$B$110)*0.138</f>
        <v>1833.1782000000003</v>
      </c>
      <c r="E5" s="530">
        <f t="shared" ref="E5:E68" si="0">C5*0.005</f>
        <v>111.91950000000001</v>
      </c>
      <c r="F5" s="506">
        <f t="shared" ref="F5:F68" si="1">C5*0.2068</f>
        <v>4628.9905200000003</v>
      </c>
      <c r="G5" s="531">
        <f>SUM(C5:F5)</f>
        <v>28957.988220000003</v>
      </c>
      <c r="H5" s="550">
        <f t="shared" ref="H5:H68" si="2">C5</f>
        <v>22383.9</v>
      </c>
      <c r="I5" s="551">
        <v>5132.4000000000005</v>
      </c>
      <c r="J5" s="551">
        <f t="shared" ref="J5:J68" si="3">C5+I5</f>
        <v>27516.300000000003</v>
      </c>
      <c r="K5" s="551">
        <f t="shared" ref="K5:K36" si="4">(J5-$B$110)*0.138</f>
        <v>2541.4494000000004</v>
      </c>
      <c r="L5" s="551">
        <f t="shared" ref="L5:L68" si="5">J5*0.005</f>
        <v>137.58150000000001</v>
      </c>
      <c r="M5" s="551">
        <f t="shared" ref="M5:M68" si="6">J5*0.2068</f>
        <v>5690.3708400000005</v>
      </c>
      <c r="N5" s="551">
        <f t="shared" ref="N5:N68" si="7">SUM(J5:M5)</f>
        <v>35885.701740000004</v>
      </c>
      <c r="O5" s="507"/>
      <c r="P5" s="506" t="s">
        <v>950</v>
      </c>
      <c r="Q5" s="149" t="s">
        <v>951</v>
      </c>
      <c r="R5" s="521">
        <f>G5</f>
        <v>28957.988220000003</v>
      </c>
      <c r="S5" s="623">
        <v>1560</v>
      </c>
      <c r="T5" s="526">
        <f t="shared" ref="T5:T41" si="8">ROUND(R5/S5,2)</f>
        <v>18.559999999999999</v>
      </c>
      <c r="U5" s="522">
        <v>0.41</v>
      </c>
      <c r="V5" s="522">
        <v>0.83</v>
      </c>
    </row>
    <row r="6" spans="1:22" x14ac:dyDescent="0.25">
      <c r="A6" s="545">
        <v>2</v>
      </c>
      <c r="B6" s="529" t="s">
        <v>952</v>
      </c>
      <c r="C6" s="621">
        <v>22383.9</v>
      </c>
      <c r="D6" s="506">
        <f t="shared" ref="D6:D36" si="9">(C6-$B$110)*0.138</f>
        <v>1833.1782000000003</v>
      </c>
      <c r="E6" s="530">
        <f t="shared" si="0"/>
        <v>111.91950000000001</v>
      </c>
      <c r="F6" s="506">
        <f t="shared" si="1"/>
        <v>4628.9905200000003</v>
      </c>
      <c r="G6" s="531">
        <f t="shared" ref="G6:G68" si="10">SUM(C6:F6)</f>
        <v>28957.988220000003</v>
      </c>
      <c r="H6" s="550">
        <f t="shared" si="2"/>
        <v>22383.9</v>
      </c>
      <c r="I6" s="551">
        <v>5132.4000000000005</v>
      </c>
      <c r="J6" s="551">
        <f t="shared" si="3"/>
        <v>27516.300000000003</v>
      </c>
      <c r="K6" s="551">
        <f t="shared" si="4"/>
        <v>2541.4494000000004</v>
      </c>
      <c r="L6" s="551">
        <f t="shared" si="5"/>
        <v>137.58150000000001</v>
      </c>
      <c r="M6" s="551">
        <f t="shared" si="6"/>
        <v>5690.3708400000005</v>
      </c>
      <c r="N6" s="551">
        <f>SUM(J6:M6)</f>
        <v>35885.701740000004</v>
      </c>
      <c r="O6" s="507"/>
      <c r="P6" s="506" t="s">
        <v>950</v>
      </c>
      <c r="Q6" s="149" t="s">
        <v>953</v>
      </c>
      <c r="R6" s="521">
        <f>G8</f>
        <v>28957.988220000003</v>
      </c>
      <c r="S6" s="623">
        <v>1560</v>
      </c>
      <c r="T6" s="526">
        <f t="shared" si="8"/>
        <v>18.559999999999999</v>
      </c>
      <c r="U6" s="522">
        <v>0.41</v>
      </c>
      <c r="V6" s="522">
        <v>0.83</v>
      </c>
    </row>
    <row r="7" spans="1:22" x14ac:dyDescent="0.25">
      <c r="A7" s="545">
        <v>2</v>
      </c>
      <c r="B7" s="529" t="s">
        <v>954</v>
      </c>
      <c r="C7" s="621">
        <v>22383.9</v>
      </c>
      <c r="D7" s="506">
        <f t="shared" si="9"/>
        <v>1833.1782000000003</v>
      </c>
      <c r="E7" s="530">
        <f t="shared" si="0"/>
        <v>111.91950000000001</v>
      </c>
      <c r="F7" s="506">
        <f t="shared" si="1"/>
        <v>4628.9905200000003</v>
      </c>
      <c r="G7" s="531">
        <f t="shared" si="10"/>
        <v>28957.988220000003</v>
      </c>
      <c r="H7" s="550">
        <f t="shared" si="2"/>
        <v>22383.9</v>
      </c>
      <c r="I7" s="551">
        <v>5132.4000000000005</v>
      </c>
      <c r="J7" s="551">
        <f t="shared" si="3"/>
        <v>27516.300000000003</v>
      </c>
      <c r="K7" s="551">
        <f t="shared" si="4"/>
        <v>2541.4494000000004</v>
      </c>
      <c r="L7" s="551">
        <f t="shared" si="5"/>
        <v>137.58150000000001</v>
      </c>
      <c r="M7" s="551">
        <f t="shared" si="6"/>
        <v>5690.3708400000005</v>
      </c>
      <c r="N7" s="551">
        <f t="shared" si="7"/>
        <v>35885.701740000004</v>
      </c>
      <c r="O7" s="507"/>
      <c r="P7" s="506" t="s">
        <v>950</v>
      </c>
      <c r="Q7" s="149" t="s">
        <v>955</v>
      </c>
      <c r="R7" s="521">
        <f>G11</f>
        <v>28957.988220000003</v>
      </c>
      <c r="S7" s="623">
        <v>1560</v>
      </c>
      <c r="T7" s="526">
        <f t="shared" si="8"/>
        <v>18.559999999999999</v>
      </c>
      <c r="U7" s="522">
        <v>0.41</v>
      </c>
      <c r="V7" s="522">
        <v>0.83</v>
      </c>
    </row>
    <row r="8" spans="1:22" x14ac:dyDescent="0.25">
      <c r="A8" s="545">
        <v>2</v>
      </c>
      <c r="B8" s="529" t="s">
        <v>956</v>
      </c>
      <c r="C8" s="621">
        <v>22383.9</v>
      </c>
      <c r="D8" s="506">
        <f t="shared" si="9"/>
        <v>1833.1782000000003</v>
      </c>
      <c r="E8" s="530">
        <f t="shared" si="0"/>
        <v>111.91950000000001</v>
      </c>
      <c r="F8" s="506">
        <f t="shared" si="1"/>
        <v>4628.9905200000003</v>
      </c>
      <c r="G8" s="531">
        <f t="shared" si="10"/>
        <v>28957.988220000003</v>
      </c>
      <c r="H8" s="550">
        <f t="shared" si="2"/>
        <v>22383.9</v>
      </c>
      <c r="I8" s="551">
        <v>5132.4000000000005</v>
      </c>
      <c r="J8" s="551">
        <f t="shared" si="3"/>
        <v>27516.300000000003</v>
      </c>
      <c r="K8" s="551">
        <f t="shared" si="4"/>
        <v>2541.4494000000004</v>
      </c>
      <c r="L8" s="551">
        <f t="shared" si="5"/>
        <v>137.58150000000001</v>
      </c>
      <c r="M8" s="551">
        <f t="shared" si="6"/>
        <v>5690.3708400000005</v>
      </c>
      <c r="N8" s="551">
        <f t="shared" si="7"/>
        <v>35885.701740000004</v>
      </c>
      <c r="O8" s="507"/>
      <c r="P8" s="506" t="s">
        <v>957</v>
      </c>
      <c r="Q8" s="149" t="s">
        <v>958</v>
      </c>
      <c r="R8" s="521">
        <f>G12</f>
        <v>29541.911700000001</v>
      </c>
      <c r="S8" s="623">
        <v>1560</v>
      </c>
      <c r="T8" s="526">
        <f t="shared" si="8"/>
        <v>18.940000000000001</v>
      </c>
      <c r="U8" s="522">
        <v>0.35</v>
      </c>
      <c r="V8" s="522">
        <v>0.69</v>
      </c>
    </row>
    <row r="9" spans="1:22" x14ac:dyDescent="0.25">
      <c r="A9" s="545">
        <v>2</v>
      </c>
      <c r="B9" s="529" t="s">
        <v>959</v>
      </c>
      <c r="C9" s="621">
        <v>22383.9</v>
      </c>
      <c r="D9" s="506">
        <f t="shared" si="9"/>
        <v>1833.1782000000003</v>
      </c>
      <c r="E9" s="530">
        <f t="shared" si="0"/>
        <v>111.91950000000001</v>
      </c>
      <c r="F9" s="506">
        <f t="shared" si="1"/>
        <v>4628.9905200000003</v>
      </c>
      <c r="G9" s="531">
        <f t="shared" si="10"/>
        <v>28957.988220000003</v>
      </c>
      <c r="H9" s="550">
        <f t="shared" si="2"/>
        <v>22383.9</v>
      </c>
      <c r="I9" s="551">
        <v>5132.4000000000005</v>
      </c>
      <c r="J9" s="551">
        <f t="shared" si="3"/>
        <v>27516.300000000003</v>
      </c>
      <c r="K9" s="551">
        <f t="shared" si="4"/>
        <v>2541.4494000000004</v>
      </c>
      <c r="L9" s="551">
        <f t="shared" si="5"/>
        <v>137.58150000000001</v>
      </c>
      <c r="M9" s="551">
        <f t="shared" si="6"/>
        <v>5690.3708400000005</v>
      </c>
      <c r="N9" s="551">
        <f t="shared" si="7"/>
        <v>35885.701740000004</v>
      </c>
      <c r="O9" s="507"/>
      <c r="P9" s="506" t="s">
        <v>957</v>
      </c>
      <c r="Q9" s="149" t="s">
        <v>960</v>
      </c>
      <c r="R9" s="521">
        <f>G15</f>
        <v>31592.730330000006</v>
      </c>
      <c r="S9" s="623">
        <v>1560</v>
      </c>
      <c r="T9" s="526">
        <f t="shared" si="8"/>
        <v>20.25</v>
      </c>
      <c r="U9" s="522">
        <v>0.35</v>
      </c>
      <c r="V9" s="522">
        <v>0.69</v>
      </c>
    </row>
    <row r="10" spans="1:22" x14ac:dyDescent="0.25">
      <c r="A10" s="545">
        <v>2</v>
      </c>
      <c r="B10" s="529" t="s">
        <v>961</v>
      </c>
      <c r="C10" s="621">
        <v>22383.9</v>
      </c>
      <c r="D10" s="506">
        <f t="shared" si="9"/>
        <v>1833.1782000000003</v>
      </c>
      <c r="E10" s="530">
        <f t="shared" si="0"/>
        <v>111.91950000000001</v>
      </c>
      <c r="F10" s="506">
        <f t="shared" si="1"/>
        <v>4628.9905200000003</v>
      </c>
      <c r="G10" s="531">
        <f t="shared" si="10"/>
        <v>28957.988220000003</v>
      </c>
      <c r="H10" s="550">
        <f t="shared" si="2"/>
        <v>22383.9</v>
      </c>
      <c r="I10" s="551">
        <v>5132.4000000000005</v>
      </c>
      <c r="J10" s="551">
        <f t="shared" si="3"/>
        <v>27516.300000000003</v>
      </c>
      <c r="K10" s="551">
        <f t="shared" si="4"/>
        <v>2541.4494000000004</v>
      </c>
      <c r="L10" s="551">
        <f t="shared" si="5"/>
        <v>137.58150000000001</v>
      </c>
      <c r="M10" s="551">
        <f t="shared" si="6"/>
        <v>5690.3708400000005</v>
      </c>
      <c r="N10" s="551">
        <f t="shared" si="7"/>
        <v>35885.701740000004</v>
      </c>
      <c r="O10" s="507"/>
      <c r="P10" s="506" t="s">
        <v>957</v>
      </c>
      <c r="Q10" s="149" t="s">
        <v>962</v>
      </c>
      <c r="R10" s="521">
        <f>G18</f>
        <v>31592.730330000006</v>
      </c>
      <c r="S10" s="623">
        <v>1560</v>
      </c>
      <c r="T10" s="526">
        <f t="shared" si="8"/>
        <v>20.25</v>
      </c>
      <c r="U10" s="522">
        <v>0.35</v>
      </c>
      <c r="V10" s="522">
        <v>0.69</v>
      </c>
    </row>
    <row r="11" spans="1:22" x14ac:dyDescent="0.25">
      <c r="A11" s="545">
        <v>2</v>
      </c>
      <c r="B11" s="529" t="s">
        <v>963</v>
      </c>
      <c r="C11" s="621">
        <v>22383.9</v>
      </c>
      <c r="D11" s="506">
        <f t="shared" si="9"/>
        <v>1833.1782000000003</v>
      </c>
      <c r="E11" s="530">
        <f t="shared" si="0"/>
        <v>111.91950000000001</v>
      </c>
      <c r="F11" s="506">
        <f t="shared" si="1"/>
        <v>4628.9905200000003</v>
      </c>
      <c r="G11" s="531">
        <f t="shared" si="10"/>
        <v>28957.988220000003</v>
      </c>
      <c r="H11" s="550">
        <f t="shared" si="2"/>
        <v>22383.9</v>
      </c>
      <c r="I11" s="551">
        <v>5132.4000000000005</v>
      </c>
      <c r="J11" s="551">
        <f t="shared" si="3"/>
        <v>27516.300000000003</v>
      </c>
      <c r="K11" s="551">
        <f t="shared" si="4"/>
        <v>2541.4494000000004</v>
      </c>
      <c r="L11" s="551">
        <f t="shared" si="5"/>
        <v>137.58150000000001</v>
      </c>
      <c r="M11" s="551">
        <f t="shared" si="6"/>
        <v>5690.3708400000005</v>
      </c>
      <c r="N11" s="551">
        <f t="shared" si="7"/>
        <v>35885.701740000004</v>
      </c>
      <c r="O11" s="507"/>
      <c r="P11" s="506" t="s">
        <v>964</v>
      </c>
      <c r="Q11" s="149" t="s">
        <v>965</v>
      </c>
      <c r="R11" s="521">
        <f>G19</f>
        <v>32686.878210000003</v>
      </c>
      <c r="S11" s="623">
        <v>1560</v>
      </c>
      <c r="T11" s="526">
        <f t="shared" si="8"/>
        <v>20.95</v>
      </c>
      <c r="U11" s="522">
        <v>0.3</v>
      </c>
      <c r="V11" s="522">
        <v>0.6</v>
      </c>
    </row>
    <row r="12" spans="1:22" x14ac:dyDescent="0.25">
      <c r="A12" s="545">
        <v>3</v>
      </c>
      <c r="B12" s="529" t="s">
        <v>966</v>
      </c>
      <c r="C12" s="621">
        <v>22816.5</v>
      </c>
      <c r="D12" s="506">
        <f t="shared" si="9"/>
        <v>1892.8770000000002</v>
      </c>
      <c r="E12" s="530">
        <f t="shared" si="0"/>
        <v>114.0825</v>
      </c>
      <c r="F12" s="506">
        <f t="shared" si="1"/>
        <v>4718.4522000000006</v>
      </c>
      <c r="G12" s="531">
        <f t="shared" si="10"/>
        <v>29541.911700000001</v>
      </c>
      <c r="H12" s="550">
        <f t="shared" si="2"/>
        <v>22816.5</v>
      </c>
      <c r="I12" s="551">
        <v>5132.4000000000005</v>
      </c>
      <c r="J12" s="551">
        <f t="shared" si="3"/>
        <v>27948.9</v>
      </c>
      <c r="K12" s="551">
        <f t="shared" si="4"/>
        <v>2601.1482000000005</v>
      </c>
      <c r="L12" s="551">
        <f t="shared" si="5"/>
        <v>139.74450000000002</v>
      </c>
      <c r="M12" s="551">
        <f t="shared" si="6"/>
        <v>5779.8325200000008</v>
      </c>
      <c r="N12" s="551">
        <f t="shared" si="7"/>
        <v>36469.625220000002</v>
      </c>
      <c r="O12" s="507"/>
      <c r="P12" s="506" t="s">
        <v>964</v>
      </c>
      <c r="Q12" s="149" t="s">
        <v>967</v>
      </c>
      <c r="R12" s="521">
        <f>G22</f>
        <v>35993.415780000003</v>
      </c>
      <c r="S12" s="623">
        <v>1560</v>
      </c>
      <c r="T12" s="526">
        <f t="shared" si="8"/>
        <v>23.07</v>
      </c>
      <c r="U12" s="522">
        <v>0.3</v>
      </c>
      <c r="V12" s="522">
        <v>0.6</v>
      </c>
    </row>
    <row r="13" spans="1:22" x14ac:dyDescent="0.25">
      <c r="A13" s="545">
        <v>3</v>
      </c>
      <c r="B13" s="529" t="s">
        <v>968</v>
      </c>
      <c r="C13" s="621">
        <v>22816.5</v>
      </c>
      <c r="D13" s="506">
        <f t="shared" si="9"/>
        <v>1892.8770000000002</v>
      </c>
      <c r="E13" s="530">
        <f t="shared" si="0"/>
        <v>114.0825</v>
      </c>
      <c r="F13" s="506">
        <f t="shared" si="1"/>
        <v>4718.4522000000006</v>
      </c>
      <c r="G13" s="531">
        <f t="shared" si="10"/>
        <v>29541.911700000001</v>
      </c>
      <c r="H13" s="550">
        <f t="shared" si="2"/>
        <v>22816.5</v>
      </c>
      <c r="I13" s="551">
        <v>5132.4000000000005</v>
      </c>
      <c r="J13" s="551">
        <f t="shared" si="3"/>
        <v>27948.9</v>
      </c>
      <c r="K13" s="551">
        <f t="shared" si="4"/>
        <v>2601.1482000000005</v>
      </c>
      <c r="L13" s="551">
        <f t="shared" si="5"/>
        <v>139.74450000000002</v>
      </c>
      <c r="M13" s="551">
        <f t="shared" si="6"/>
        <v>5779.8325200000008</v>
      </c>
      <c r="N13" s="551">
        <f t="shared" si="7"/>
        <v>36469.625220000002</v>
      </c>
      <c r="O13" s="507"/>
      <c r="P13" s="506" t="s">
        <v>964</v>
      </c>
      <c r="Q13" s="149" t="s">
        <v>969</v>
      </c>
      <c r="R13" s="521">
        <f>G25</f>
        <v>35993.415780000003</v>
      </c>
      <c r="S13" s="623">
        <v>1560</v>
      </c>
      <c r="T13" s="526">
        <f t="shared" si="8"/>
        <v>23.07</v>
      </c>
      <c r="U13" s="522">
        <v>0.3</v>
      </c>
      <c r="V13" s="522">
        <v>0.6</v>
      </c>
    </row>
    <row r="14" spans="1:22" x14ac:dyDescent="0.25">
      <c r="A14" s="545">
        <v>3</v>
      </c>
      <c r="B14" s="529" t="s">
        <v>970</v>
      </c>
      <c r="C14" s="621">
        <v>24335.850000000002</v>
      </c>
      <c r="D14" s="506">
        <f t="shared" si="9"/>
        <v>2102.5473000000006</v>
      </c>
      <c r="E14" s="530">
        <f t="shared" si="0"/>
        <v>121.67925000000001</v>
      </c>
      <c r="F14" s="506">
        <f t="shared" si="1"/>
        <v>5032.6537800000006</v>
      </c>
      <c r="G14" s="531">
        <f t="shared" si="10"/>
        <v>31592.730330000006</v>
      </c>
      <c r="H14" s="550">
        <f t="shared" si="2"/>
        <v>24335.850000000002</v>
      </c>
      <c r="I14" s="551">
        <v>5132.4000000000005</v>
      </c>
      <c r="J14" s="551">
        <f t="shared" si="3"/>
        <v>29468.250000000004</v>
      </c>
      <c r="K14" s="551">
        <f t="shared" si="4"/>
        <v>2810.8185000000008</v>
      </c>
      <c r="L14" s="551">
        <f t="shared" si="5"/>
        <v>147.34125000000003</v>
      </c>
      <c r="M14" s="551">
        <f t="shared" si="6"/>
        <v>6094.0341000000008</v>
      </c>
      <c r="N14" s="551">
        <f t="shared" si="7"/>
        <v>38520.443850000011</v>
      </c>
      <c r="O14" s="507"/>
      <c r="P14" s="506" t="s">
        <v>971</v>
      </c>
      <c r="Q14" s="149" t="s">
        <v>972</v>
      </c>
      <c r="R14" s="521">
        <f>G26</f>
        <v>37088.980949999997</v>
      </c>
      <c r="S14" s="623">
        <v>1560</v>
      </c>
      <c r="T14" s="526">
        <f t="shared" si="8"/>
        <v>23.77</v>
      </c>
      <c r="U14" s="522">
        <v>0.3</v>
      </c>
      <c r="V14" s="522">
        <v>0.6</v>
      </c>
    </row>
    <row r="15" spans="1:22" x14ac:dyDescent="0.25">
      <c r="A15" s="545">
        <v>3</v>
      </c>
      <c r="B15" s="529" t="s">
        <v>973</v>
      </c>
      <c r="C15" s="621">
        <v>24335.850000000002</v>
      </c>
      <c r="D15" s="506">
        <f t="shared" si="9"/>
        <v>2102.5473000000006</v>
      </c>
      <c r="E15" s="530">
        <f t="shared" si="0"/>
        <v>121.67925000000001</v>
      </c>
      <c r="F15" s="506">
        <f t="shared" si="1"/>
        <v>5032.6537800000006</v>
      </c>
      <c r="G15" s="531">
        <f t="shared" si="10"/>
        <v>31592.730330000006</v>
      </c>
      <c r="H15" s="550">
        <f t="shared" si="2"/>
        <v>24335.850000000002</v>
      </c>
      <c r="I15" s="551">
        <v>5132.4000000000005</v>
      </c>
      <c r="J15" s="551">
        <f t="shared" si="3"/>
        <v>29468.250000000004</v>
      </c>
      <c r="K15" s="551">
        <f t="shared" si="4"/>
        <v>2810.8185000000008</v>
      </c>
      <c r="L15" s="551">
        <f t="shared" si="5"/>
        <v>147.34125000000003</v>
      </c>
      <c r="M15" s="551">
        <f t="shared" si="6"/>
        <v>6094.0341000000008</v>
      </c>
      <c r="N15" s="551">
        <f t="shared" si="7"/>
        <v>38520.443850000011</v>
      </c>
      <c r="O15" s="507"/>
      <c r="P15" s="506" t="s">
        <v>971</v>
      </c>
      <c r="Q15" s="149" t="s">
        <v>974</v>
      </c>
      <c r="R15" s="521">
        <f>G29</f>
        <v>40100.722199999997</v>
      </c>
      <c r="S15" s="623">
        <v>1560</v>
      </c>
      <c r="T15" s="526">
        <f t="shared" si="8"/>
        <v>25.71</v>
      </c>
      <c r="U15" s="522">
        <v>0.3</v>
      </c>
      <c r="V15" s="522">
        <v>0.6</v>
      </c>
    </row>
    <row r="16" spans="1:22" x14ac:dyDescent="0.25">
      <c r="A16" s="545">
        <v>3</v>
      </c>
      <c r="B16" s="529" t="s">
        <v>975</v>
      </c>
      <c r="C16" s="621">
        <v>24335.850000000002</v>
      </c>
      <c r="D16" s="506">
        <f t="shared" si="9"/>
        <v>2102.5473000000006</v>
      </c>
      <c r="E16" s="530">
        <f t="shared" si="0"/>
        <v>121.67925000000001</v>
      </c>
      <c r="F16" s="506">
        <f t="shared" si="1"/>
        <v>5032.6537800000006</v>
      </c>
      <c r="G16" s="531">
        <f t="shared" si="10"/>
        <v>31592.730330000006</v>
      </c>
      <c r="H16" s="550">
        <f t="shared" si="2"/>
        <v>24335.850000000002</v>
      </c>
      <c r="I16" s="551">
        <v>5132.4000000000005</v>
      </c>
      <c r="J16" s="551">
        <f t="shared" si="3"/>
        <v>29468.250000000004</v>
      </c>
      <c r="K16" s="551">
        <f t="shared" si="4"/>
        <v>2810.8185000000008</v>
      </c>
      <c r="L16" s="551">
        <f t="shared" si="5"/>
        <v>147.34125000000003</v>
      </c>
      <c r="M16" s="551">
        <f t="shared" si="6"/>
        <v>6094.0341000000008</v>
      </c>
      <c r="N16" s="551">
        <f t="shared" si="7"/>
        <v>38520.443850000011</v>
      </c>
      <c r="O16" s="507"/>
      <c r="P16" s="506" t="s">
        <v>971</v>
      </c>
      <c r="Q16" s="149" t="s">
        <v>976</v>
      </c>
      <c r="R16" s="521">
        <f>G33</f>
        <v>45421.22886000001</v>
      </c>
      <c r="S16" s="623">
        <v>1560</v>
      </c>
      <c r="T16" s="526">
        <f t="shared" si="8"/>
        <v>29.12</v>
      </c>
      <c r="U16" s="522">
        <v>0.3</v>
      </c>
      <c r="V16" s="522">
        <v>0.6</v>
      </c>
    </row>
    <row r="17" spans="1:22" x14ac:dyDescent="0.25">
      <c r="A17" s="545">
        <v>3</v>
      </c>
      <c r="B17" s="529" t="s">
        <v>977</v>
      </c>
      <c r="C17" s="621">
        <v>24335.850000000002</v>
      </c>
      <c r="D17" s="506">
        <f t="shared" si="9"/>
        <v>2102.5473000000006</v>
      </c>
      <c r="E17" s="530">
        <f t="shared" si="0"/>
        <v>121.67925000000001</v>
      </c>
      <c r="F17" s="506">
        <f t="shared" si="1"/>
        <v>5032.6537800000006</v>
      </c>
      <c r="G17" s="531">
        <f t="shared" si="10"/>
        <v>31592.730330000006</v>
      </c>
      <c r="H17" s="550">
        <f t="shared" si="2"/>
        <v>24335.850000000002</v>
      </c>
      <c r="I17" s="551">
        <v>5132.4000000000005</v>
      </c>
      <c r="J17" s="551">
        <f t="shared" si="3"/>
        <v>29468.250000000004</v>
      </c>
      <c r="K17" s="551">
        <f t="shared" si="4"/>
        <v>2810.8185000000008</v>
      </c>
      <c r="L17" s="551">
        <f t="shared" si="5"/>
        <v>147.34125000000003</v>
      </c>
      <c r="M17" s="551">
        <f t="shared" si="6"/>
        <v>6094.0341000000008</v>
      </c>
      <c r="N17" s="551">
        <f t="shared" si="7"/>
        <v>38520.443850000011</v>
      </c>
      <c r="O17" s="507"/>
      <c r="P17" s="506" t="s">
        <v>978</v>
      </c>
      <c r="Q17" s="149" t="s">
        <v>979</v>
      </c>
      <c r="R17" s="521">
        <f>G34</f>
        <v>46515.37674</v>
      </c>
      <c r="S17" s="623">
        <v>1560</v>
      </c>
      <c r="T17" s="526">
        <f t="shared" si="8"/>
        <v>29.82</v>
      </c>
      <c r="U17" s="522">
        <v>0.3</v>
      </c>
      <c r="V17" s="522">
        <v>0.6</v>
      </c>
    </row>
    <row r="18" spans="1:22" x14ac:dyDescent="0.25">
      <c r="A18" s="545">
        <v>3</v>
      </c>
      <c r="B18" s="529" t="s">
        <v>980</v>
      </c>
      <c r="C18" s="621">
        <v>24335.850000000002</v>
      </c>
      <c r="D18" s="506">
        <f t="shared" si="9"/>
        <v>2102.5473000000006</v>
      </c>
      <c r="E18" s="530">
        <f t="shared" si="0"/>
        <v>121.67925000000001</v>
      </c>
      <c r="F18" s="506">
        <f t="shared" si="1"/>
        <v>5032.6537800000006</v>
      </c>
      <c r="G18" s="531">
        <f t="shared" si="10"/>
        <v>31592.730330000006</v>
      </c>
      <c r="H18" s="550">
        <f t="shared" si="2"/>
        <v>24335.850000000002</v>
      </c>
      <c r="I18" s="551">
        <v>5132.4000000000005</v>
      </c>
      <c r="J18" s="551">
        <f t="shared" si="3"/>
        <v>29468.250000000004</v>
      </c>
      <c r="K18" s="551">
        <f t="shared" si="4"/>
        <v>2810.8185000000008</v>
      </c>
      <c r="L18" s="551">
        <f t="shared" si="5"/>
        <v>147.34125000000003</v>
      </c>
      <c r="M18" s="551">
        <f t="shared" si="6"/>
        <v>6094.0341000000008</v>
      </c>
      <c r="N18" s="551">
        <f t="shared" si="7"/>
        <v>38520.443850000011</v>
      </c>
      <c r="O18" s="507"/>
      <c r="P18" s="506" t="s">
        <v>978</v>
      </c>
      <c r="Q18" s="149" t="s">
        <v>758</v>
      </c>
      <c r="R18" s="521">
        <f>G38</f>
        <v>49160.039879999989</v>
      </c>
      <c r="S18" s="623">
        <v>1560</v>
      </c>
      <c r="T18" s="526">
        <f t="shared" si="8"/>
        <v>31.51</v>
      </c>
      <c r="U18" s="522">
        <v>0.3</v>
      </c>
      <c r="V18" s="522">
        <v>0.6</v>
      </c>
    </row>
    <row r="19" spans="1:22" x14ac:dyDescent="0.25">
      <c r="A19" s="545">
        <v>4</v>
      </c>
      <c r="B19" s="529" t="s">
        <v>981</v>
      </c>
      <c r="C19" s="621">
        <v>25146.45</v>
      </c>
      <c r="D19" s="506">
        <f t="shared" si="9"/>
        <v>2214.4101000000005</v>
      </c>
      <c r="E19" s="530">
        <f t="shared" si="0"/>
        <v>125.73225000000001</v>
      </c>
      <c r="F19" s="506">
        <f t="shared" si="1"/>
        <v>5200.2858600000009</v>
      </c>
      <c r="G19" s="531">
        <f t="shared" si="10"/>
        <v>32686.878210000003</v>
      </c>
      <c r="H19" s="550">
        <f t="shared" si="2"/>
        <v>25146.45</v>
      </c>
      <c r="I19" s="551">
        <v>5132.4000000000005</v>
      </c>
      <c r="J19" s="551">
        <f t="shared" si="3"/>
        <v>30278.850000000002</v>
      </c>
      <c r="K19" s="551">
        <f t="shared" si="4"/>
        <v>2922.6813000000006</v>
      </c>
      <c r="L19" s="551">
        <f t="shared" si="5"/>
        <v>151.39425000000003</v>
      </c>
      <c r="M19" s="551">
        <f t="shared" si="6"/>
        <v>6261.6661800000011</v>
      </c>
      <c r="N19" s="551">
        <f t="shared" si="7"/>
        <v>39614.59173</v>
      </c>
      <c r="O19" s="507"/>
      <c r="P19" s="506" t="s">
        <v>978</v>
      </c>
      <c r="Q19" s="149" t="s">
        <v>982</v>
      </c>
      <c r="R19" s="521">
        <f>G42</f>
        <v>56269.166519999999</v>
      </c>
      <c r="S19" s="623">
        <v>1560</v>
      </c>
      <c r="T19" s="526">
        <f t="shared" si="8"/>
        <v>36.07</v>
      </c>
      <c r="U19" s="522">
        <v>0.3</v>
      </c>
      <c r="V19" s="522">
        <v>0.6</v>
      </c>
    </row>
    <row r="20" spans="1:22" x14ac:dyDescent="0.25">
      <c r="A20" s="545">
        <v>4</v>
      </c>
      <c r="B20" s="529" t="s">
        <v>983</v>
      </c>
      <c r="C20" s="621">
        <v>25146.45</v>
      </c>
      <c r="D20" s="506">
        <f t="shared" si="9"/>
        <v>2214.4101000000005</v>
      </c>
      <c r="E20" s="530">
        <f t="shared" si="0"/>
        <v>125.73225000000001</v>
      </c>
      <c r="F20" s="506">
        <f t="shared" si="1"/>
        <v>5200.2858600000009</v>
      </c>
      <c r="G20" s="531">
        <f t="shared" si="10"/>
        <v>32686.878210000003</v>
      </c>
      <c r="H20" s="550">
        <f t="shared" si="2"/>
        <v>25146.45</v>
      </c>
      <c r="I20" s="551">
        <v>5132.4000000000005</v>
      </c>
      <c r="J20" s="551">
        <f t="shared" si="3"/>
        <v>30278.850000000002</v>
      </c>
      <c r="K20" s="551">
        <f t="shared" si="4"/>
        <v>2922.6813000000006</v>
      </c>
      <c r="L20" s="551">
        <f t="shared" si="5"/>
        <v>151.39425000000003</v>
      </c>
      <c r="M20" s="551">
        <f t="shared" si="6"/>
        <v>6261.6661800000011</v>
      </c>
      <c r="N20" s="551">
        <f t="shared" si="7"/>
        <v>39614.59173</v>
      </c>
      <c r="O20" s="507"/>
      <c r="P20" s="506" t="s">
        <v>984</v>
      </c>
      <c r="Q20" s="149" t="s">
        <v>985</v>
      </c>
      <c r="R20" s="521">
        <f>G43</f>
        <v>57787.084110000011</v>
      </c>
      <c r="S20" s="623">
        <v>1560</v>
      </c>
      <c r="T20" s="526">
        <f t="shared" si="8"/>
        <v>37.04</v>
      </c>
      <c r="U20" s="522">
        <v>0.3</v>
      </c>
      <c r="V20" s="522">
        <v>0.6</v>
      </c>
    </row>
    <row r="21" spans="1:22" x14ac:dyDescent="0.25">
      <c r="A21" s="545">
        <v>4</v>
      </c>
      <c r="B21" s="529" t="s">
        <v>986</v>
      </c>
      <c r="C21" s="621">
        <v>25146.45</v>
      </c>
      <c r="D21" s="506">
        <f t="shared" si="9"/>
        <v>2214.4101000000005</v>
      </c>
      <c r="E21" s="530">
        <f t="shared" si="0"/>
        <v>125.73225000000001</v>
      </c>
      <c r="F21" s="506">
        <f t="shared" si="1"/>
        <v>5200.2858600000009</v>
      </c>
      <c r="G21" s="531">
        <f t="shared" si="10"/>
        <v>32686.878210000003</v>
      </c>
      <c r="H21" s="550">
        <f t="shared" si="2"/>
        <v>25146.45</v>
      </c>
      <c r="I21" s="551">
        <v>5132.4000000000005</v>
      </c>
      <c r="J21" s="551">
        <f t="shared" si="3"/>
        <v>30278.850000000002</v>
      </c>
      <c r="K21" s="551">
        <f t="shared" si="4"/>
        <v>2922.6813000000006</v>
      </c>
      <c r="L21" s="551">
        <f t="shared" si="5"/>
        <v>151.39425000000003</v>
      </c>
      <c r="M21" s="551">
        <f t="shared" si="6"/>
        <v>6261.6661800000011</v>
      </c>
      <c r="N21" s="551">
        <f t="shared" si="7"/>
        <v>39614.59173</v>
      </c>
      <c r="O21" s="507"/>
      <c r="P21" s="506" t="s">
        <v>984</v>
      </c>
      <c r="Q21" s="149" t="s">
        <v>744</v>
      </c>
      <c r="R21" s="521">
        <f>G47</f>
        <v>60830.005740000008</v>
      </c>
      <c r="S21" s="623">
        <v>1560</v>
      </c>
      <c r="T21" s="526">
        <f t="shared" si="8"/>
        <v>38.99</v>
      </c>
      <c r="U21" s="522">
        <v>0.3</v>
      </c>
      <c r="V21" s="522">
        <v>0.6</v>
      </c>
    </row>
    <row r="22" spans="1:22" x14ac:dyDescent="0.25">
      <c r="A22" s="545">
        <v>4</v>
      </c>
      <c r="B22" s="529" t="s">
        <v>987</v>
      </c>
      <c r="C22" s="621">
        <v>27596.100000000002</v>
      </c>
      <c r="D22" s="506">
        <f t="shared" si="9"/>
        <v>2552.4618000000005</v>
      </c>
      <c r="E22" s="530">
        <f t="shared" si="0"/>
        <v>137.98050000000001</v>
      </c>
      <c r="F22" s="506">
        <f t="shared" si="1"/>
        <v>5706.8734800000011</v>
      </c>
      <c r="G22" s="531">
        <f t="shared" si="10"/>
        <v>35993.415780000003</v>
      </c>
      <c r="H22" s="550">
        <f t="shared" si="2"/>
        <v>27596.100000000002</v>
      </c>
      <c r="I22" s="551">
        <v>5519.2200000000012</v>
      </c>
      <c r="J22" s="551">
        <f t="shared" si="3"/>
        <v>33115.320000000007</v>
      </c>
      <c r="K22" s="551">
        <f t="shared" si="4"/>
        <v>3314.1141600000014</v>
      </c>
      <c r="L22" s="551">
        <f t="shared" si="5"/>
        <v>165.57660000000004</v>
      </c>
      <c r="M22" s="551">
        <f t="shared" si="6"/>
        <v>6848.2481760000019</v>
      </c>
      <c r="N22" s="551">
        <f t="shared" si="7"/>
        <v>43443.258936000013</v>
      </c>
      <c r="O22" s="507"/>
      <c r="P22" s="506" t="s">
        <v>984</v>
      </c>
      <c r="Q22" s="149" t="s">
        <v>988</v>
      </c>
      <c r="R22" s="521">
        <f>G51</f>
        <v>66309.248879999999</v>
      </c>
      <c r="S22" s="623">
        <v>1560</v>
      </c>
      <c r="T22" s="526">
        <f t="shared" si="8"/>
        <v>42.51</v>
      </c>
      <c r="U22" s="522">
        <v>0.3</v>
      </c>
      <c r="V22" s="522">
        <v>0.6</v>
      </c>
    </row>
    <row r="23" spans="1:22" x14ac:dyDescent="0.25">
      <c r="A23" s="545">
        <v>4</v>
      </c>
      <c r="B23" s="529" t="s">
        <v>989</v>
      </c>
      <c r="C23" s="621">
        <v>27596.100000000002</v>
      </c>
      <c r="D23" s="506">
        <f t="shared" si="9"/>
        <v>2552.4618000000005</v>
      </c>
      <c r="E23" s="530">
        <f t="shared" si="0"/>
        <v>137.98050000000001</v>
      </c>
      <c r="F23" s="506">
        <f t="shared" si="1"/>
        <v>5706.8734800000011</v>
      </c>
      <c r="G23" s="531">
        <f t="shared" si="10"/>
        <v>35993.415780000003</v>
      </c>
      <c r="H23" s="550">
        <f t="shared" si="2"/>
        <v>27596.100000000002</v>
      </c>
      <c r="I23" s="551">
        <v>5519.2200000000012</v>
      </c>
      <c r="J23" s="551">
        <f t="shared" si="3"/>
        <v>33115.320000000007</v>
      </c>
      <c r="K23" s="551">
        <f t="shared" si="4"/>
        <v>3314.1141600000014</v>
      </c>
      <c r="L23" s="551">
        <f t="shared" si="5"/>
        <v>165.57660000000004</v>
      </c>
      <c r="M23" s="551">
        <f t="shared" si="6"/>
        <v>6848.2481760000019</v>
      </c>
      <c r="N23" s="551">
        <f t="shared" si="7"/>
        <v>43443.258936000013</v>
      </c>
      <c r="O23" s="507"/>
      <c r="P23" s="506" t="s">
        <v>990</v>
      </c>
      <c r="Q23" s="149" t="s">
        <v>991</v>
      </c>
      <c r="R23" s="521">
        <f>G52</f>
        <v>67519.61454000001</v>
      </c>
      <c r="S23" s="623">
        <v>1560</v>
      </c>
      <c r="T23" s="526">
        <f t="shared" si="8"/>
        <v>43.28</v>
      </c>
      <c r="U23" s="522">
        <v>0.3</v>
      </c>
      <c r="V23" s="522">
        <v>0.6</v>
      </c>
    </row>
    <row r="24" spans="1:22" x14ac:dyDescent="0.25">
      <c r="A24" s="545">
        <v>4</v>
      </c>
      <c r="B24" s="529" t="s">
        <v>992</v>
      </c>
      <c r="C24" s="621">
        <v>27596.100000000002</v>
      </c>
      <c r="D24" s="506">
        <f t="shared" si="9"/>
        <v>2552.4618000000005</v>
      </c>
      <c r="E24" s="530">
        <f t="shared" si="0"/>
        <v>137.98050000000001</v>
      </c>
      <c r="F24" s="506">
        <f t="shared" si="1"/>
        <v>5706.8734800000011</v>
      </c>
      <c r="G24" s="531">
        <f t="shared" si="10"/>
        <v>35993.415780000003</v>
      </c>
      <c r="H24" s="550">
        <f t="shared" si="2"/>
        <v>27596.100000000002</v>
      </c>
      <c r="I24" s="551">
        <v>5519.2200000000012</v>
      </c>
      <c r="J24" s="551">
        <f t="shared" si="3"/>
        <v>33115.320000000007</v>
      </c>
      <c r="K24" s="551">
        <f t="shared" si="4"/>
        <v>3314.1141600000014</v>
      </c>
      <c r="L24" s="551">
        <f t="shared" si="5"/>
        <v>165.57660000000004</v>
      </c>
      <c r="M24" s="551">
        <f t="shared" si="6"/>
        <v>6848.2481760000019</v>
      </c>
      <c r="N24" s="551">
        <f t="shared" si="7"/>
        <v>43443.258936000013</v>
      </c>
      <c r="O24" s="507"/>
      <c r="P24" s="506" t="s">
        <v>990</v>
      </c>
      <c r="Q24" s="149" t="s">
        <v>752</v>
      </c>
      <c r="R24" s="521">
        <f>G54</f>
        <v>67519.61454000001</v>
      </c>
      <c r="S24" s="623">
        <v>1560</v>
      </c>
      <c r="T24" s="526">
        <f t="shared" si="8"/>
        <v>43.28</v>
      </c>
      <c r="U24" s="522">
        <v>0.3</v>
      </c>
      <c r="V24" s="522">
        <v>0.6</v>
      </c>
    </row>
    <row r="25" spans="1:22" x14ac:dyDescent="0.25">
      <c r="A25" s="545">
        <v>4</v>
      </c>
      <c r="B25" s="529" t="s">
        <v>993</v>
      </c>
      <c r="C25" s="621">
        <v>27596.100000000002</v>
      </c>
      <c r="D25" s="506">
        <f t="shared" si="9"/>
        <v>2552.4618000000005</v>
      </c>
      <c r="E25" s="530">
        <f t="shared" si="0"/>
        <v>137.98050000000001</v>
      </c>
      <c r="F25" s="506">
        <f t="shared" si="1"/>
        <v>5706.8734800000011</v>
      </c>
      <c r="G25" s="531">
        <f t="shared" si="10"/>
        <v>35993.415780000003</v>
      </c>
      <c r="H25" s="550">
        <f t="shared" si="2"/>
        <v>27596.100000000002</v>
      </c>
      <c r="I25" s="551">
        <v>5519.2200000000012</v>
      </c>
      <c r="J25" s="551">
        <f t="shared" si="3"/>
        <v>33115.320000000007</v>
      </c>
      <c r="K25" s="551">
        <f t="shared" si="4"/>
        <v>3314.1141600000014</v>
      </c>
      <c r="L25" s="551">
        <f t="shared" si="5"/>
        <v>165.57660000000004</v>
      </c>
      <c r="M25" s="551">
        <f t="shared" si="6"/>
        <v>6848.2481760000019</v>
      </c>
      <c r="N25" s="551">
        <f t="shared" si="7"/>
        <v>43443.258936000013</v>
      </c>
      <c r="O25" s="507"/>
      <c r="P25" s="506" t="s">
        <v>990</v>
      </c>
      <c r="Q25" s="149" t="s">
        <v>994</v>
      </c>
      <c r="R25" s="521">
        <f>G57</f>
        <v>76155.162510000009</v>
      </c>
      <c r="S25" s="623">
        <v>1560</v>
      </c>
      <c r="T25" s="526">
        <f t="shared" si="8"/>
        <v>48.82</v>
      </c>
      <c r="U25" s="522">
        <v>0.3</v>
      </c>
      <c r="V25" s="522">
        <v>0.6</v>
      </c>
    </row>
    <row r="26" spans="1:22" x14ac:dyDescent="0.25">
      <c r="A26" s="545">
        <v>5</v>
      </c>
      <c r="B26" s="529" t="s">
        <v>995</v>
      </c>
      <c r="C26" s="621">
        <v>28407.75</v>
      </c>
      <c r="D26" s="506">
        <f t="shared" si="9"/>
        <v>2664.4695000000002</v>
      </c>
      <c r="E26" s="530">
        <f t="shared" si="0"/>
        <v>142.03874999999999</v>
      </c>
      <c r="F26" s="506">
        <f t="shared" si="1"/>
        <v>5874.7227000000003</v>
      </c>
      <c r="G26" s="531">
        <f t="shared" si="10"/>
        <v>37088.980949999997</v>
      </c>
      <c r="H26" s="550">
        <f t="shared" si="2"/>
        <v>28407.75</v>
      </c>
      <c r="I26" s="551">
        <v>5681.55</v>
      </c>
      <c r="J26" s="551">
        <f t="shared" si="3"/>
        <v>34089.300000000003</v>
      </c>
      <c r="K26" s="551">
        <f t="shared" si="4"/>
        <v>3448.5234000000005</v>
      </c>
      <c r="L26" s="551">
        <f t="shared" si="5"/>
        <v>170.44650000000001</v>
      </c>
      <c r="M26" s="551">
        <f t="shared" si="6"/>
        <v>7049.6672400000007</v>
      </c>
      <c r="N26" s="551">
        <f t="shared" si="7"/>
        <v>44757.937140000002</v>
      </c>
      <c r="O26" s="507"/>
      <c r="P26" s="506" t="s">
        <v>996</v>
      </c>
      <c r="Q26" s="149" t="s">
        <v>997</v>
      </c>
      <c r="R26" s="521">
        <f>G58</f>
        <v>78344.875560000015</v>
      </c>
      <c r="S26" s="623">
        <v>1560</v>
      </c>
      <c r="T26" s="526">
        <f t="shared" si="8"/>
        <v>50.22</v>
      </c>
      <c r="U26" s="522">
        <v>0.3</v>
      </c>
      <c r="V26" s="522">
        <v>0.6</v>
      </c>
    </row>
    <row r="27" spans="1:22" x14ac:dyDescent="0.25">
      <c r="A27" s="545">
        <v>5</v>
      </c>
      <c r="B27" s="529" t="s">
        <v>998</v>
      </c>
      <c r="C27" s="621">
        <v>28407.75</v>
      </c>
      <c r="D27" s="506">
        <f t="shared" si="9"/>
        <v>2664.4695000000002</v>
      </c>
      <c r="E27" s="530">
        <f t="shared" si="0"/>
        <v>142.03874999999999</v>
      </c>
      <c r="F27" s="506">
        <f t="shared" si="1"/>
        <v>5874.7227000000003</v>
      </c>
      <c r="G27" s="531">
        <f t="shared" si="10"/>
        <v>37088.980949999997</v>
      </c>
      <c r="H27" s="550">
        <f t="shared" si="2"/>
        <v>28407.75</v>
      </c>
      <c r="I27" s="551">
        <v>5681.55</v>
      </c>
      <c r="J27" s="551">
        <f t="shared" si="3"/>
        <v>34089.300000000003</v>
      </c>
      <c r="K27" s="551">
        <f t="shared" si="4"/>
        <v>3448.5234000000005</v>
      </c>
      <c r="L27" s="551">
        <f t="shared" si="5"/>
        <v>170.44650000000001</v>
      </c>
      <c r="M27" s="551">
        <f t="shared" si="6"/>
        <v>7049.6672400000007</v>
      </c>
      <c r="N27" s="551">
        <f t="shared" si="7"/>
        <v>44757.937140000002</v>
      </c>
      <c r="O27" s="507"/>
      <c r="P27" s="506" t="s">
        <v>996</v>
      </c>
      <c r="Q27" s="149" t="s">
        <v>999</v>
      </c>
      <c r="R27" s="521">
        <f>G60</f>
        <v>78344.875560000015</v>
      </c>
      <c r="S27" s="623">
        <v>1560</v>
      </c>
      <c r="T27" s="526">
        <f t="shared" si="8"/>
        <v>50.22</v>
      </c>
      <c r="U27" s="522">
        <v>0.3</v>
      </c>
      <c r="V27" s="522">
        <v>0.6</v>
      </c>
    </row>
    <row r="28" spans="1:22" x14ac:dyDescent="0.25">
      <c r="A28" s="545">
        <v>5</v>
      </c>
      <c r="B28" s="529" t="s">
        <v>1000</v>
      </c>
      <c r="C28" s="621">
        <v>30639</v>
      </c>
      <c r="D28" s="506">
        <f t="shared" si="9"/>
        <v>2972.3820000000001</v>
      </c>
      <c r="E28" s="530">
        <f t="shared" si="0"/>
        <v>153.19499999999999</v>
      </c>
      <c r="F28" s="506">
        <f t="shared" si="1"/>
        <v>6336.1451999999999</v>
      </c>
      <c r="G28" s="531">
        <f t="shared" si="10"/>
        <v>40100.722199999997</v>
      </c>
      <c r="H28" s="550">
        <f t="shared" si="2"/>
        <v>30639</v>
      </c>
      <c r="I28" s="551">
        <v>6127.8</v>
      </c>
      <c r="J28" s="551">
        <f t="shared" si="3"/>
        <v>36766.800000000003</v>
      </c>
      <c r="K28" s="551">
        <f t="shared" si="4"/>
        <v>3818.0184000000008</v>
      </c>
      <c r="L28" s="551">
        <f t="shared" si="5"/>
        <v>183.83400000000003</v>
      </c>
      <c r="M28" s="551">
        <f t="shared" si="6"/>
        <v>7603.374240000001</v>
      </c>
      <c r="N28" s="551">
        <f t="shared" si="7"/>
        <v>48372.026640000011</v>
      </c>
      <c r="O28" s="507"/>
      <c r="P28" s="506" t="s">
        <v>996</v>
      </c>
      <c r="Q28" s="149" t="s">
        <v>1001</v>
      </c>
      <c r="R28" s="521">
        <f>G63</f>
        <v>91239.379980000012</v>
      </c>
      <c r="S28" s="623">
        <v>1560</v>
      </c>
      <c r="T28" s="526">
        <f t="shared" si="8"/>
        <v>58.49</v>
      </c>
      <c r="U28" s="522">
        <v>0.3</v>
      </c>
      <c r="V28" s="522">
        <v>0.6</v>
      </c>
    </row>
    <row r="29" spans="1:22" x14ac:dyDescent="0.25">
      <c r="A29" s="545">
        <v>5</v>
      </c>
      <c r="B29" s="529" t="s">
        <v>1002</v>
      </c>
      <c r="C29" s="621">
        <v>30639</v>
      </c>
      <c r="D29" s="506">
        <f t="shared" si="9"/>
        <v>2972.3820000000001</v>
      </c>
      <c r="E29" s="530">
        <f t="shared" si="0"/>
        <v>153.19499999999999</v>
      </c>
      <c r="F29" s="506">
        <f t="shared" si="1"/>
        <v>6336.1451999999999</v>
      </c>
      <c r="G29" s="531">
        <f t="shared" si="10"/>
        <v>40100.722199999997</v>
      </c>
      <c r="H29" s="550">
        <f t="shared" si="2"/>
        <v>30639</v>
      </c>
      <c r="I29" s="551">
        <v>6127.8</v>
      </c>
      <c r="J29" s="551">
        <f t="shared" si="3"/>
        <v>36766.800000000003</v>
      </c>
      <c r="K29" s="551">
        <f t="shared" si="4"/>
        <v>3818.0184000000008</v>
      </c>
      <c r="L29" s="551">
        <f t="shared" si="5"/>
        <v>183.83400000000003</v>
      </c>
      <c r="M29" s="551">
        <f t="shared" si="6"/>
        <v>7603.374240000001</v>
      </c>
      <c r="N29" s="551">
        <f t="shared" si="7"/>
        <v>48372.026640000011</v>
      </c>
      <c r="O29" s="507"/>
      <c r="P29" s="506" t="s">
        <v>1003</v>
      </c>
      <c r="Q29" s="149" t="s">
        <v>1004</v>
      </c>
      <c r="R29" s="521">
        <f>G64</f>
        <v>93793.336559999996</v>
      </c>
      <c r="S29" s="623">
        <v>1560</v>
      </c>
      <c r="T29" s="526">
        <f t="shared" si="8"/>
        <v>60.12</v>
      </c>
      <c r="U29" s="522">
        <v>0.3</v>
      </c>
      <c r="V29" s="522">
        <v>0.6</v>
      </c>
    </row>
    <row r="30" spans="1:22" x14ac:dyDescent="0.25">
      <c r="A30" s="545">
        <v>5</v>
      </c>
      <c r="B30" s="529" t="s">
        <v>1005</v>
      </c>
      <c r="C30" s="621">
        <v>34580.700000000004</v>
      </c>
      <c r="D30" s="506">
        <f t="shared" si="9"/>
        <v>3516.336600000001</v>
      </c>
      <c r="E30" s="530">
        <f t="shared" si="0"/>
        <v>172.90350000000004</v>
      </c>
      <c r="F30" s="506">
        <f t="shared" si="1"/>
        <v>7151.2887600000013</v>
      </c>
      <c r="G30" s="531">
        <f t="shared" si="10"/>
        <v>45421.22886000001</v>
      </c>
      <c r="H30" s="550">
        <f t="shared" si="2"/>
        <v>34580.700000000004</v>
      </c>
      <c r="I30" s="551">
        <v>6916.14</v>
      </c>
      <c r="J30" s="551">
        <f t="shared" si="3"/>
        <v>41496.840000000004</v>
      </c>
      <c r="K30" s="551">
        <f t="shared" si="4"/>
        <v>4470.7639200000012</v>
      </c>
      <c r="L30" s="551">
        <f t="shared" si="5"/>
        <v>207.48420000000002</v>
      </c>
      <c r="M30" s="551">
        <f t="shared" si="6"/>
        <v>8581.5465120000008</v>
      </c>
      <c r="N30" s="551">
        <f t="shared" si="7"/>
        <v>54756.634632000008</v>
      </c>
      <c r="O30" s="507"/>
      <c r="P30" s="506" t="s">
        <v>1003</v>
      </c>
      <c r="Q30" s="149" t="s">
        <v>1006</v>
      </c>
      <c r="R30" s="521">
        <f>G66</f>
        <v>93793.336559999996</v>
      </c>
      <c r="S30" s="623">
        <v>1560</v>
      </c>
      <c r="T30" s="526">
        <f t="shared" si="8"/>
        <v>60.12</v>
      </c>
      <c r="U30" s="522">
        <v>0.3</v>
      </c>
      <c r="V30" s="522">
        <v>0.6</v>
      </c>
    </row>
    <row r="31" spans="1:22" x14ac:dyDescent="0.25">
      <c r="A31" s="545">
        <v>5</v>
      </c>
      <c r="B31" s="529" t="s">
        <v>1007</v>
      </c>
      <c r="C31" s="621">
        <v>34580.700000000004</v>
      </c>
      <c r="D31" s="506">
        <f t="shared" si="9"/>
        <v>3516.336600000001</v>
      </c>
      <c r="E31" s="530">
        <f t="shared" si="0"/>
        <v>172.90350000000004</v>
      </c>
      <c r="F31" s="506">
        <f t="shared" si="1"/>
        <v>7151.2887600000013</v>
      </c>
      <c r="G31" s="531">
        <f t="shared" si="10"/>
        <v>45421.22886000001</v>
      </c>
      <c r="H31" s="550">
        <f t="shared" si="2"/>
        <v>34580.700000000004</v>
      </c>
      <c r="I31" s="551">
        <v>6916.14</v>
      </c>
      <c r="J31" s="551">
        <f t="shared" si="3"/>
        <v>41496.840000000004</v>
      </c>
      <c r="K31" s="551">
        <f t="shared" si="4"/>
        <v>4470.7639200000012</v>
      </c>
      <c r="L31" s="551">
        <f t="shared" si="5"/>
        <v>207.48420000000002</v>
      </c>
      <c r="M31" s="551">
        <f t="shared" si="6"/>
        <v>8581.5465120000008</v>
      </c>
      <c r="N31" s="551">
        <f t="shared" si="7"/>
        <v>54756.634632000008</v>
      </c>
      <c r="O31" s="507"/>
      <c r="P31" s="506" t="s">
        <v>1003</v>
      </c>
      <c r="Q31" s="149" t="s">
        <v>1008</v>
      </c>
      <c r="R31" s="521">
        <f>G69</f>
        <v>108263.86746000001</v>
      </c>
      <c r="S31" s="623">
        <v>1560</v>
      </c>
      <c r="T31" s="526">
        <f t="shared" si="8"/>
        <v>69.400000000000006</v>
      </c>
      <c r="U31" s="522">
        <v>0.3</v>
      </c>
      <c r="V31" s="522">
        <v>0.6</v>
      </c>
    </row>
    <row r="32" spans="1:22" x14ac:dyDescent="0.25">
      <c r="A32" s="545">
        <v>5</v>
      </c>
      <c r="B32" s="529" t="s">
        <v>1009</v>
      </c>
      <c r="C32" s="621">
        <v>34580.700000000004</v>
      </c>
      <c r="D32" s="506">
        <f t="shared" si="9"/>
        <v>3516.336600000001</v>
      </c>
      <c r="E32" s="530">
        <f t="shared" si="0"/>
        <v>172.90350000000004</v>
      </c>
      <c r="F32" s="506">
        <f t="shared" si="1"/>
        <v>7151.2887600000013</v>
      </c>
      <c r="G32" s="531">
        <f t="shared" si="10"/>
        <v>45421.22886000001</v>
      </c>
      <c r="H32" s="550">
        <f t="shared" si="2"/>
        <v>34580.700000000004</v>
      </c>
      <c r="I32" s="551">
        <v>6916.14</v>
      </c>
      <c r="J32" s="551">
        <f t="shared" si="3"/>
        <v>41496.840000000004</v>
      </c>
      <c r="K32" s="551">
        <f t="shared" si="4"/>
        <v>4470.7639200000012</v>
      </c>
      <c r="L32" s="551">
        <f t="shared" si="5"/>
        <v>207.48420000000002</v>
      </c>
      <c r="M32" s="551">
        <f t="shared" si="6"/>
        <v>8581.5465120000008</v>
      </c>
      <c r="N32" s="551">
        <f t="shared" si="7"/>
        <v>54756.634632000008</v>
      </c>
      <c r="O32" s="507"/>
      <c r="P32" s="506" t="s">
        <v>1010</v>
      </c>
      <c r="Q32" s="149" t="s">
        <v>1011</v>
      </c>
      <c r="R32" s="521">
        <f>G70</f>
        <v>111549.14568</v>
      </c>
      <c r="S32" s="623">
        <v>1560</v>
      </c>
      <c r="T32" s="526">
        <f t="shared" si="8"/>
        <v>71.510000000000005</v>
      </c>
      <c r="U32" s="522">
        <v>0.3</v>
      </c>
      <c r="V32" s="522">
        <v>0.6</v>
      </c>
    </row>
    <row r="33" spans="1:23" x14ac:dyDescent="0.25">
      <c r="A33" s="545">
        <v>5</v>
      </c>
      <c r="B33" s="529" t="s">
        <v>1012</v>
      </c>
      <c r="C33" s="621">
        <v>34580.700000000004</v>
      </c>
      <c r="D33" s="506">
        <f t="shared" si="9"/>
        <v>3516.336600000001</v>
      </c>
      <c r="E33" s="530">
        <f t="shared" si="0"/>
        <v>172.90350000000004</v>
      </c>
      <c r="F33" s="506">
        <f t="shared" si="1"/>
        <v>7151.2887600000013</v>
      </c>
      <c r="G33" s="531">
        <f t="shared" si="10"/>
        <v>45421.22886000001</v>
      </c>
      <c r="H33" s="550">
        <f t="shared" si="2"/>
        <v>34580.700000000004</v>
      </c>
      <c r="I33" s="551">
        <v>6916.14</v>
      </c>
      <c r="J33" s="551">
        <f t="shared" si="3"/>
        <v>41496.840000000004</v>
      </c>
      <c r="K33" s="551">
        <f t="shared" si="4"/>
        <v>4470.7639200000012</v>
      </c>
      <c r="L33" s="551">
        <f t="shared" si="5"/>
        <v>207.48420000000002</v>
      </c>
      <c r="M33" s="551">
        <f t="shared" si="6"/>
        <v>8581.5465120000008</v>
      </c>
      <c r="N33" s="551">
        <f t="shared" si="7"/>
        <v>54756.634632000008</v>
      </c>
      <c r="O33" s="507"/>
      <c r="P33" s="506" t="s">
        <v>1010</v>
      </c>
      <c r="Q33" s="149" t="s">
        <v>1013</v>
      </c>
      <c r="R33" s="521">
        <f>G72</f>
        <v>111549.14568</v>
      </c>
      <c r="S33" s="623">
        <v>1560</v>
      </c>
      <c r="T33" s="526">
        <f t="shared" si="8"/>
        <v>71.510000000000005</v>
      </c>
      <c r="U33" s="522">
        <v>0.3</v>
      </c>
      <c r="V33" s="522">
        <v>0.6</v>
      </c>
    </row>
    <row r="34" spans="1:23" x14ac:dyDescent="0.25">
      <c r="A34" s="545">
        <v>6</v>
      </c>
      <c r="B34" s="529" t="s">
        <v>1014</v>
      </c>
      <c r="C34" s="621">
        <v>35391.300000000003</v>
      </c>
      <c r="D34" s="506">
        <f t="shared" si="9"/>
        <v>3628.1994000000009</v>
      </c>
      <c r="E34" s="530">
        <f t="shared" si="0"/>
        <v>176.95650000000001</v>
      </c>
      <c r="F34" s="506">
        <f t="shared" si="1"/>
        <v>7318.9208400000007</v>
      </c>
      <c r="G34" s="531">
        <f t="shared" si="10"/>
        <v>46515.37674</v>
      </c>
      <c r="H34" s="550">
        <f t="shared" si="2"/>
        <v>35391.300000000003</v>
      </c>
      <c r="I34" s="551">
        <v>7078.2600000000011</v>
      </c>
      <c r="J34" s="551">
        <f t="shared" si="3"/>
        <v>42469.560000000005</v>
      </c>
      <c r="K34" s="551">
        <f t="shared" si="4"/>
        <v>4604.9992800000009</v>
      </c>
      <c r="L34" s="551">
        <f t="shared" si="5"/>
        <v>212.34780000000003</v>
      </c>
      <c r="M34" s="551">
        <f t="shared" si="6"/>
        <v>8782.7050080000008</v>
      </c>
      <c r="N34" s="551">
        <f t="shared" si="7"/>
        <v>56069.612088000009</v>
      </c>
      <c r="O34" s="507"/>
      <c r="P34" s="506" t="s">
        <v>1010</v>
      </c>
      <c r="Q34" s="149" t="s">
        <v>1015</v>
      </c>
      <c r="R34" s="521">
        <f>G75</f>
        <v>128832.99723000001</v>
      </c>
      <c r="S34" s="623">
        <v>1560</v>
      </c>
      <c r="T34" s="526">
        <f t="shared" si="8"/>
        <v>82.59</v>
      </c>
      <c r="U34" s="522">
        <v>0.3</v>
      </c>
      <c r="V34" s="522">
        <v>0.6</v>
      </c>
    </row>
    <row r="35" spans="1:23" x14ac:dyDescent="0.25">
      <c r="A35" s="545">
        <v>6</v>
      </c>
      <c r="B35" s="529" t="s">
        <v>1016</v>
      </c>
      <c r="C35" s="621">
        <v>35391.300000000003</v>
      </c>
      <c r="D35" s="506">
        <f t="shared" si="9"/>
        <v>3628.1994000000009</v>
      </c>
      <c r="E35" s="530">
        <f t="shared" si="0"/>
        <v>176.95650000000001</v>
      </c>
      <c r="F35" s="506">
        <f t="shared" si="1"/>
        <v>7318.9208400000007</v>
      </c>
      <c r="G35" s="531">
        <f t="shared" si="10"/>
        <v>46515.37674</v>
      </c>
      <c r="H35" s="550">
        <f t="shared" si="2"/>
        <v>35391.300000000003</v>
      </c>
      <c r="I35" s="551">
        <v>7078.2600000000011</v>
      </c>
      <c r="J35" s="551">
        <f t="shared" si="3"/>
        <v>42469.560000000005</v>
      </c>
      <c r="K35" s="551">
        <f t="shared" si="4"/>
        <v>4604.9992800000009</v>
      </c>
      <c r="L35" s="551">
        <f t="shared" si="5"/>
        <v>212.34780000000003</v>
      </c>
      <c r="M35" s="551">
        <f t="shared" si="6"/>
        <v>8782.7050080000008</v>
      </c>
      <c r="N35" s="551">
        <f t="shared" si="7"/>
        <v>56069.612088000009</v>
      </c>
      <c r="O35" s="507"/>
      <c r="P35" s="506" t="s">
        <v>1017</v>
      </c>
      <c r="Q35" s="149" t="s">
        <v>1018</v>
      </c>
      <c r="R35" s="521">
        <f>G76</f>
        <v>133578.08415000001</v>
      </c>
      <c r="S35" s="623">
        <v>1560</v>
      </c>
      <c r="T35" s="526">
        <f t="shared" si="8"/>
        <v>85.63</v>
      </c>
      <c r="U35" s="522">
        <v>0.3</v>
      </c>
      <c r="V35" s="522">
        <v>0.6</v>
      </c>
    </row>
    <row r="36" spans="1:23" x14ac:dyDescent="0.25">
      <c r="A36" s="545">
        <v>6</v>
      </c>
      <c r="B36" s="529" t="s">
        <v>1019</v>
      </c>
      <c r="C36" s="621">
        <v>37350.6</v>
      </c>
      <c r="D36" s="506">
        <f t="shared" si="9"/>
        <v>3898.5828000000001</v>
      </c>
      <c r="E36" s="530">
        <f t="shared" si="0"/>
        <v>186.75299999999999</v>
      </c>
      <c r="F36" s="506">
        <f t="shared" si="1"/>
        <v>7724.1040800000001</v>
      </c>
      <c r="G36" s="531">
        <f t="shared" si="10"/>
        <v>49160.039879999989</v>
      </c>
      <c r="H36" s="550">
        <f t="shared" si="2"/>
        <v>37350.6</v>
      </c>
      <c r="I36" s="551">
        <v>7470.1200000000008</v>
      </c>
      <c r="J36" s="551">
        <f t="shared" si="3"/>
        <v>44820.72</v>
      </c>
      <c r="K36" s="551">
        <f t="shared" si="4"/>
        <v>4929.4593600000007</v>
      </c>
      <c r="L36" s="551">
        <f t="shared" si="5"/>
        <v>224.1036</v>
      </c>
      <c r="M36" s="551">
        <f t="shared" si="6"/>
        <v>9268.9248960000004</v>
      </c>
      <c r="N36" s="551">
        <f t="shared" si="7"/>
        <v>59243.207856000008</v>
      </c>
      <c r="O36" s="507"/>
      <c r="P36" s="506" t="s">
        <v>1017</v>
      </c>
      <c r="Q36" s="149" t="s">
        <v>1020</v>
      </c>
      <c r="R36" s="521">
        <f>G78</f>
        <v>133578.08415000001</v>
      </c>
      <c r="S36" s="623">
        <v>1560</v>
      </c>
      <c r="T36" s="526">
        <f t="shared" si="8"/>
        <v>85.63</v>
      </c>
      <c r="U36" s="522">
        <v>0.3</v>
      </c>
      <c r="V36" s="522">
        <v>0.6</v>
      </c>
    </row>
    <row r="37" spans="1:23" x14ac:dyDescent="0.25">
      <c r="A37" s="545">
        <v>6</v>
      </c>
      <c r="B37" s="529" t="s">
        <v>1021</v>
      </c>
      <c r="C37" s="621">
        <v>37350.6</v>
      </c>
      <c r="D37" s="506">
        <f t="shared" ref="D37:D68" si="11">(C37-$B$110)*0.138</f>
        <v>3898.5828000000001</v>
      </c>
      <c r="E37" s="530">
        <f t="shared" si="0"/>
        <v>186.75299999999999</v>
      </c>
      <c r="F37" s="506">
        <f t="shared" si="1"/>
        <v>7724.1040800000001</v>
      </c>
      <c r="G37" s="531">
        <f t="shared" si="10"/>
        <v>49160.039879999989</v>
      </c>
      <c r="H37" s="550">
        <f t="shared" si="2"/>
        <v>37350.6</v>
      </c>
      <c r="I37" s="551">
        <v>7470.1200000000008</v>
      </c>
      <c r="J37" s="551">
        <f t="shared" si="3"/>
        <v>44820.72</v>
      </c>
      <c r="K37" s="551">
        <f t="shared" ref="K37:K68" si="12">(J37-$B$110)*0.138</f>
        <v>4929.4593600000007</v>
      </c>
      <c r="L37" s="551">
        <f t="shared" si="5"/>
        <v>224.1036</v>
      </c>
      <c r="M37" s="551">
        <f t="shared" si="6"/>
        <v>9268.9248960000004</v>
      </c>
      <c r="N37" s="551">
        <f t="shared" si="7"/>
        <v>59243.207856000008</v>
      </c>
      <c r="O37" s="507"/>
      <c r="P37" s="506" t="s">
        <v>1017</v>
      </c>
      <c r="Q37" s="149" t="s">
        <v>1022</v>
      </c>
      <c r="R37" s="521">
        <f>G81</f>
        <v>153902.02275</v>
      </c>
      <c r="S37" s="623">
        <v>1560</v>
      </c>
      <c r="T37" s="526">
        <f t="shared" si="8"/>
        <v>98.66</v>
      </c>
      <c r="U37" s="522">
        <v>0.3</v>
      </c>
      <c r="V37" s="522">
        <v>0.6</v>
      </c>
    </row>
    <row r="38" spans="1:23" x14ac:dyDescent="0.25">
      <c r="A38" s="545">
        <v>6</v>
      </c>
      <c r="B38" s="529" t="s">
        <v>1023</v>
      </c>
      <c r="C38" s="621">
        <v>37350.6</v>
      </c>
      <c r="D38" s="506">
        <f t="shared" si="11"/>
        <v>3898.5828000000001</v>
      </c>
      <c r="E38" s="530">
        <f t="shared" si="0"/>
        <v>186.75299999999999</v>
      </c>
      <c r="F38" s="506">
        <f t="shared" si="1"/>
        <v>7724.1040800000001</v>
      </c>
      <c r="G38" s="531">
        <f t="shared" si="10"/>
        <v>49160.039879999989</v>
      </c>
      <c r="H38" s="550">
        <f t="shared" si="2"/>
        <v>37350.6</v>
      </c>
      <c r="I38" s="551">
        <v>7470.1200000000008</v>
      </c>
      <c r="J38" s="551">
        <f t="shared" si="3"/>
        <v>44820.72</v>
      </c>
      <c r="K38" s="551">
        <f t="shared" si="12"/>
        <v>4929.4593600000007</v>
      </c>
      <c r="L38" s="551">
        <f t="shared" si="5"/>
        <v>224.1036</v>
      </c>
      <c r="M38" s="551">
        <f t="shared" si="6"/>
        <v>9268.9248960000004</v>
      </c>
      <c r="N38" s="551">
        <f t="shared" si="7"/>
        <v>59243.207856000008</v>
      </c>
      <c r="O38" s="507"/>
      <c r="P38" s="506" t="s">
        <v>1024</v>
      </c>
      <c r="Q38" s="149" t="s">
        <v>1025</v>
      </c>
      <c r="R38" s="521">
        <f>G82</f>
        <v>118017.92720000001</v>
      </c>
      <c r="S38" s="623">
        <v>1376</v>
      </c>
      <c r="T38" s="526">
        <f t="shared" si="8"/>
        <v>85.77</v>
      </c>
      <c r="U38" s="523">
        <v>0</v>
      </c>
      <c r="V38" s="523">
        <v>0</v>
      </c>
    </row>
    <row r="39" spans="1:23" x14ac:dyDescent="0.25">
      <c r="A39" s="545">
        <v>6</v>
      </c>
      <c r="B39" s="529" t="s">
        <v>1026</v>
      </c>
      <c r="C39" s="621">
        <v>42617.4</v>
      </c>
      <c r="D39" s="506">
        <f t="shared" si="11"/>
        <v>4625.4012000000002</v>
      </c>
      <c r="E39" s="530">
        <f t="shared" si="0"/>
        <v>213.08700000000002</v>
      </c>
      <c r="F39" s="506">
        <f t="shared" si="1"/>
        <v>8813.2783200000013</v>
      </c>
      <c r="G39" s="531">
        <f t="shared" si="10"/>
        <v>56269.166519999999</v>
      </c>
      <c r="H39" s="550">
        <f t="shared" si="2"/>
        <v>42617.4</v>
      </c>
      <c r="I39" s="551">
        <v>7745.85</v>
      </c>
      <c r="J39" s="551">
        <f t="shared" si="3"/>
        <v>50363.25</v>
      </c>
      <c r="K39" s="551">
        <f t="shared" si="12"/>
        <v>5694.3285000000005</v>
      </c>
      <c r="L39" s="551">
        <f t="shared" si="5"/>
        <v>251.81625</v>
      </c>
      <c r="M39" s="551">
        <f t="shared" si="6"/>
        <v>10415.1201</v>
      </c>
      <c r="N39" s="551">
        <f t="shared" si="7"/>
        <v>66724.514850000007</v>
      </c>
      <c r="O39" s="507"/>
      <c r="P39" s="506" t="s">
        <v>1024</v>
      </c>
      <c r="Q39" s="149" t="s">
        <v>739</v>
      </c>
      <c r="R39" s="521">
        <f>G91</f>
        <v>141817.60079999999</v>
      </c>
      <c r="S39" s="623">
        <v>1376</v>
      </c>
      <c r="T39" s="526">
        <f t="shared" si="8"/>
        <v>103.07</v>
      </c>
      <c r="U39" s="523">
        <v>0</v>
      </c>
      <c r="V39" s="523">
        <v>0</v>
      </c>
    </row>
    <row r="40" spans="1:23" x14ac:dyDescent="0.25">
      <c r="A40" s="545">
        <v>6</v>
      </c>
      <c r="B40" s="529" t="s">
        <v>1027</v>
      </c>
      <c r="C40" s="621">
        <v>42617.4</v>
      </c>
      <c r="D40" s="506">
        <f t="shared" si="11"/>
        <v>4625.4012000000002</v>
      </c>
      <c r="E40" s="530">
        <f t="shared" si="0"/>
        <v>213.08700000000002</v>
      </c>
      <c r="F40" s="506">
        <f t="shared" si="1"/>
        <v>8813.2783200000013</v>
      </c>
      <c r="G40" s="531">
        <f t="shared" si="10"/>
        <v>56269.166519999999</v>
      </c>
      <c r="H40" s="550">
        <f t="shared" si="2"/>
        <v>42617.4</v>
      </c>
      <c r="I40" s="551">
        <v>7745.85</v>
      </c>
      <c r="J40" s="551">
        <f t="shared" si="3"/>
        <v>50363.25</v>
      </c>
      <c r="K40" s="551">
        <f t="shared" si="12"/>
        <v>5694.3285000000005</v>
      </c>
      <c r="L40" s="551">
        <f t="shared" si="5"/>
        <v>251.81625</v>
      </c>
      <c r="M40" s="551">
        <f t="shared" si="6"/>
        <v>10415.1201</v>
      </c>
      <c r="N40" s="551">
        <f t="shared" si="7"/>
        <v>66724.514850000007</v>
      </c>
      <c r="O40" s="507"/>
      <c r="P40" s="506" t="s">
        <v>1024</v>
      </c>
      <c r="Q40" s="149" t="s">
        <v>1028</v>
      </c>
      <c r="R40" s="521">
        <f>G100</f>
        <v>159549.92340000003</v>
      </c>
      <c r="S40" s="623">
        <v>1376</v>
      </c>
      <c r="T40" s="526">
        <f t="shared" si="8"/>
        <v>115.95</v>
      </c>
      <c r="U40" s="523">
        <v>0</v>
      </c>
      <c r="V40" s="523">
        <v>0</v>
      </c>
    </row>
    <row r="41" spans="1:23" x14ac:dyDescent="0.25">
      <c r="A41" s="545">
        <v>6</v>
      </c>
      <c r="B41" s="529" t="s">
        <v>1029</v>
      </c>
      <c r="C41" s="621">
        <v>42617.4</v>
      </c>
      <c r="D41" s="506">
        <f t="shared" si="11"/>
        <v>4625.4012000000002</v>
      </c>
      <c r="E41" s="530">
        <f t="shared" si="0"/>
        <v>213.08700000000002</v>
      </c>
      <c r="F41" s="506">
        <f t="shared" si="1"/>
        <v>8813.2783200000013</v>
      </c>
      <c r="G41" s="531">
        <f t="shared" si="10"/>
        <v>56269.166519999999</v>
      </c>
      <c r="H41" s="550">
        <f t="shared" si="2"/>
        <v>42617.4</v>
      </c>
      <c r="I41" s="551">
        <v>7745.85</v>
      </c>
      <c r="J41" s="551">
        <f t="shared" si="3"/>
        <v>50363.25</v>
      </c>
      <c r="K41" s="551">
        <f t="shared" si="12"/>
        <v>5694.3285000000005</v>
      </c>
      <c r="L41" s="551">
        <f t="shared" si="5"/>
        <v>251.81625</v>
      </c>
      <c r="M41" s="551">
        <f t="shared" si="6"/>
        <v>10415.1201</v>
      </c>
      <c r="N41" s="551">
        <f t="shared" si="7"/>
        <v>66724.514850000007</v>
      </c>
      <c r="O41" s="507"/>
      <c r="P41" s="506" t="s">
        <v>1030</v>
      </c>
      <c r="Q41" s="149" t="s">
        <v>1031</v>
      </c>
      <c r="R41" s="521">
        <f>E105</f>
        <v>205803.51999999999</v>
      </c>
      <c r="S41" s="623">
        <v>1287</v>
      </c>
      <c r="T41" s="526">
        <f t="shared" si="8"/>
        <v>159.91</v>
      </c>
      <c r="U41" s="523">
        <v>0</v>
      </c>
      <c r="V41" s="523">
        <v>0</v>
      </c>
    </row>
    <row r="42" spans="1:23" x14ac:dyDescent="0.25">
      <c r="A42" s="545">
        <v>6</v>
      </c>
      <c r="B42" s="529" t="s">
        <v>1032</v>
      </c>
      <c r="C42" s="621">
        <v>42617.4</v>
      </c>
      <c r="D42" s="506">
        <f t="shared" si="11"/>
        <v>4625.4012000000002</v>
      </c>
      <c r="E42" s="530">
        <f t="shared" si="0"/>
        <v>213.08700000000002</v>
      </c>
      <c r="F42" s="506">
        <f t="shared" si="1"/>
        <v>8813.2783200000013</v>
      </c>
      <c r="G42" s="531">
        <f t="shared" si="10"/>
        <v>56269.166519999999</v>
      </c>
      <c r="H42" s="550">
        <f t="shared" si="2"/>
        <v>42617.4</v>
      </c>
      <c r="I42" s="551">
        <v>7745.85</v>
      </c>
      <c r="J42" s="551">
        <f t="shared" si="3"/>
        <v>50363.25</v>
      </c>
      <c r="K42" s="551">
        <f t="shared" si="12"/>
        <v>5694.3285000000005</v>
      </c>
      <c r="L42" s="551">
        <f t="shared" si="5"/>
        <v>251.81625</v>
      </c>
      <c r="M42" s="551">
        <f t="shared" si="6"/>
        <v>10415.1201</v>
      </c>
      <c r="N42" s="551">
        <f t="shared" si="7"/>
        <v>66724.514850000007</v>
      </c>
      <c r="O42" s="507"/>
      <c r="P42" s="195"/>
      <c r="R42"/>
    </row>
    <row r="43" spans="1:23" x14ac:dyDescent="0.25">
      <c r="A43" s="545">
        <v>7</v>
      </c>
      <c r="B43" s="529" t="s">
        <v>1033</v>
      </c>
      <c r="C43" s="621">
        <v>43741.950000000004</v>
      </c>
      <c r="D43" s="506">
        <f t="shared" si="11"/>
        <v>4780.5891000000011</v>
      </c>
      <c r="E43" s="530">
        <f t="shared" si="0"/>
        <v>218.70975000000001</v>
      </c>
      <c r="F43" s="506">
        <f t="shared" si="1"/>
        <v>9045.8352600000017</v>
      </c>
      <c r="G43" s="531">
        <f t="shared" si="10"/>
        <v>57787.084110000011</v>
      </c>
      <c r="H43" s="550">
        <f t="shared" si="2"/>
        <v>43741.950000000004</v>
      </c>
      <c r="I43" s="551">
        <v>7745.85</v>
      </c>
      <c r="J43" s="551">
        <f t="shared" si="3"/>
        <v>51487.8</v>
      </c>
      <c r="K43" s="551">
        <f t="shared" si="12"/>
        <v>5849.5164000000013</v>
      </c>
      <c r="L43" s="551">
        <f t="shared" si="5"/>
        <v>257.43900000000002</v>
      </c>
      <c r="M43" s="551">
        <f>J43*0.2068</f>
        <v>10647.67704</v>
      </c>
      <c r="N43" s="551">
        <f t="shared" si="7"/>
        <v>68242.432440000004</v>
      </c>
      <c r="O43" s="507"/>
      <c r="P43" s="195"/>
      <c r="R43"/>
    </row>
    <row r="44" spans="1:23" x14ac:dyDescent="0.25">
      <c r="A44" s="545">
        <v>7</v>
      </c>
      <c r="B44" s="529" t="s">
        <v>1034</v>
      </c>
      <c r="C44" s="621">
        <v>43741.950000000004</v>
      </c>
      <c r="D44" s="506">
        <f t="shared" si="11"/>
        <v>4780.5891000000011</v>
      </c>
      <c r="E44" s="530">
        <f t="shared" si="0"/>
        <v>218.70975000000001</v>
      </c>
      <c r="F44" s="506">
        <f t="shared" si="1"/>
        <v>9045.8352600000017</v>
      </c>
      <c r="G44" s="531">
        <f t="shared" si="10"/>
        <v>57787.084110000011</v>
      </c>
      <c r="H44" s="550">
        <f t="shared" si="2"/>
        <v>43741.950000000004</v>
      </c>
      <c r="I44" s="551">
        <v>7745.85</v>
      </c>
      <c r="J44" s="551">
        <f t="shared" si="3"/>
        <v>51487.8</v>
      </c>
      <c r="K44" s="551">
        <f t="shared" si="12"/>
        <v>5849.5164000000013</v>
      </c>
      <c r="L44" s="551">
        <f t="shared" si="5"/>
        <v>257.43900000000002</v>
      </c>
      <c r="M44" s="551">
        <f t="shared" si="6"/>
        <v>10647.67704</v>
      </c>
      <c r="N44" s="551">
        <f t="shared" si="7"/>
        <v>68242.432440000004</v>
      </c>
      <c r="O44" s="507"/>
      <c r="P44" s="174"/>
      <c r="Q44" s="347"/>
      <c r="R44" s="608"/>
      <c r="S44" s="347"/>
      <c r="T44" s="347"/>
      <c r="U44" s="347"/>
      <c r="V44" s="159"/>
    </row>
    <row r="45" spans="1:23" x14ac:dyDescent="0.25">
      <c r="A45" s="545">
        <v>7</v>
      </c>
      <c r="B45" s="529" t="s">
        <v>1035</v>
      </c>
      <c r="C45" s="621">
        <v>45996.3</v>
      </c>
      <c r="D45" s="506">
        <f t="shared" si="11"/>
        <v>5091.6894000000011</v>
      </c>
      <c r="E45" s="530">
        <f t="shared" si="0"/>
        <v>229.98150000000001</v>
      </c>
      <c r="F45" s="506">
        <f t="shared" si="1"/>
        <v>9512.0348400000003</v>
      </c>
      <c r="G45" s="531">
        <f t="shared" si="10"/>
        <v>60830.005740000008</v>
      </c>
      <c r="H45" s="550">
        <f t="shared" si="2"/>
        <v>45996.3</v>
      </c>
      <c r="I45" s="551">
        <v>7745.85</v>
      </c>
      <c r="J45" s="551">
        <f t="shared" si="3"/>
        <v>53742.15</v>
      </c>
      <c r="K45" s="551">
        <f t="shared" si="12"/>
        <v>6160.6167000000005</v>
      </c>
      <c r="L45" s="551">
        <f t="shared" si="5"/>
        <v>268.71075000000002</v>
      </c>
      <c r="M45" s="551">
        <f t="shared" si="6"/>
        <v>11113.876620000001</v>
      </c>
      <c r="N45" s="551">
        <f t="shared" si="7"/>
        <v>71285.354070000001</v>
      </c>
      <c r="O45" s="507"/>
      <c r="P45" s="162" t="s">
        <v>1036</v>
      </c>
      <c r="W45" s="162"/>
    </row>
    <row r="46" spans="1:23" x14ac:dyDescent="0.25">
      <c r="A46" s="545">
        <v>7</v>
      </c>
      <c r="B46" s="529" t="s">
        <v>1037</v>
      </c>
      <c r="C46" s="621">
        <v>45996.3</v>
      </c>
      <c r="D46" s="506">
        <f t="shared" si="11"/>
        <v>5091.6894000000011</v>
      </c>
      <c r="E46" s="530">
        <f t="shared" si="0"/>
        <v>229.98150000000001</v>
      </c>
      <c r="F46" s="506">
        <f t="shared" si="1"/>
        <v>9512.0348400000003</v>
      </c>
      <c r="G46" s="531">
        <f t="shared" si="10"/>
        <v>60830.005740000008</v>
      </c>
      <c r="H46" s="550">
        <f t="shared" si="2"/>
        <v>45996.3</v>
      </c>
      <c r="I46" s="551">
        <v>7745.85</v>
      </c>
      <c r="J46" s="551">
        <f t="shared" si="3"/>
        <v>53742.15</v>
      </c>
      <c r="K46" s="551">
        <f t="shared" si="12"/>
        <v>6160.6167000000005</v>
      </c>
      <c r="L46" s="551">
        <f t="shared" si="5"/>
        <v>268.71075000000002</v>
      </c>
      <c r="M46" s="551">
        <f t="shared" si="6"/>
        <v>11113.876620000001</v>
      </c>
      <c r="N46" s="551">
        <f t="shared" si="7"/>
        <v>71285.354070000001</v>
      </c>
      <c r="O46" s="507"/>
      <c r="P46" s="162"/>
      <c r="W46" s="162"/>
    </row>
    <row r="47" spans="1:23" x14ac:dyDescent="0.25">
      <c r="A47" s="545">
        <v>7</v>
      </c>
      <c r="B47" s="529" t="s">
        <v>1038</v>
      </c>
      <c r="C47" s="621">
        <v>45996.3</v>
      </c>
      <c r="D47" s="506">
        <f t="shared" si="11"/>
        <v>5091.6894000000011</v>
      </c>
      <c r="E47" s="530">
        <f t="shared" si="0"/>
        <v>229.98150000000001</v>
      </c>
      <c r="F47" s="506">
        <f t="shared" si="1"/>
        <v>9512.0348400000003</v>
      </c>
      <c r="G47" s="531">
        <f t="shared" si="10"/>
        <v>60830.005740000008</v>
      </c>
      <c r="H47" s="550">
        <f t="shared" si="2"/>
        <v>45996.3</v>
      </c>
      <c r="I47" s="551">
        <v>7745.85</v>
      </c>
      <c r="J47" s="551">
        <f t="shared" si="3"/>
        <v>53742.15</v>
      </c>
      <c r="K47" s="551">
        <f t="shared" si="12"/>
        <v>6160.6167000000005</v>
      </c>
      <c r="L47" s="551">
        <f t="shared" si="5"/>
        <v>268.71075000000002</v>
      </c>
      <c r="M47" s="551">
        <f t="shared" si="6"/>
        <v>11113.876620000001</v>
      </c>
      <c r="N47" s="551">
        <f t="shared" si="7"/>
        <v>71285.354070000001</v>
      </c>
      <c r="O47" s="507"/>
      <c r="P47" s="609" t="s">
        <v>1039</v>
      </c>
      <c r="V47" s="161"/>
    </row>
    <row r="48" spans="1:23" x14ac:dyDescent="0.25">
      <c r="A48" s="545">
        <v>7</v>
      </c>
      <c r="B48" s="529" t="s">
        <v>1040</v>
      </c>
      <c r="C48" s="621">
        <v>50055.6</v>
      </c>
      <c r="D48" s="506">
        <f t="shared" si="11"/>
        <v>5651.8728000000001</v>
      </c>
      <c r="E48" s="530">
        <f t="shared" si="0"/>
        <v>250.27799999999999</v>
      </c>
      <c r="F48" s="506">
        <f t="shared" si="1"/>
        <v>10351.498079999999</v>
      </c>
      <c r="G48" s="531">
        <f t="shared" si="10"/>
        <v>66309.248879999999</v>
      </c>
      <c r="H48" s="550">
        <f t="shared" si="2"/>
        <v>50055.6</v>
      </c>
      <c r="I48" s="551">
        <v>7745.85</v>
      </c>
      <c r="J48" s="551">
        <f t="shared" si="3"/>
        <v>57801.45</v>
      </c>
      <c r="K48" s="551">
        <f t="shared" si="12"/>
        <v>6720.8001000000004</v>
      </c>
      <c r="L48" s="551">
        <f t="shared" si="5"/>
        <v>289.00725</v>
      </c>
      <c r="M48" s="551">
        <f t="shared" si="6"/>
        <v>11953.33986</v>
      </c>
      <c r="N48" s="551">
        <f t="shared" si="7"/>
        <v>76764.597210000007</v>
      </c>
      <c r="O48" s="507"/>
      <c r="P48" s="610" t="s">
        <v>1041</v>
      </c>
      <c r="U48">
        <v>260</v>
      </c>
      <c r="V48" s="161"/>
    </row>
    <row r="49" spans="1:22" x14ac:dyDescent="0.25">
      <c r="A49" s="545">
        <v>7</v>
      </c>
      <c r="B49" s="529" t="s">
        <v>1042</v>
      </c>
      <c r="C49" s="621">
        <v>50055.6</v>
      </c>
      <c r="D49" s="506">
        <f t="shared" si="11"/>
        <v>5651.8728000000001</v>
      </c>
      <c r="E49" s="530">
        <f t="shared" si="0"/>
        <v>250.27799999999999</v>
      </c>
      <c r="F49" s="506">
        <f t="shared" si="1"/>
        <v>10351.498079999999</v>
      </c>
      <c r="G49" s="531">
        <f t="shared" si="10"/>
        <v>66309.248879999999</v>
      </c>
      <c r="H49" s="550">
        <f t="shared" si="2"/>
        <v>50055.6</v>
      </c>
      <c r="I49" s="551">
        <v>7745.85</v>
      </c>
      <c r="J49" s="551">
        <f t="shared" si="3"/>
        <v>57801.45</v>
      </c>
      <c r="K49" s="551">
        <f t="shared" si="12"/>
        <v>6720.8001000000004</v>
      </c>
      <c r="L49" s="551">
        <f t="shared" si="5"/>
        <v>289.00725</v>
      </c>
      <c r="M49" s="551">
        <f t="shared" si="6"/>
        <v>11953.33986</v>
      </c>
      <c r="N49" s="551">
        <f t="shared" si="7"/>
        <v>76764.597210000007</v>
      </c>
      <c r="O49" s="507"/>
      <c r="P49" s="610" t="s">
        <v>1043</v>
      </c>
      <c r="U49">
        <v>-40</v>
      </c>
      <c r="V49" s="161"/>
    </row>
    <row r="50" spans="1:22" x14ac:dyDescent="0.25">
      <c r="A50" s="545">
        <v>7</v>
      </c>
      <c r="B50" s="529" t="s">
        <v>1044</v>
      </c>
      <c r="C50" s="621">
        <v>50055.6</v>
      </c>
      <c r="D50" s="506">
        <f t="shared" si="11"/>
        <v>5651.8728000000001</v>
      </c>
      <c r="E50" s="530">
        <f t="shared" si="0"/>
        <v>250.27799999999999</v>
      </c>
      <c r="F50" s="506">
        <f t="shared" si="1"/>
        <v>10351.498079999999</v>
      </c>
      <c r="G50" s="531">
        <f t="shared" si="10"/>
        <v>66309.248879999999</v>
      </c>
      <c r="H50" s="550">
        <f t="shared" si="2"/>
        <v>50055.6</v>
      </c>
      <c r="I50" s="551">
        <v>7745.85</v>
      </c>
      <c r="J50" s="551">
        <f t="shared" si="3"/>
        <v>57801.45</v>
      </c>
      <c r="K50" s="551">
        <f t="shared" si="12"/>
        <v>6720.8001000000004</v>
      </c>
      <c r="L50" s="551">
        <f t="shared" si="5"/>
        <v>289.00725</v>
      </c>
      <c r="M50" s="551">
        <f t="shared" si="6"/>
        <v>11953.33986</v>
      </c>
      <c r="N50" s="551">
        <f t="shared" si="7"/>
        <v>76764.597210000007</v>
      </c>
      <c r="O50" s="507"/>
      <c r="P50" s="610" t="s">
        <v>1045</v>
      </c>
      <c r="U50">
        <v>-2</v>
      </c>
      <c r="V50" s="161"/>
    </row>
    <row r="51" spans="1:22" x14ac:dyDescent="0.25">
      <c r="A51" s="545">
        <v>7</v>
      </c>
      <c r="B51" s="529" t="s">
        <v>1046</v>
      </c>
      <c r="C51" s="621">
        <v>50055.6</v>
      </c>
      <c r="D51" s="506">
        <f t="shared" si="11"/>
        <v>5651.8728000000001</v>
      </c>
      <c r="E51" s="530">
        <f t="shared" si="0"/>
        <v>250.27799999999999</v>
      </c>
      <c r="F51" s="506">
        <f t="shared" si="1"/>
        <v>10351.498079999999</v>
      </c>
      <c r="G51" s="531">
        <f t="shared" si="10"/>
        <v>66309.248879999999</v>
      </c>
      <c r="H51" s="550">
        <f t="shared" si="2"/>
        <v>50055.6</v>
      </c>
      <c r="I51" s="551">
        <v>7745.85</v>
      </c>
      <c r="J51" s="551">
        <f t="shared" si="3"/>
        <v>57801.45</v>
      </c>
      <c r="K51" s="551">
        <f t="shared" si="12"/>
        <v>6720.8001000000004</v>
      </c>
      <c r="L51" s="551">
        <f t="shared" si="5"/>
        <v>289.00725</v>
      </c>
      <c r="M51" s="551">
        <f t="shared" si="6"/>
        <v>11953.33986</v>
      </c>
      <c r="N51" s="551">
        <f t="shared" si="7"/>
        <v>76764.597210000007</v>
      </c>
      <c r="O51" s="507"/>
      <c r="P51" s="610" t="s">
        <v>1047</v>
      </c>
      <c r="U51">
        <v>-10</v>
      </c>
      <c r="V51" s="161"/>
    </row>
    <row r="52" spans="1:22" x14ac:dyDescent="0.25">
      <c r="A52" s="545" t="s">
        <v>1048</v>
      </c>
      <c r="B52" s="529" t="s">
        <v>1049</v>
      </c>
      <c r="C52" s="621">
        <v>50952.3</v>
      </c>
      <c r="D52" s="506">
        <f t="shared" si="11"/>
        <v>5775.617400000001</v>
      </c>
      <c r="E52" s="530">
        <f t="shared" si="0"/>
        <v>254.76150000000001</v>
      </c>
      <c r="F52" s="506">
        <f t="shared" si="1"/>
        <v>10536.935640000002</v>
      </c>
      <c r="G52" s="531">
        <f t="shared" si="10"/>
        <v>67519.61454000001</v>
      </c>
      <c r="H52" s="550">
        <f t="shared" si="2"/>
        <v>50952.3</v>
      </c>
      <c r="I52" s="551">
        <v>7745.85</v>
      </c>
      <c r="J52" s="551">
        <f t="shared" si="3"/>
        <v>58698.15</v>
      </c>
      <c r="K52" s="551">
        <f t="shared" si="12"/>
        <v>6844.5447000000004</v>
      </c>
      <c r="L52" s="551">
        <f t="shared" si="5"/>
        <v>293.49074999999999</v>
      </c>
      <c r="M52" s="551">
        <f t="shared" si="6"/>
        <v>12138.77742</v>
      </c>
      <c r="N52" s="551">
        <f t="shared" si="7"/>
        <v>77974.962870000003</v>
      </c>
      <c r="O52" s="507"/>
      <c r="P52" s="610"/>
      <c r="U52" s="347">
        <v>208</v>
      </c>
      <c r="V52" s="161"/>
    </row>
    <row r="53" spans="1:22" x14ac:dyDescent="0.25">
      <c r="A53" s="545" t="s">
        <v>1048</v>
      </c>
      <c r="B53" s="529" t="s">
        <v>1050</v>
      </c>
      <c r="C53" s="621">
        <v>50952.3</v>
      </c>
      <c r="D53" s="506">
        <f t="shared" si="11"/>
        <v>5775.617400000001</v>
      </c>
      <c r="E53" s="530">
        <f t="shared" si="0"/>
        <v>254.76150000000001</v>
      </c>
      <c r="F53" s="506">
        <f t="shared" si="1"/>
        <v>10536.935640000002</v>
      </c>
      <c r="G53" s="531">
        <f t="shared" si="10"/>
        <v>67519.61454000001</v>
      </c>
      <c r="H53" s="550">
        <f t="shared" si="2"/>
        <v>50952.3</v>
      </c>
      <c r="I53" s="551">
        <v>7745.85</v>
      </c>
      <c r="J53" s="551">
        <f t="shared" si="3"/>
        <v>58698.15</v>
      </c>
      <c r="K53" s="551">
        <f t="shared" si="12"/>
        <v>6844.5447000000004</v>
      </c>
      <c r="L53" s="551">
        <f t="shared" si="5"/>
        <v>293.49074999999999</v>
      </c>
      <c r="M53" s="551">
        <f t="shared" si="6"/>
        <v>12138.77742</v>
      </c>
      <c r="N53" s="551">
        <f t="shared" si="7"/>
        <v>77974.962870000003</v>
      </c>
      <c r="O53" s="507"/>
      <c r="P53" s="610" t="s">
        <v>1051</v>
      </c>
      <c r="U53" s="378">
        <f>7.5*U52</f>
        <v>1560</v>
      </c>
      <c r="V53" s="161"/>
    </row>
    <row r="54" spans="1:22" x14ac:dyDescent="0.25">
      <c r="A54" s="545" t="s">
        <v>1048</v>
      </c>
      <c r="B54" s="529" t="s">
        <v>1052</v>
      </c>
      <c r="C54" s="621">
        <v>50952.3</v>
      </c>
      <c r="D54" s="506">
        <f t="shared" si="11"/>
        <v>5775.617400000001</v>
      </c>
      <c r="E54" s="530">
        <f t="shared" si="0"/>
        <v>254.76150000000001</v>
      </c>
      <c r="F54" s="506">
        <f t="shared" si="1"/>
        <v>10536.935640000002</v>
      </c>
      <c r="G54" s="531">
        <f t="shared" si="10"/>
        <v>67519.61454000001</v>
      </c>
      <c r="H54" s="550">
        <f t="shared" si="2"/>
        <v>50952.3</v>
      </c>
      <c r="I54" s="551">
        <v>7745.85</v>
      </c>
      <c r="J54" s="551">
        <f t="shared" si="3"/>
        <v>58698.15</v>
      </c>
      <c r="K54" s="551">
        <f t="shared" si="12"/>
        <v>6844.5447000000004</v>
      </c>
      <c r="L54" s="551">
        <f t="shared" si="5"/>
        <v>293.49074999999999</v>
      </c>
      <c r="M54" s="551">
        <f t="shared" si="6"/>
        <v>12138.77742</v>
      </c>
      <c r="N54" s="551">
        <f t="shared" si="7"/>
        <v>77974.962870000003</v>
      </c>
      <c r="O54" s="507"/>
      <c r="P54" s="162"/>
      <c r="V54" s="161"/>
    </row>
    <row r="55" spans="1:22" x14ac:dyDescent="0.25">
      <c r="A55" s="545" t="s">
        <v>1048</v>
      </c>
      <c r="B55" s="529" t="s">
        <v>1053</v>
      </c>
      <c r="C55" s="621">
        <v>50952.3</v>
      </c>
      <c r="D55" s="506">
        <f t="shared" si="11"/>
        <v>5775.617400000001</v>
      </c>
      <c r="E55" s="530">
        <f t="shared" si="0"/>
        <v>254.76150000000001</v>
      </c>
      <c r="F55" s="506">
        <f t="shared" si="1"/>
        <v>10536.935640000002</v>
      </c>
      <c r="G55" s="531">
        <f t="shared" si="10"/>
        <v>67519.61454000001</v>
      </c>
      <c r="H55" s="550">
        <f t="shared" si="2"/>
        <v>50952.3</v>
      </c>
      <c r="I55" s="551">
        <v>7745.85</v>
      </c>
      <c r="J55" s="551">
        <f t="shared" si="3"/>
        <v>58698.15</v>
      </c>
      <c r="K55" s="551">
        <f t="shared" si="12"/>
        <v>6844.5447000000004</v>
      </c>
      <c r="L55" s="551">
        <f t="shared" si="5"/>
        <v>293.49074999999999</v>
      </c>
      <c r="M55" s="551">
        <f t="shared" si="6"/>
        <v>12138.77742</v>
      </c>
      <c r="N55" s="551">
        <f t="shared" si="7"/>
        <v>77974.962870000003</v>
      </c>
      <c r="O55" s="507"/>
      <c r="P55" s="610"/>
      <c r="V55" s="161"/>
    </row>
    <row r="56" spans="1:22" x14ac:dyDescent="0.25">
      <c r="A56" s="545" t="s">
        <v>1048</v>
      </c>
      <c r="B56" s="529" t="s">
        <v>1054</v>
      </c>
      <c r="C56" s="621">
        <v>50952.3</v>
      </c>
      <c r="D56" s="506">
        <f t="shared" si="11"/>
        <v>5775.617400000001</v>
      </c>
      <c r="E56" s="530">
        <f t="shared" si="0"/>
        <v>254.76150000000001</v>
      </c>
      <c r="F56" s="506">
        <f t="shared" si="1"/>
        <v>10536.935640000002</v>
      </c>
      <c r="G56" s="531">
        <f t="shared" si="10"/>
        <v>67519.61454000001</v>
      </c>
      <c r="H56" s="550">
        <f t="shared" si="2"/>
        <v>50952.3</v>
      </c>
      <c r="I56" s="551">
        <v>7745.85</v>
      </c>
      <c r="J56" s="551">
        <f t="shared" si="3"/>
        <v>58698.15</v>
      </c>
      <c r="K56" s="551">
        <f t="shared" si="12"/>
        <v>6844.5447000000004</v>
      </c>
      <c r="L56" s="551">
        <f t="shared" si="5"/>
        <v>293.49074999999999</v>
      </c>
      <c r="M56" s="551">
        <f t="shared" si="6"/>
        <v>12138.77742</v>
      </c>
      <c r="N56" s="551">
        <f t="shared" si="7"/>
        <v>77974.962870000003</v>
      </c>
      <c r="O56" s="507"/>
      <c r="P56" s="609" t="s">
        <v>1024</v>
      </c>
      <c r="V56" s="161"/>
    </row>
    <row r="57" spans="1:22" x14ac:dyDescent="0.25">
      <c r="A57" s="545" t="s">
        <v>1048</v>
      </c>
      <c r="B57" s="529" t="s">
        <v>1055</v>
      </c>
      <c r="C57" s="621">
        <v>57349.950000000004</v>
      </c>
      <c r="D57" s="506">
        <f t="shared" si="11"/>
        <v>6658.4931000000015</v>
      </c>
      <c r="E57" s="530">
        <f t="shared" si="0"/>
        <v>286.74975000000001</v>
      </c>
      <c r="F57" s="506">
        <f t="shared" si="1"/>
        <v>11859.969660000002</v>
      </c>
      <c r="G57" s="531">
        <f t="shared" si="10"/>
        <v>76155.162510000009</v>
      </c>
      <c r="H57" s="550">
        <f t="shared" si="2"/>
        <v>57349.950000000004</v>
      </c>
      <c r="I57" s="551">
        <v>7745.85</v>
      </c>
      <c r="J57" s="551">
        <f t="shared" si="3"/>
        <v>65095.8</v>
      </c>
      <c r="K57" s="551">
        <f t="shared" si="12"/>
        <v>7727.4204000000009</v>
      </c>
      <c r="L57" s="551">
        <f t="shared" si="5"/>
        <v>325.47900000000004</v>
      </c>
      <c r="M57" s="551">
        <f t="shared" si="6"/>
        <v>13461.811440000001</v>
      </c>
      <c r="N57" s="551">
        <f t="shared" si="7"/>
        <v>86610.510840000017</v>
      </c>
      <c r="O57" s="507"/>
      <c r="P57" s="610" t="s">
        <v>1056</v>
      </c>
      <c r="U57">
        <v>43</v>
      </c>
      <c r="V57" s="161"/>
    </row>
    <row r="58" spans="1:22" x14ac:dyDescent="0.25">
      <c r="A58" s="545" t="s">
        <v>1057</v>
      </c>
      <c r="B58" s="529" t="s">
        <v>1058</v>
      </c>
      <c r="C58" s="621">
        <v>58972.200000000004</v>
      </c>
      <c r="D58" s="506">
        <f t="shared" si="11"/>
        <v>6882.3636000000015</v>
      </c>
      <c r="E58" s="530">
        <f t="shared" si="0"/>
        <v>294.86100000000005</v>
      </c>
      <c r="F58" s="506">
        <f t="shared" si="1"/>
        <v>12195.450960000002</v>
      </c>
      <c r="G58" s="531">
        <f t="shared" si="10"/>
        <v>78344.875560000015</v>
      </c>
      <c r="H58" s="550">
        <f t="shared" si="2"/>
        <v>58972.200000000004</v>
      </c>
      <c r="I58" s="551">
        <v>7745.85</v>
      </c>
      <c r="J58" s="551">
        <f t="shared" si="3"/>
        <v>66718.05</v>
      </c>
      <c r="K58" s="551">
        <f t="shared" si="12"/>
        <v>7951.2909000000009</v>
      </c>
      <c r="L58" s="551">
        <f t="shared" si="5"/>
        <v>333.59025000000003</v>
      </c>
      <c r="M58" s="551">
        <f t="shared" si="6"/>
        <v>13797.292740000001</v>
      </c>
      <c r="N58" s="551">
        <f t="shared" si="7"/>
        <v>88800.223890000008</v>
      </c>
      <c r="O58" s="507"/>
      <c r="P58" s="610"/>
      <c r="V58" s="161"/>
    </row>
    <row r="59" spans="1:22" x14ac:dyDescent="0.25">
      <c r="A59" s="545" t="s">
        <v>1057</v>
      </c>
      <c r="B59" s="529" t="s">
        <v>1059</v>
      </c>
      <c r="C59" s="621">
        <v>58972.200000000004</v>
      </c>
      <c r="D59" s="506">
        <f t="shared" si="11"/>
        <v>6882.3636000000015</v>
      </c>
      <c r="E59" s="530">
        <f t="shared" si="0"/>
        <v>294.86100000000005</v>
      </c>
      <c r="F59" s="506">
        <f t="shared" si="1"/>
        <v>12195.450960000002</v>
      </c>
      <c r="G59" s="531">
        <f t="shared" si="10"/>
        <v>78344.875560000015</v>
      </c>
      <c r="H59" s="550">
        <f t="shared" si="2"/>
        <v>58972.200000000004</v>
      </c>
      <c r="I59" s="551">
        <v>7745.85</v>
      </c>
      <c r="J59" s="551">
        <f t="shared" si="3"/>
        <v>66718.05</v>
      </c>
      <c r="K59" s="551">
        <f t="shared" si="12"/>
        <v>7951.2909000000009</v>
      </c>
      <c r="L59" s="551">
        <f t="shared" si="5"/>
        <v>333.59025000000003</v>
      </c>
      <c r="M59" s="551">
        <f t="shared" si="6"/>
        <v>13797.292740000001</v>
      </c>
      <c r="N59" s="551">
        <f t="shared" si="7"/>
        <v>88800.223890000008</v>
      </c>
      <c r="O59" s="507"/>
      <c r="P59" s="610" t="s">
        <v>1060</v>
      </c>
      <c r="U59">
        <v>10</v>
      </c>
      <c r="V59" s="161"/>
    </row>
    <row r="60" spans="1:22" x14ac:dyDescent="0.25">
      <c r="A60" s="545" t="s">
        <v>1057</v>
      </c>
      <c r="B60" s="529" t="s">
        <v>1061</v>
      </c>
      <c r="C60" s="621">
        <v>58972.200000000004</v>
      </c>
      <c r="D60" s="506">
        <f t="shared" si="11"/>
        <v>6882.3636000000015</v>
      </c>
      <c r="E60" s="530">
        <f t="shared" si="0"/>
        <v>294.86100000000005</v>
      </c>
      <c r="F60" s="506">
        <f t="shared" si="1"/>
        <v>12195.450960000002</v>
      </c>
      <c r="G60" s="531">
        <f t="shared" si="10"/>
        <v>78344.875560000015</v>
      </c>
      <c r="H60" s="550">
        <f t="shared" si="2"/>
        <v>58972.200000000004</v>
      </c>
      <c r="I60" s="551">
        <v>7745.85</v>
      </c>
      <c r="J60" s="551">
        <f t="shared" si="3"/>
        <v>66718.05</v>
      </c>
      <c r="K60" s="551">
        <f t="shared" si="12"/>
        <v>7951.2909000000009</v>
      </c>
      <c r="L60" s="551">
        <f t="shared" si="5"/>
        <v>333.59025000000003</v>
      </c>
      <c r="M60" s="551">
        <f t="shared" si="6"/>
        <v>13797.292740000001</v>
      </c>
      <c r="N60" s="551">
        <f t="shared" si="7"/>
        <v>88800.223890000008</v>
      </c>
      <c r="O60" s="507"/>
      <c r="P60" s="610" t="s">
        <v>1062</v>
      </c>
      <c r="U60">
        <v>-2</v>
      </c>
      <c r="V60" s="161"/>
    </row>
    <row r="61" spans="1:22" x14ac:dyDescent="0.25">
      <c r="A61" s="545" t="s">
        <v>1057</v>
      </c>
      <c r="B61" s="529" t="s">
        <v>1063</v>
      </c>
      <c r="C61" s="621">
        <v>58972.200000000004</v>
      </c>
      <c r="D61" s="506">
        <f t="shared" si="11"/>
        <v>6882.3636000000015</v>
      </c>
      <c r="E61" s="530">
        <f t="shared" si="0"/>
        <v>294.86100000000005</v>
      </c>
      <c r="F61" s="506">
        <f t="shared" si="1"/>
        <v>12195.450960000002</v>
      </c>
      <c r="G61" s="531">
        <f t="shared" si="10"/>
        <v>78344.875560000015</v>
      </c>
      <c r="H61" s="550">
        <f t="shared" si="2"/>
        <v>58972.200000000004</v>
      </c>
      <c r="I61" s="551">
        <v>7745.85</v>
      </c>
      <c r="J61" s="551">
        <f t="shared" si="3"/>
        <v>66718.05</v>
      </c>
      <c r="K61" s="551">
        <f t="shared" si="12"/>
        <v>7951.2909000000009</v>
      </c>
      <c r="L61" s="551">
        <f t="shared" si="5"/>
        <v>333.59025000000003</v>
      </c>
      <c r="M61" s="551">
        <f t="shared" si="6"/>
        <v>13797.292740000001</v>
      </c>
      <c r="N61" s="551">
        <f t="shared" si="7"/>
        <v>88800.223890000008</v>
      </c>
      <c r="O61" s="507"/>
      <c r="P61" s="610"/>
      <c r="U61" s="347">
        <v>8</v>
      </c>
      <c r="V61" s="161"/>
    </row>
    <row r="62" spans="1:22" x14ac:dyDescent="0.25">
      <c r="A62" s="545" t="s">
        <v>1057</v>
      </c>
      <c r="B62" s="529" t="s">
        <v>1064</v>
      </c>
      <c r="C62" s="621">
        <v>58972.200000000004</v>
      </c>
      <c r="D62" s="506">
        <f t="shared" si="11"/>
        <v>6882.3636000000015</v>
      </c>
      <c r="E62" s="530">
        <f t="shared" si="0"/>
        <v>294.86100000000005</v>
      </c>
      <c r="F62" s="506">
        <f t="shared" si="1"/>
        <v>12195.450960000002</v>
      </c>
      <c r="G62" s="531">
        <f t="shared" si="10"/>
        <v>78344.875560000015</v>
      </c>
      <c r="H62" s="550">
        <f t="shared" si="2"/>
        <v>58972.200000000004</v>
      </c>
      <c r="I62" s="551">
        <v>7745.85</v>
      </c>
      <c r="J62" s="551">
        <f t="shared" si="3"/>
        <v>66718.05</v>
      </c>
      <c r="K62" s="551">
        <f t="shared" si="12"/>
        <v>7951.2909000000009</v>
      </c>
      <c r="L62" s="551">
        <f t="shared" si="5"/>
        <v>333.59025000000003</v>
      </c>
      <c r="M62" s="551">
        <f t="shared" si="6"/>
        <v>13797.292740000001</v>
      </c>
      <c r="N62" s="551">
        <f t="shared" si="7"/>
        <v>88800.223890000008</v>
      </c>
      <c r="O62" s="507"/>
      <c r="P62" s="610" t="s">
        <v>1065</v>
      </c>
      <c r="U62" s="378">
        <f>U61*4*U57</f>
        <v>1376</v>
      </c>
      <c r="V62" s="161"/>
    </row>
    <row r="63" spans="1:22" x14ac:dyDescent="0.25">
      <c r="A63" s="545" t="s">
        <v>1057</v>
      </c>
      <c r="B63" s="529" t="s">
        <v>1066</v>
      </c>
      <c r="C63" s="621">
        <v>68525.100000000006</v>
      </c>
      <c r="D63" s="506">
        <f t="shared" si="11"/>
        <v>8200.6638000000021</v>
      </c>
      <c r="E63" s="530">
        <f t="shared" si="0"/>
        <v>342.62550000000005</v>
      </c>
      <c r="F63" s="506">
        <f t="shared" si="1"/>
        <v>14170.990680000003</v>
      </c>
      <c r="G63" s="531">
        <f t="shared" si="10"/>
        <v>91239.379980000012</v>
      </c>
      <c r="H63" s="550">
        <f t="shared" si="2"/>
        <v>68525.100000000006</v>
      </c>
      <c r="I63" s="551">
        <v>7745.85</v>
      </c>
      <c r="J63" s="551">
        <f t="shared" si="3"/>
        <v>76270.950000000012</v>
      </c>
      <c r="K63" s="551">
        <f t="shared" si="12"/>
        <v>9269.5911000000033</v>
      </c>
      <c r="L63" s="551">
        <f t="shared" si="5"/>
        <v>381.35475000000008</v>
      </c>
      <c r="M63" s="551">
        <f t="shared" si="6"/>
        <v>15772.832460000003</v>
      </c>
      <c r="N63" s="551">
        <f t="shared" si="7"/>
        <v>101694.72831000002</v>
      </c>
      <c r="O63" s="507"/>
      <c r="P63" s="162"/>
      <c r="V63" s="161"/>
    </row>
    <row r="64" spans="1:22" x14ac:dyDescent="0.25">
      <c r="A64" s="545" t="s">
        <v>1067</v>
      </c>
      <c r="B64" s="529" t="s">
        <v>1068</v>
      </c>
      <c r="C64" s="621">
        <v>70417.2</v>
      </c>
      <c r="D64" s="506">
        <f t="shared" si="11"/>
        <v>8461.7736000000004</v>
      </c>
      <c r="E64" s="530">
        <f t="shared" si="0"/>
        <v>352.08600000000001</v>
      </c>
      <c r="F64" s="506">
        <f t="shared" si="1"/>
        <v>14562.276960000001</v>
      </c>
      <c r="G64" s="531">
        <f t="shared" si="10"/>
        <v>93793.336559999996</v>
      </c>
      <c r="H64" s="550">
        <f t="shared" si="2"/>
        <v>70417.2</v>
      </c>
      <c r="I64" s="551">
        <v>7745.85</v>
      </c>
      <c r="J64" s="551">
        <f t="shared" si="3"/>
        <v>78163.05</v>
      </c>
      <c r="K64" s="551">
        <f t="shared" si="12"/>
        <v>9530.7009000000016</v>
      </c>
      <c r="L64" s="551">
        <f t="shared" si="5"/>
        <v>390.81525000000005</v>
      </c>
      <c r="M64" s="551">
        <f t="shared" si="6"/>
        <v>16164.118740000002</v>
      </c>
      <c r="N64" s="551">
        <f t="shared" si="7"/>
        <v>104248.68489</v>
      </c>
      <c r="O64" s="507"/>
      <c r="P64" s="610"/>
      <c r="V64" s="161"/>
    </row>
    <row r="65" spans="1:22" x14ac:dyDescent="0.25">
      <c r="A65" s="545" t="s">
        <v>1067</v>
      </c>
      <c r="B65" s="529" t="s">
        <v>1069</v>
      </c>
      <c r="C65" s="621">
        <v>70417.2</v>
      </c>
      <c r="D65" s="506">
        <f t="shared" si="11"/>
        <v>8461.7736000000004</v>
      </c>
      <c r="E65" s="530">
        <f t="shared" si="0"/>
        <v>352.08600000000001</v>
      </c>
      <c r="F65" s="506">
        <f t="shared" si="1"/>
        <v>14562.276960000001</v>
      </c>
      <c r="G65" s="531">
        <f t="shared" si="10"/>
        <v>93793.336559999996</v>
      </c>
      <c r="H65" s="550">
        <f t="shared" si="2"/>
        <v>70417.2</v>
      </c>
      <c r="I65" s="551">
        <v>7745.85</v>
      </c>
      <c r="J65" s="551">
        <f t="shared" si="3"/>
        <v>78163.05</v>
      </c>
      <c r="K65" s="551">
        <f t="shared" si="12"/>
        <v>9530.7009000000016</v>
      </c>
      <c r="L65" s="551">
        <f t="shared" si="5"/>
        <v>390.81525000000005</v>
      </c>
      <c r="M65" s="551">
        <f t="shared" si="6"/>
        <v>16164.118740000002</v>
      </c>
      <c r="N65" s="551">
        <f t="shared" si="7"/>
        <v>104248.68489</v>
      </c>
      <c r="O65" s="507"/>
      <c r="P65" s="609" t="s">
        <v>1030</v>
      </c>
      <c r="V65" s="161"/>
    </row>
    <row r="66" spans="1:22" x14ac:dyDescent="0.25">
      <c r="A66" s="545" t="s">
        <v>1067</v>
      </c>
      <c r="B66" s="529" t="s">
        <v>1070</v>
      </c>
      <c r="C66" s="621">
        <v>70417.2</v>
      </c>
      <c r="D66" s="506">
        <f t="shared" si="11"/>
        <v>8461.7736000000004</v>
      </c>
      <c r="E66" s="530">
        <f t="shared" si="0"/>
        <v>352.08600000000001</v>
      </c>
      <c r="F66" s="506">
        <f t="shared" si="1"/>
        <v>14562.276960000001</v>
      </c>
      <c r="G66" s="531">
        <f t="shared" si="10"/>
        <v>93793.336559999996</v>
      </c>
      <c r="H66" s="550">
        <f t="shared" si="2"/>
        <v>70417.2</v>
      </c>
      <c r="I66" s="551">
        <v>7745.85</v>
      </c>
      <c r="J66" s="551">
        <f t="shared" si="3"/>
        <v>78163.05</v>
      </c>
      <c r="K66" s="551">
        <f t="shared" si="12"/>
        <v>9530.7009000000016</v>
      </c>
      <c r="L66" s="551">
        <f t="shared" si="5"/>
        <v>390.81525000000005</v>
      </c>
      <c r="M66" s="551">
        <f t="shared" si="6"/>
        <v>16164.118740000002</v>
      </c>
      <c r="N66" s="551">
        <f t="shared" si="7"/>
        <v>104248.68489</v>
      </c>
      <c r="O66" s="507"/>
      <c r="P66" s="610" t="s">
        <v>1071</v>
      </c>
      <c r="U66">
        <v>44.7</v>
      </c>
      <c r="V66" s="161"/>
    </row>
    <row r="67" spans="1:22" x14ac:dyDescent="0.25">
      <c r="A67" s="545" t="s">
        <v>1067</v>
      </c>
      <c r="B67" s="529" t="s">
        <v>1072</v>
      </c>
      <c r="C67" s="621">
        <v>70417.2</v>
      </c>
      <c r="D67" s="506">
        <f t="shared" si="11"/>
        <v>8461.7736000000004</v>
      </c>
      <c r="E67" s="530">
        <f t="shared" si="0"/>
        <v>352.08600000000001</v>
      </c>
      <c r="F67" s="506">
        <f t="shared" si="1"/>
        <v>14562.276960000001</v>
      </c>
      <c r="G67" s="531">
        <f t="shared" si="10"/>
        <v>93793.336559999996</v>
      </c>
      <c r="H67" s="550">
        <f t="shared" si="2"/>
        <v>70417.2</v>
      </c>
      <c r="I67" s="551">
        <v>7745.85</v>
      </c>
      <c r="J67" s="551">
        <f t="shared" si="3"/>
        <v>78163.05</v>
      </c>
      <c r="K67" s="551">
        <f t="shared" si="12"/>
        <v>9530.7009000000016</v>
      </c>
      <c r="L67" s="551">
        <f t="shared" si="5"/>
        <v>390.81525000000005</v>
      </c>
      <c r="M67" s="551">
        <f t="shared" si="6"/>
        <v>16164.118740000002</v>
      </c>
      <c r="N67" s="551">
        <f t="shared" si="7"/>
        <v>104248.68489</v>
      </c>
      <c r="O67" s="507"/>
      <c r="P67" s="610" t="s">
        <v>1073</v>
      </c>
      <c r="U67">
        <v>48</v>
      </c>
      <c r="V67" s="161"/>
    </row>
    <row r="68" spans="1:22" x14ac:dyDescent="0.25">
      <c r="A68" s="545" t="s">
        <v>1067</v>
      </c>
      <c r="B68" s="529" t="s">
        <v>1074</v>
      </c>
      <c r="C68" s="621">
        <v>70417.2</v>
      </c>
      <c r="D68" s="506">
        <f t="shared" si="11"/>
        <v>8461.7736000000004</v>
      </c>
      <c r="E68" s="530">
        <f t="shared" si="0"/>
        <v>352.08600000000001</v>
      </c>
      <c r="F68" s="506">
        <f t="shared" si="1"/>
        <v>14562.276960000001</v>
      </c>
      <c r="G68" s="531">
        <f t="shared" si="10"/>
        <v>93793.336559999996</v>
      </c>
      <c r="H68" s="550">
        <f t="shared" si="2"/>
        <v>70417.2</v>
      </c>
      <c r="I68" s="551">
        <v>7745.85</v>
      </c>
      <c r="J68" s="551">
        <f t="shared" si="3"/>
        <v>78163.05</v>
      </c>
      <c r="K68" s="551">
        <f t="shared" si="12"/>
        <v>9530.7009000000016</v>
      </c>
      <c r="L68" s="551">
        <f t="shared" si="5"/>
        <v>390.81525000000005</v>
      </c>
      <c r="M68" s="551">
        <f t="shared" si="6"/>
        <v>16164.118740000002</v>
      </c>
      <c r="N68" s="551">
        <f t="shared" si="7"/>
        <v>104248.68489</v>
      </c>
      <c r="O68" s="507"/>
      <c r="P68" s="610" t="s">
        <v>1075</v>
      </c>
      <c r="U68">
        <v>2145.6</v>
      </c>
      <c r="V68" s="161"/>
    </row>
    <row r="69" spans="1:22" x14ac:dyDescent="0.25">
      <c r="A69" s="545" t="s">
        <v>1067</v>
      </c>
      <c r="B69" s="529" t="s">
        <v>1076</v>
      </c>
      <c r="C69" s="621">
        <v>81137.7</v>
      </c>
      <c r="D69" s="506">
        <f t="shared" ref="D69:D100" si="13">(C69-$B$110)*0.138</f>
        <v>9941.2026000000005</v>
      </c>
      <c r="E69" s="530">
        <f t="shared" ref="E69:E100" si="14">C69*0.005</f>
        <v>405.68849999999998</v>
      </c>
      <c r="F69" s="506">
        <f t="shared" ref="F69:F100" si="15">C69*0.2068</f>
        <v>16779.27636</v>
      </c>
      <c r="G69" s="531">
        <f t="shared" ref="G69:G100" si="16">SUM(C69:F69)</f>
        <v>108263.86746000001</v>
      </c>
      <c r="H69" s="550">
        <f t="shared" ref="H69:H81" si="17">C69</f>
        <v>81137.7</v>
      </c>
      <c r="I69" s="551">
        <v>7745.85</v>
      </c>
      <c r="J69" s="551">
        <f t="shared" ref="J69:J81" si="18">C69+I69</f>
        <v>88883.55</v>
      </c>
      <c r="K69" s="551">
        <f t="shared" ref="K69:K81" si="19">(J69-$B$110)*0.138</f>
        <v>11010.129900000002</v>
      </c>
      <c r="L69" s="551">
        <f t="shared" ref="L69:L81" si="20">J69*0.005</f>
        <v>444.41775000000001</v>
      </c>
      <c r="M69" s="551">
        <f t="shared" ref="M69:M81" si="21">J69*0.2068</f>
        <v>18381.118140000002</v>
      </c>
      <c r="N69" s="551">
        <f t="shared" ref="N69:N81" si="22">SUM(J69:M69)</f>
        <v>118719.21579</v>
      </c>
      <c r="O69" s="507"/>
      <c r="P69" s="610" t="s">
        <v>1077</v>
      </c>
      <c r="U69" s="611">
        <v>0.6</v>
      </c>
      <c r="V69" s="161"/>
    </row>
    <row r="70" spans="1:22" x14ac:dyDescent="0.25">
      <c r="A70" s="545" t="s">
        <v>1078</v>
      </c>
      <c r="B70" s="529" t="s">
        <v>1079</v>
      </c>
      <c r="C70" s="621">
        <v>83571.600000000006</v>
      </c>
      <c r="D70" s="506">
        <f t="shared" si="13"/>
        <v>10277.080800000002</v>
      </c>
      <c r="E70" s="530">
        <f t="shared" si="14"/>
        <v>417.85800000000006</v>
      </c>
      <c r="F70" s="506">
        <f t="shared" si="15"/>
        <v>17282.606880000003</v>
      </c>
      <c r="G70" s="531">
        <f t="shared" si="16"/>
        <v>111549.14568</v>
      </c>
      <c r="H70" s="550">
        <f t="shared" si="17"/>
        <v>83571.600000000006</v>
      </c>
      <c r="I70" s="551">
        <v>7745.85</v>
      </c>
      <c r="J70" s="551">
        <f t="shared" si="18"/>
        <v>91317.450000000012</v>
      </c>
      <c r="K70" s="551">
        <f t="shared" si="19"/>
        <v>11346.008100000003</v>
      </c>
      <c r="L70" s="551">
        <f t="shared" si="20"/>
        <v>456.58725000000004</v>
      </c>
      <c r="M70" s="551">
        <f t="shared" si="21"/>
        <v>18884.448660000002</v>
      </c>
      <c r="N70" s="551">
        <f t="shared" si="22"/>
        <v>122004.49401000002</v>
      </c>
      <c r="O70" s="507"/>
      <c r="P70" s="610" t="s">
        <v>1080</v>
      </c>
      <c r="U70" s="607">
        <f>ROUND(U69*U68,0)</f>
        <v>1287</v>
      </c>
      <c r="V70" s="161"/>
    </row>
    <row r="71" spans="1:22" x14ac:dyDescent="0.25">
      <c r="A71" s="545" t="s">
        <v>1078</v>
      </c>
      <c r="B71" s="529" t="s">
        <v>1081</v>
      </c>
      <c r="C71" s="621">
        <v>83571.600000000006</v>
      </c>
      <c r="D71" s="506">
        <f t="shared" si="13"/>
        <v>10277.080800000002</v>
      </c>
      <c r="E71" s="530">
        <f t="shared" si="14"/>
        <v>417.85800000000006</v>
      </c>
      <c r="F71" s="506">
        <f t="shared" si="15"/>
        <v>17282.606880000003</v>
      </c>
      <c r="G71" s="531">
        <f t="shared" si="16"/>
        <v>111549.14568</v>
      </c>
      <c r="H71" s="550">
        <f t="shared" si="17"/>
        <v>83571.600000000006</v>
      </c>
      <c r="I71" s="551">
        <v>7745.85</v>
      </c>
      <c r="J71" s="551">
        <f t="shared" si="18"/>
        <v>91317.450000000012</v>
      </c>
      <c r="K71" s="551">
        <f t="shared" si="19"/>
        <v>11346.008100000003</v>
      </c>
      <c r="L71" s="551">
        <f t="shared" si="20"/>
        <v>456.58725000000004</v>
      </c>
      <c r="M71" s="551">
        <f t="shared" si="21"/>
        <v>18884.448660000002</v>
      </c>
      <c r="N71" s="551">
        <f t="shared" si="22"/>
        <v>122004.49401000002</v>
      </c>
      <c r="O71" s="507"/>
      <c r="P71" s="163"/>
      <c r="Q71" s="164"/>
      <c r="R71" s="612"/>
      <c r="S71" s="164"/>
      <c r="T71" s="164"/>
      <c r="U71" s="164"/>
      <c r="V71" s="165"/>
    </row>
    <row r="72" spans="1:22" x14ac:dyDescent="0.25">
      <c r="A72" s="545" t="s">
        <v>1078</v>
      </c>
      <c r="B72" s="529" t="s">
        <v>1082</v>
      </c>
      <c r="C72" s="621">
        <v>83571.600000000006</v>
      </c>
      <c r="D72" s="506">
        <f t="shared" si="13"/>
        <v>10277.080800000002</v>
      </c>
      <c r="E72" s="530">
        <f t="shared" si="14"/>
        <v>417.85800000000006</v>
      </c>
      <c r="F72" s="506">
        <f t="shared" si="15"/>
        <v>17282.606880000003</v>
      </c>
      <c r="G72" s="531">
        <f t="shared" si="16"/>
        <v>111549.14568</v>
      </c>
      <c r="H72" s="550">
        <f t="shared" si="17"/>
        <v>83571.600000000006</v>
      </c>
      <c r="I72" s="551">
        <v>7745.85</v>
      </c>
      <c r="J72" s="551">
        <f t="shared" si="18"/>
        <v>91317.450000000012</v>
      </c>
      <c r="K72" s="551">
        <f t="shared" si="19"/>
        <v>11346.008100000003</v>
      </c>
      <c r="L72" s="551">
        <f t="shared" si="20"/>
        <v>456.58725000000004</v>
      </c>
      <c r="M72" s="551">
        <f t="shared" si="21"/>
        <v>18884.448660000002</v>
      </c>
      <c r="N72" s="551">
        <f t="shared" si="22"/>
        <v>122004.49401000002</v>
      </c>
      <c r="O72" s="507"/>
      <c r="P72" s="507"/>
    </row>
    <row r="73" spans="1:22" x14ac:dyDescent="0.25">
      <c r="A73" s="545" t="s">
        <v>1078</v>
      </c>
      <c r="B73" s="529" t="s">
        <v>1083</v>
      </c>
      <c r="C73" s="621">
        <v>83571.600000000006</v>
      </c>
      <c r="D73" s="506">
        <f t="shared" si="13"/>
        <v>10277.080800000002</v>
      </c>
      <c r="E73" s="530">
        <f t="shared" si="14"/>
        <v>417.85800000000006</v>
      </c>
      <c r="F73" s="506">
        <f t="shared" si="15"/>
        <v>17282.606880000003</v>
      </c>
      <c r="G73" s="531">
        <f t="shared" si="16"/>
        <v>111549.14568</v>
      </c>
      <c r="H73" s="550">
        <f t="shared" si="17"/>
        <v>83571.600000000006</v>
      </c>
      <c r="I73" s="551">
        <v>7745.85</v>
      </c>
      <c r="J73" s="551">
        <f t="shared" si="18"/>
        <v>91317.450000000012</v>
      </c>
      <c r="K73" s="551">
        <f t="shared" si="19"/>
        <v>11346.008100000003</v>
      </c>
      <c r="L73" s="551">
        <f t="shared" si="20"/>
        <v>456.58725000000004</v>
      </c>
      <c r="M73" s="551">
        <f t="shared" si="21"/>
        <v>18884.448660000002</v>
      </c>
      <c r="N73" s="551">
        <f t="shared" si="22"/>
        <v>122004.49401000002</v>
      </c>
      <c r="O73" s="507"/>
      <c r="P73" s="507"/>
    </row>
    <row r="74" spans="1:22" x14ac:dyDescent="0.25">
      <c r="A74" s="545" t="s">
        <v>1078</v>
      </c>
      <c r="B74" s="529" t="s">
        <v>1084</v>
      </c>
      <c r="C74" s="621">
        <v>83571.600000000006</v>
      </c>
      <c r="D74" s="506">
        <f t="shared" si="13"/>
        <v>10277.080800000002</v>
      </c>
      <c r="E74" s="530">
        <f t="shared" si="14"/>
        <v>417.85800000000006</v>
      </c>
      <c r="F74" s="506">
        <f t="shared" si="15"/>
        <v>17282.606880000003</v>
      </c>
      <c r="G74" s="531">
        <f t="shared" si="16"/>
        <v>111549.14568</v>
      </c>
      <c r="H74" s="550">
        <f t="shared" si="17"/>
        <v>83571.600000000006</v>
      </c>
      <c r="I74" s="551">
        <v>7745.85</v>
      </c>
      <c r="J74" s="551">
        <f t="shared" si="18"/>
        <v>91317.450000000012</v>
      </c>
      <c r="K74" s="551">
        <f t="shared" si="19"/>
        <v>11346.008100000003</v>
      </c>
      <c r="L74" s="551">
        <f t="shared" si="20"/>
        <v>456.58725000000004</v>
      </c>
      <c r="M74" s="551">
        <f t="shared" si="21"/>
        <v>18884.448660000002</v>
      </c>
      <c r="N74" s="551">
        <f t="shared" si="22"/>
        <v>122004.49401000002</v>
      </c>
      <c r="O74" s="507"/>
      <c r="P74" s="507"/>
    </row>
    <row r="75" spans="1:22" x14ac:dyDescent="0.25">
      <c r="A75" s="545" t="s">
        <v>1078</v>
      </c>
      <c r="B75" s="529" t="s">
        <v>1085</v>
      </c>
      <c r="C75" s="621">
        <v>96376.35</v>
      </c>
      <c r="D75" s="506">
        <f t="shared" si="13"/>
        <v>12044.136300000002</v>
      </c>
      <c r="E75" s="530">
        <f t="shared" si="14"/>
        <v>481.88175000000001</v>
      </c>
      <c r="F75" s="506">
        <f t="shared" si="15"/>
        <v>19930.629180000004</v>
      </c>
      <c r="G75" s="531">
        <f t="shared" si="16"/>
        <v>128832.99723000001</v>
      </c>
      <c r="H75" s="550">
        <f t="shared" si="17"/>
        <v>96376.35</v>
      </c>
      <c r="I75" s="551">
        <v>7745.85</v>
      </c>
      <c r="J75" s="551">
        <f t="shared" si="18"/>
        <v>104122.20000000001</v>
      </c>
      <c r="K75" s="551">
        <f t="shared" si="19"/>
        <v>13113.063600000003</v>
      </c>
      <c r="L75" s="551">
        <f t="shared" si="20"/>
        <v>520.6110000000001</v>
      </c>
      <c r="M75" s="551">
        <f t="shared" si="21"/>
        <v>21532.470960000002</v>
      </c>
      <c r="N75" s="551">
        <f t="shared" si="22"/>
        <v>139288.34556000002</v>
      </c>
      <c r="O75" s="507"/>
      <c r="P75" s="507"/>
    </row>
    <row r="76" spans="1:22" x14ac:dyDescent="0.25">
      <c r="A76" s="545">
        <v>9</v>
      </c>
      <c r="B76" s="529" t="s">
        <v>1086</v>
      </c>
      <c r="C76" s="621">
        <v>99891.75</v>
      </c>
      <c r="D76" s="506">
        <f t="shared" si="13"/>
        <v>12529.261500000001</v>
      </c>
      <c r="E76" s="530">
        <f t="shared" si="14"/>
        <v>499.45875000000001</v>
      </c>
      <c r="F76" s="506">
        <f t="shared" si="15"/>
        <v>20657.6139</v>
      </c>
      <c r="G76" s="531">
        <f t="shared" si="16"/>
        <v>133578.08415000001</v>
      </c>
      <c r="H76" s="550">
        <f t="shared" si="17"/>
        <v>99891.75</v>
      </c>
      <c r="I76" s="551">
        <v>7745.85</v>
      </c>
      <c r="J76" s="551">
        <f t="shared" si="18"/>
        <v>107637.6</v>
      </c>
      <c r="K76" s="551">
        <f t="shared" si="19"/>
        <v>13598.188800000002</v>
      </c>
      <c r="L76" s="551">
        <f t="shared" si="20"/>
        <v>538.18799999999999</v>
      </c>
      <c r="M76" s="551">
        <f t="shared" si="21"/>
        <v>22259.455680000003</v>
      </c>
      <c r="N76" s="551">
        <f t="shared" si="22"/>
        <v>144033.43248000002</v>
      </c>
      <c r="O76" s="507"/>
      <c r="P76" s="507"/>
    </row>
    <row r="77" spans="1:22" x14ac:dyDescent="0.25">
      <c r="A77" s="545">
        <v>9</v>
      </c>
      <c r="B77" s="529" t="s">
        <v>1087</v>
      </c>
      <c r="C77" s="621">
        <v>99891.75</v>
      </c>
      <c r="D77" s="506">
        <f t="shared" si="13"/>
        <v>12529.261500000001</v>
      </c>
      <c r="E77" s="530">
        <f t="shared" si="14"/>
        <v>499.45875000000001</v>
      </c>
      <c r="F77" s="506">
        <f t="shared" si="15"/>
        <v>20657.6139</v>
      </c>
      <c r="G77" s="531">
        <f t="shared" si="16"/>
        <v>133578.08415000001</v>
      </c>
      <c r="H77" s="550">
        <f t="shared" si="17"/>
        <v>99891.75</v>
      </c>
      <c r="I77" s="551">
        <v>7745.85</v>
      </c>
      <c r="J77" s="551">
        <f t="shared" si="18"/>
        <v>107637.6</v>
      </c>
      <c r="K77" s="551">
        <f t="shared" si="19"/>
        <v>13598.188800000002</v>
      </c>
      <c r="L77" s="551">
        <f t="shared" si="20"/>
        <v>538.18799999999999</v>
      </c>
      <c r="M77" s="551">
        <f t="shared" si="21"/>
        <v>22259.455680000003</v>
      </c>
      <c r="N77" s="551">
        <f t="shared" si="22"/>
        <v>144033.43248000002</v>
      </c>
      <c r="O77" s="507"/>
      <c r="P77" s="507"/>
    </row>
    <row r="78" spans="1:22" x14ac:dyDescent="0.25">
      <c r="A78" s="545">
        <v>9</v>
      </c>
      <c r="B78" s="529" t="s">
        <v>1088</v>
      </c>
      <c r="C78" s="621">
        <v>99891.75</v>
      </c>
      <c r="D78" s="506">
        <f t="shared" si="13"/>
        <v>12529.261500000001</v>
      </c>
      <c r="E78" s="530">
        <f t="shared" si="14"/>
        <v>499.45875000000001</v>
      </c>
      <c r="F78" s="506">
        <f t="shared" si="15"/>
        <v>20657.6139</v>
      </c>
      <c r="G78" s="531">
        <f t="shared" si="16"/>
        <v>133578.08415000001</v>
      </c>
      <c r="H78" s="550">
        <f t="shared" si="17"/>
        <v>99891.75</v>
      </c>
      <c r="I78" s="551">
        <v>7745.85</v>
      </c>
      <c r="J78" s="551">
        <f t="shared" si="18"/>
        <v>107637.6</v>
      </c>
      <c r="K78" s="551">
        <f t="shared" si="19"/>
        <v>13598.188800000002</v>
      </c>
      <c r="L78" s="551">
        <f t="shared" si="20"/>
        <v>538.18799999999999</v>
      </c>
      <c r="M78" s="551">
        <f t="shared" si="21"/>
        <v>22259.455680000003</v>
      </c>
      <c r="N78" s="551">
        <f t="shared" si="22"/>
        <v>144033.43248000002</v>
      </c>
      <c r="O78" s="507"/>
      <c r="P78" s="507"/>
    </row>
    <row r="79" spans="1:22" x14ac:dyDescent="0.25">
      <c r="A79" s="545">
        <v>9</v>
      </c>
      <c r="B79" s="529" t="s">
        <v>1089</v>
      </c>
      <c r="C79" s="621">
        <v>99891.75</v>
      </c>
      <c r="D79" s="506">
        <f t="shared" si="13"/>
        <v>12529.261500000001</v>
      </c>
      <c r="E79" s="530">
        <f t="shared" si="14"/>
        <v>499.45875000000001</v>
      </c>
      <c r="F79" s="506">
        <f t="shared" si="15"/>
        <v>20657.6139</v>
      </c>
      <c r="G79" s="531">
        <f t="shared" si="16"/>
        <v>133578.08415000001</v>
      </c>
      <c r="H79" s="550">
        <f t="shared" si="17"/>
        <v>99891.75</v>
      </c>
      <c r="I79" s="551">
        <v>7745.85</v>
      </c>
      <c r="J79" s="551">
        <f t="shared" si="18"/>
        <v>107637.6</v>
      </c>
      <c r="K79" s="551">
        <f t="shared" si="19"/>
        <v>13598.188800000002</v>
      </c>
      <c r="L79" s="551">
        <f t="shared" si="20"/>
        <v>538.18799999999999</v>
      </c>
      <c r="M79" s="551">
        <f t="shared" si="21"/>
        <v>22259.455680000003</v>
      </c>
      <c r="N79" s="551">
        <f t="shared" si="22"/>
        <v>144033.43248000002</v>
      </c>
      <c r="O79" s="507"/>
      <c r="P79" s="507"/>
    </row>
    <row r="80" spans="1:22" x14ac:dyDescent="0.25">
      <c r="A80" s="545">
        <v>9</v>
      </c>
      <c r="B80" s="529" t="s">
        <v>1090</v>
      </c>
      <c r="C80" s="621">
        <v>99891.75</v>
      </c>
      <c r="D80" s="506">
        <f t="shared" si="13"/>
        <v>12529.261500000001</v>
      </c>
      <c r="E80" s="530">
        <f t="shared" si="14"/>
        <v>499.45875000000001</v>
      </c>
      <c r="F80" s="506">
        <f t="shared" si="15"/>
        <v>20657.6139</v>
      </c>
      <c r="G80" s="531">
        <f t="shared" si="16"/>
        <v>133578.08415000001</v>
      </c>
      <c r="H80" s="550">
        <f t="shared" si="17"/>
        <v>99891.75</v>
      </c>
      <c r="I80" s="551">
        <v>7745.85</v>
      </c>
      <c r="J80" s="551">
        <f t="shared" si="18"/>
        <v>107637.6</v>
      </c>
      <c r="K80" s="551">
        <f t="shared" si="19"/>
        <v>13598.188800000002</v>
      </c>
      <c r="L80" s="551">
        <f t="shared" si="20"/>
        <v>538.18799999999999</v>
      </c>
      <c r="M80" s="551">
        <f t="shared" si="21"/>
        <v>22259.455680000003</v>
      </c>
      <c r="N80" s="551">
        <f t="shared" si="22"/>
        <v>144033.43248000002</v>
      </c>
      <c r="O80" s="507"/>
      <c r="P80" s="507"/>
    </row>
    <row r="81" spans="1:16" x14ac:dyDescent="0.25">
      <c r="A81" s="545">
        <v>9</v>
      </c>
      <c r="B81" s="529" t="s">
        <v>1091</v>
      </c>
      <c r="C81" s="621">
        <v>114948.75</v>
      </c>
      <c r="D81" s="506">
        <f t="shared" si="13"/>
        <v>14607.127500000001</v>
      </c>
      <c r="E81" s="530">
        <f t="shared" si="14"/>
        <v>574.74374999999998</v>
      </c>
      <c r="F81" s="506">
        <f t="shared" si="15"/>
        <v>23771.4015</v>
      </c>
      <c r="G81" s="531">
        <f t="shared" si="16"/>
        <v>153902.02275</v>
      </c>
      <c r="H81" s="619">
        <f t="shared" si="17"/>
        <v>114948.75</v>
      </c>
      <c r="I81" s="551">
        <v>7745.85</v>
      </c>
      <c r="J81" s="551">
        <f t="shared" si="18"/>
        <v>122694.6</v>
      </c>
      <c r="K81" s="551">
        <f t="shared" si="19"/>
        <v>15676.054800000002</v>
      </c>
      <c r="L81" s="551">
        <f t="shared" si="20"/>
        <v>613.47300000000007</v>
      </c>
      <c r="M81" s="551">
        <f t="shared" si="21"/>
        <v>25373.243280000002</v>
      </c>
      <c r="N81" s="551">
        <f t="shared" si="22"/>
        <v>164357.37108000001</v>
      </c>
      <c r="O81" s="507"/>
      <c r="P81" s="507"/>
    </row>
    <row r="82" spans="1:16" x14ac:dyDescent="0.25">
      <c r="A82" s="545" t="s">
        <v>1024</v>
      </c>
      <c r="B82" s="149">
        <v>1</v>
      </c>
      <c r="C82" s="621">
        <v>88364</v>
      </c>
      <c r="D82" s="506">
        <f t="shared" si="13"/>
        <v>10938.432000000001</v>
      </c>
      <c r="E82" s="370">
        <f t="shared" si="14"/>
        <v>441.82</v>
      </c>
      <c r="F82" s="506">
        <f t="shared" si="15"/>
        <v>18273.675200000001</v>
      </c>
      <c r="G82" s="618">
        <f t="shared" si="16"/>
        <v>118017.92720000001</v>
      </c>
      <c r="H82" s="620"/>
    </row>
    <row r="83" spans="1:16" x14ac:dyDescent="0.25">
      <c r="A83" s="545" t="s">
        <v>1024</v>
      </c>
      <c r="B83" s="149">
        <v>2</v>
      </c>
      <c r="C83" s="621">
        <v>91131</v>
      </c>
      <c r="D83" s="506">
        <f t="shared" si="13"/>
        <v>11320.278</v>
      </c>
      <c r="E83" s="370">
        <f t="shared" si="14"/>
        <v>455.65500000000003</v>
      </c>
      <c r="F83" s="506">
        <f t="shared" si="15"/>
        <v>18845.890800000001</v>
      </c>
      <c r="G83" s="531">
        <f t="shared" si="16"/>
        <v>121752.82380000001</v>
      </c>
    </row>
    <row r="84" spans="1:16" x14ac:dyDescent="0.25">
      <c r="A84" s="545" t="s">
        <v>1024</v>
      </c>
      <c r="B84" s="149">
        <v>3</v>
      </c>
      <c r="C84" s="621">
        <v>93898</v>
      </c>
      <c r="D84" s="506">
        <f t="shared" si="13"/>
        <v>11702.124000000002</v>
      </c>
      <c r="E84" s="370">
        <f t="shared" si="14"/>
        <v>469.49</v>
      </c>
      <c r="F84" s="506">
        <f t="shared" si="15"/>
        <v>19418.106400000001</v>
      </c>
      <c r="G84" s="531">
        <f t="shared" si="16"/>
        <v>125487.72040000001</v>
      </c>
    </row>
    <row r="85" spans="1:16" x14ac:dyDescent="0.25">
      <c r="A85" s="545" t="s">
        <v>1024</v>
      </c>
      <c r="B85" s="149">
        <v>4</v>
      </c>
      <c r="C85" s="621">
        <v>96665</v>
      </c>
      <c r="D85" s="506">
        <f t="shared" si="13"/>
        <v>12083.970000000001</v>
      </c>
      <c r="E85" s="370">
        <f t="shared" si="14"/>
        <v>483.32499999999999</v>
      </c>
      <c r="F85" s="506">
        <f t="shared" si="15"/>
        <v>19990.322</v>
      </c>
      <c r="G85" s="531">
        <f t="shared" si="16"/>
        <v>129222.617</v>
      </c>
    </row>
    <row r="86" spans="1:16" x14ac:dyDescent="0.25">
      <c r="A86" s="545" t="s">
        <v>1024</v>
      </c>
      <c r="B86" s="149">
        <v>5</v>
      </c>
      <c r="C86" s="621">
        <v>99425</v>
      </c>
      <c r="D86" s="506">
        <f t="shared" si="13"/>
        <v>12464.85</v>
      </c>
      <c r="E86" s="370">
        <f t="shared" si="14"/>
        <v>497.125</v>
      </c>
      <c r="F86" s="506">
        <f t="shared" si="15"/>
        <v>20561.09</v>
      </c>
      <c r="G86" s="531">
        <f t="shared" si="16"/>
        <v>132948.065</v>
      </c>
    </row>
    <row r="87" spans="1:16" x14ac:dyDescent="0.25">
      <c r="A87" s="545" t="s">
        <v>1024</v>
      </c>
      <c r="B87" s="149">
        <v>6</v>
      </c>
      <c r="C87" s="621">
        <v>99425</v>
      </c>
      <c r="D87" s="506">
        <f t="shared" si="13"/>
        <v>12464.85</v>
      </c>
      <c r="E87" s="370">
        <f t="shared" si="14"/>
        <v>497.125</v>
      </c>
      <c r="F87" s="506">
        <f t="shared" si="15"/>
        <v>20561.09</v>
      </c>
      <c r="G87" s="531">
        <f t="shared" si="16"/>
        <v>132948.065</v>
      </c>
    </row>
    <row r="88" spans="1:16" x14ac:dyDescent="0.25">
      <c r="A88" s="545" t="s">
        <v>1024</v>
      </c>
      <c r="B88" s="149">
        <v>7</v>
      </c>
      <c r="C88" s="621">
        <v>99425</v>
      </c>
      <c r="D88" s="506">
        <f t="shared" si="13"/>
        <v>12464.85</v>
      </c>
      <c r="E88" s="370">
        <f t="shared" si="14"/>
        <v>497.125</v>
      </c>
      <c r="F88" s="506">
        <f t="shared" si="15"/>
        <v>20561.09</v>
      </c>
      <c r="G88" s="531">
        <f t="shared" si="16"/>
        <v>132948.065</v>
      </c>
    </row>
    <row r="89" spans="1:16" x14ac:dyDescent="0.25">
      <c r="A89" s="545" t="s">
        <v>1024</v>
      </c>
      <c r="B89" s="149">
        <v>8</v>
      </c>
      <c r="C89" s="621">
        <v>99425</v>
      </c>
      <c r="D89" s="506">
        <f t="shared" si="13"/>
        <v>12464.85</v>
      </c>
      <c r="E89" s="370">
        <f t="shared" si="14"/>
        <v>497.125</v>
      </c>
      <c r="F89" s="506">
        <f t="shared" si="15"/>
        <v>20561.09</v>
      </c>
      <c r="G89" s="531">
        <f t="shared" si="16"/>
        <v>132948.065</v>
      </c>
    </row>
    <row r="90" spans="1:16" x14ac:dyDescent="0.25">
      <c r="A90" s="545" t="s">
        <v>1024</v>
      </c>
      <c r="B90" s="149">
        <v>9</v>
      </c>
      <c r="C90" s="621">
        <v>105996</v>
      </c>
      <c r="D90" s="506">
        <f t="shared" si="13"/>
        <v>13371.648000000001</v>
      </c>
      <c r="E90" s="370">
        <f t="shared" si="14"/>
        <v>529.98</v>
      </c>
      <c r="F90" s="506">
        <f t="shared" si="15"/>
        <v>21919.9728</v>
      </c>
      <c r="G90" s="531">
        <f t="shared" si="16"/>
        <v>141817.60079999999</v>
      </c>
    </row>
    <row r="91" spans="1:16" x14ac:dyDescent="0.25">
      <c r="A91" s="545" t="s">
        <v>1024</v>
      </c>
      <c r="B91" s="149">
        <v>10</v>
      </c>
      <c r="C91" s="621">
        <v>105996</v>
      </c>
      <c r="D91" s="506">
        <f t="shared" si="13"/>
        <v>13371.648000000001</v>
      </c>
      <c r="E91" s="370">
        <f t="shared" si="14"/>
        <v>529.98</v>
      </c>
      <c r="F91" s="506">
        <f t="shared" si="15"/>
        <v>21919.9728</v>
      </c>
      <c r="G91" s="531">
        <f t="shared" si="16"/>
        <v>141817.60079999999</v>
      </c>
    </row>
    <row r="92" spans="1:16" x14ac:dyDescent="0.25">
      <c r="A92" s="545" t="s">
        <v>1024</v>
      </c>
      <c r="B92" s="149">
        <v>11</v>
      </c>
      <c r="C92" s="621">
        <v>105996</v>
      </c>
      <c r="D92" s="506">
        <f t="shared" si="13"/>
        <v>13371.648000000001</v>
      </c>
      <c r="E92" s="370">
        <f t="shared" si="14"/>
        <v>529.98</v>
      </c>
      <c r="F92" s="506">
        <f t="shared" si="15"/>
        <v>21919.9728</v>
      </c>
      <c r="G92" s="531">
        <f t="shared" si="16"/>
        <v>141817.60079999999</v>
      </c>
    </row>
    <row r="93" spans="1:16" x14ac:dyDescent="0.25">
      <c r="A93" s="545" t="s">
        <v>1024</v>
      </c>
      <c r="B93" s="149">
        <v>12</v>
      </c>
      <c r="C93" s="621">
        <v>105996</v>
      </c>
      <c r="D93" s="506">
        <f t="shared" si="13"/>
        <v>13371.648000000001</v>
      </c>
      <c r="E93" s="370">
        <f t="shared" si="14"/>
        <v>529.98</v>
      </c>
      <c r="F93" s="506">
        <f t="shared" si="15"/>
        <v>21919.9728</v>
      </c>
      <c r="G93" s="531">
        <f t="shared" si="16"/>
        <v>141817.60079999999</v>
      </c>
    </row>
    <row r="94" spans="1:16" x14ac:dyDescent="0.25">
      <c r="A94" s="545" t="s">
        <v>1024</v>
      </c>
      <c r="B94" s="149">
        <v>13</v>
      </c>
      <c r="C94" s="621">
        <v>105996</v>
      </c>
      <c r="D94" s="506">
        <f t="shared" si="13"/>
        <v>13371.648000000001</v>
      </c>
      <c r="E94" s="370">
        <f t="shared" si="14"/>
        <v>529.98</v>
      </c>
      <c r="F94" s="506">
        <f t="shared" si="15"/>
        <v>21919.9728</v>
      </c>
      <c r="G94" s="531">
        <f t="shared" si="16"/>
        <v>141817.60079999999</v>
      </c>
    </row>
    <row r="95" spans="1:16" x14ac:dyDescent="0.25">
      <c r="A95" s="545" t="s">
        <v>1024</v>
      </c>
      <c r="B95" s="149">
        <v>14</v>
      </c>
      <c r="C95" s="621">
        <v>112569</v>
      </c>
      <c r="D95" s="506">
        <f t="shared" si="13"/>
        <v>14278.722000000002</v>
      </c>
      <c r="E95" s="370">
        <f t="shared" si="14"/>
        <v>562.84500000000003</v>
      </c>
      <c r="F95" s="506">
        <f t="shared" si="15"/>
        <v>23279.269200000002</v>
      </c>
      <c r="G95" s="531">
        <f t="shared" si="16"/>
        <v>150689.83620000002</v>
      </c>
    </row>
    <row r="96" spans="1:16" x14ac:dyDescent="0.25">
      <c r="A96" s="545" t="s">
        <v>1024</v>
      </c>
      <c r="B96" s="149">
        <v>15</v>
      </c>
      <c r="C96" s="621">
        <v>112569</v>
      </c>
      <c r="D96" s="506">
        <f t="shared" si="13"/>
        <v>14278.722000000002</v>
      </c>
      <c r="E96" s="370">
        <f t="shared" si="14"/>
        <v>562.84500000000003</v>
      </c>
      <c r="F96" s="506">
        <f t="shared" si="15"/>
        <v>23279.269200000002</v>
      </c>
      <c r="G96" s="531">
        <f t="shared" si="16"/>
        <v>150689.83620000002</v>
      </c>
    </row>
    <row r="97" spans="1:229" x14ac:dyDescent="0.25">
      <c r="A97" s="545" t="s">
        <v>1024</v>
      </c>
      <c r="B97" s="149">
        <v>16</v>
      </c>
      <c r="C97" s="621">
        <v>112569</v>
      </c>
      <c r="D97" s="506">
        <f t="shared" si="13"/>
        <v>14278.722000000002</v>
      </c>
      <c r="E97" s="370">
        <f t="shared" si="14"/>
        <v>562.84500000000003</v>
      </c>
      <c r="F97" s="506">
        <f t="shared" si="15"/>
        <v>23279.269200000002</v>
      </c>
      <c r="G97" s="531">
        <f t="shared" si="16"/>
        <v>150689.83620000002</v>
      </c>
    </row>
    <row r="98" spans="1:229" x14ac:dyDescent="0.25">
      <c r="A98" s="545" t="s">
        <v>1024</v>
      </c>
      <c r="B98" s="149">
        <v>17</v>
      </c>
      <c r="C98" s="621">
        <v>112569</v>
      </c>
      <c r="D98" s="506">
        <f t="shared" si="13"/>
        <v>14278.722000000002</v>
      </c>
      <c r="E98" s="370">
        <f t="shared" si="14"/>
        <v>562.84500000000003</v>
      </c>
      <c r="F98" s="506">
        <f t="shared" si="15"/>
        <v>23279.269200000002</v>
      </c>
      <c r="G98" s="531">
        <f t="shared" si="16"/>
        <v>150689.83620000002</v>
      </c>
    </row>
    <row r="99" spans="1:229" x14ac:dyDescent="0.25">
      <c r="A99" s="545" t="s">
        <v>1024</v>
      </c>
      <c r="B99" s="149">
        <v>18</v>
      </c>
      <c r="C99" s="621">
        <v>112569</v>
      </c>
      <c r="D99" s="617">
        <f t="shared" si="13"/>
        <v>14278.722000000002</v>
      </c>
      <c r="E99" s="370">
        <f t="shared" si="14"/>
        <v>562.84500000000003</v>
      </c>
      <c r="F99" s="506">
        <f t="shared" si="15"/>
        <v>23279.269200000002</v>
      </c>
      <c r="G99" s="531">
        <f t="shared" si="16"/>
        <v>150689.83620000002</v>
      </c>
    </row>
    <row r="100" spans="1:229" ht="15.75" thickBot="1" x14ac:dyDescent="0.3">
      <c r="A100" s="546" t="s">
        <v>1024</v>
      </c>
      <c r="B100" s="532">
        <v>19</v>
      </c>
      <c r="C100" s="622">
        <v>119133</v>
      </c>
      <c r="D100" s="533">
        <f t="shared" si="13"/>
        <v>15184.554000000002</v>
      </c>
      <c r="E100" s="616">
        <f t="shared" si="14"/>
        <v>595.66499999999996</v>
      </c>
      <c r="F100" s="533">
        <f t="shared" si="15"/>
        <v>24636.704400000002</v>
      </c>
      <c r="G100" s="534">
        <f t="shared" si="16"/>
        <v>159549.92340000003</v>
      </c>
    </row>
    <row r="101" spans="1:229" ht="23.45" customHeight="1" x14ac:dyDescent="0.25">
      <c r="A101" s="508"/>
      <c r="B101" s="508"/>
      <c r="C101" s="509"/>
      <c r="D101" s="509"/>
      <c r="E101" s="510"/>
      <c r="F101" s="509"/>
      <c r="G101" s="509"/>
    </row>
    <row r="103" spans="1:229" s="4" customFormat="1" x14ac:dyDescent="0.25">
      <c r="A103" s="511" t="s">
        <v>1092</v>
      </c>
      <c r="B103" s="254"/>
      <c r="C103" s="254"/>
      <c r="D103" s="254"/>
      <c r="E103" s="254"/>
      <c r="F103" s="254"/>
      <c r="G103" s="254"/>
      <c r="H103" s="5"/>
      <c r="I103" s="5"/>
      <c r="J103" s="5"/>
      <c r="K103" s="5"/>
      <c r="L103"/>
      <c r="M103" s="5"/>
      <c r="N103" s="5"/>
      <c r="O103" s="5"/>
      <c r="P103" s="5"/>
      <c r="Q103"/>
      <c r="R103" s="5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105" x14ac:dyDescent="0.25">
      <c r="A104" s="535" t="s">
        <v>1093</v>
      </c>
      <c r="B104" s="535" t="s">
        <v>939</v>
      </c>
      <c r="C104" s="536" t="s">
        <v>940</v>
      </c>
      <c r="D104" s="535" t="s">
        <v>941</v>
      </c>
      <c r="E104" s="537" t="s">
        <v>1094</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x14ac:dyDescent="0.25">
      <c r="A105" s="538">
        <v>153400</v>
      </c>
      <c r="B105" s="512">
        <f>(A105-B110)*0.138</f>
        <v>19913.400000000001</v>
      </c>
      <c r="C105" s="513">
        <f t="shared" ref="C105" si="23">A105*0.005</f>
        <v>767</v>
      </c>
      <c r="D105" s="513">
        <f t="shared" ref="D105" si="24">A105*0.2068</f>
        <v>31723.120000000003</v>
      </c>
      <c r="E105" s="513">
        <f t="shared" ref="E105" si="25">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x14ac:dyDescent="0.25">
      <c r="A106" t="s">
        <v>1095</v>
      </c>
      <c r="F106" s="372" t="s">
        <v>1096</v>
      </c>
      <c r="R106"/>
    </row>
    <row r="107" spans="1:229" x14ac:dyDescent="0.25">
      <c r="R107"/>
    </row>
    <row r="108" spans="1:229" s="4" customFormat="1" x14ac:dyDescent="0.25">
      <c r="A108" s="5"/>
      <c r="B108" s="5"/>
      <c r="C108" s="514"/>
      <c r="D108" s="514"/>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x14ac:dyDescent="0.25">
      <c r="A109" s="519" t="s">
        <v>1097</v>
      </c>
      <c r="B109" s="519"/>
      <c r="C109" s="519"/>
      <c r="R109"/>
    </row>
    <row r="110" spans="1:229" ht="45" x14ac:dyDescent="0.25">
      <c r="A110" s="515" t="s">
        <v>1098</v>
      </c>
      <c r="B110" s="516">
        <v>9100</v>
      </c>
      <c r="C110" s="517">
        <v>0</v>
      </c>
      <c r="R110"/>
    </row>
    <row r="111" spans="1:229" ht="45" x14ac:dyDescent="0.25">
      <c r="A111" s="515" t="s">
        <v>1099</v>
      </c>
      <c r="B111" s="518" t="s">
        <v>1100</v>
      </c>
      <c r="C111" s="520">
        <v>0.13800000000000001</v>
      </c>
      <c r="R111"/>
    </row>
    <row r="113" spans="1:1" x14ac:dyDescent="0.25">
      <c r="A113" t="s">
        <v>1101</v>
      </c>
    </row>
  </sheetData>
  <sheetProtection algorithmName="SHA-512" hashValue="A2IFxPpC7pVyQAS86O47EOV1DT+465Zhrsy8FIoFvHjb8OKTTeo89UbfJsm73h1BOUTg6E7PP2qKLFC2jXVHFw==" saltValue="TlB4GPL0Mj8aU9AngfspNA==" spinCount="100000" sheet="1" objects="1" scenarios="1"/>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Benjamin Gregory</DisplayName>
        <AccountId>839</AccountId>
        <AccountType/>
      </UserInfo>
    </SharedWithUsers>
    <lcf76f155ced4ddcb4097134ff3c332f xmlns="acaf4567-dc07-471f-892c-2bcb86ef35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68EAD6AA-D190-4F90-B990-5BB45C0DD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24C17-9003-4474-A67F-56162B9CF558}">
  <ds:schemaRefs>
    <ds:schemaRef ds:uri="http://schemas.openxmlformats.org/package/2006/metadata/core-properties"/>
    <ds:schemaRef ds:uri="http://schemas.microsoft.com/office/infopath/2007/PartnerControls"/>
    <ds:schemaRef ds:uri="c1f338ac-e338-414f-952c-f74dcc6d59e1"/>
    <ds:schemaRef ds:uri="http://purl.org/dc/dcmitype/"/>
    <ds:schemaRef ds:uri="http://schemas.microsoft.com/office/2006/documentManagement/types"/>
    <ds:schemaRef ds:uri="http://purl.org/dc/elements/1.1/"/>
    <ds:schemaRef ds:uri="acaf4567-dc07-471f-892c-2bcb86ef35ae"/>
    <ds:schemaRef ds:uri="0eb656aa-4e79-4e95-9076-bc119a23e0cc"/>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TA984 Tafamidis for treating transthyretin amyloidosis with cardiomyopathy: resource impact template 03/07/2024</dc:title>
  <dc:subject/>
  <dc:creator/>
  <cp:keywords/>
  <dc:description/>
  <cp:lastModifiedBy/>
  <cp:revision/>
  <dcterms:created xsi:type="dcterms:W3CDTF">2022-07-27T12:38:28Z</dcterms:created>
  <dcterms:modified xsi:type="dcterms:W3CDTF">2024-07-03T10:13:19Z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