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9CB2B279-6BE0-45CF-B230-1532C69FBB14}" xr6:coauthVersionLast="47" xr6:coauthVersionMax="47" xr10:uidLastSave="{00000000-0000-0000-0000-000000000000}"/>
  <bookViews>
    <workbookView xWindow="-110" yWindow="-110" windowWidth="19420" windowHeight="11620" tabRatio="944" xr2:uid="{00000000-000D-0000-FFFF-FFFF00000000}"/>
  </bookViews>
  <sheets>
    <sheet name="Cover" sheetId="58" r:id="rId1"/>
    <sheet name="Contents" sheetId="59" r:id="rId2"/>
    <sheet name="Population selection" sheetId="32" state="hidden" r:id="rId3"/>
    <sheet name="Inputs and eligible population" sheetId="50" r:id="rId4"/>
    <sheet name="Unit costs" sheetId="60" r:id="rId5"/>
    <sheet name="Summary" sheetId="61" r:id="rId6"/>
    <sheet name="Financial impact (cash)" sheetId="62" r:id="rId7"/>
    <sheet name="Capacity (local prices)" sheetId="65" r:id="rId8"/>
    <sheet name="Capacity (national prices)" sheetId="66" r:id="rId9"/>
    <sheet name="payscales" sheetId="57" r:id="rId10"/>
  </sheets>
  <externalReferences>
    <externalReference r:id="rId11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#REF!</definedName>
    <definedName name="ORGTYPE" localSheetId="8">#REF!</definedName>
    <definedName name="ORGTYPE" localSheetId="0">#REF!</definedName>
    <definedName name="ORGTYPE" localSheetId="6">#REF!</definedName>
    <definedName name="ORGTYPE" localSheetId="5">#REF!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prices)'!$B$1:$S$227</definedName>
    <definedName name="_xlnm.Print_Area" localSheetId="8">'Capacity (national prices)'!$B$1:$S$226</definedName>
    <definedName name="_xlnm.Print_Area" localSheetId="1">Contents!$A$1:$P$29</definedName>
    <definedName name="_xlnm.Print_Area" localSheetId="0">Cover!$A$1:$P$32</definedName>
    <definedName name="_xlnm.Print_Area" localSheetId="6">'Financial impact (cash)'!$B$1:$J$11</definedName>
    <definedName name="_xlnm.Print_Area" localSheetId="2">'Population selection'!$B$11:$J$17</definedName>
    <definedName name="_xlnm.Print_Area" localSheetId="5">Summary!$B$1:$K$99</definedName>
    <definedName name="_xlnm.Print_Area" localSheetId="4">'Unit costs'!$B$1:$AA$78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1" l="1"/>
  <c r="F11" i="61"/>
  <c r="G11" i="61"/>
  <c r="H11" i="61"/>
  <c r="D11" i="61"/>
  <c r="B26" i="65"/>
  <c r="B25" i="65"/>
  <c r="B24" i="65"/>
  <c r="B23" i="65"/>
  <c r="B22" i="65"/>
  <c r="K43" i="66" l="1"/>
  <c r="K44" i="66"/>
  <c r="K45" i="66"/>
  <c r="K46" i="66"/>
  <c r="K47" i="66"/>
  <c r="K42" i="66"/>
  <c r="G13" i="50" l="1"/>
  <c r="C38" i="50" l="1"/>
  <c r="C37" i="50"/>
  <c r="K71" i="60" l="1"/>
  <c r="B47" i="62" l="1"/>
  <c r="B46" i="62"/>
  <c r="B45" i="62"/>
  <c r="B44" i="62"/>
  <c r="B43" i="62"/>
  <c r="B42" i="62"/>
  <c r="J84" i="50"/>
  <c r="I84" i="50"/>
  <c r="H84" i="50"/>
  <c r="G84" i="50"/>
  <c r="F84" i="50"/>
  <c r="E84" i="50"/>
  <c r="C65" i="65" l="1"/>
  <c r="C62" i="65"/>
  <c r="C61" i="65"/>
  <c r="C69" i="66"/>
  <c r="C66" i="66"/>
  <c r="C65" i="66"/>
  <c r="C144" i="65" l="1"/>
  <c r="C143" i="65"/>
  <c r="C142" i="65"/>
  <c r="C141" i="65"/>
  <c r="C143" i="66"/>
  <c r="C142" i="66"/>
  <c r="C141" i="66"/>
  <c r="C140" i="66"/>
  <c r="G42" i="50" l="1"/>
  <c r="B43" i="66"/>
  <c r="B44" i="66"/>
  <c r="B45" i="66"/>
  <c r="B46" i="66"/>
  <c r="B47" i="66"/>
  <c r="B42" i="66"/>
  <c r="B44" i="65"/>
  <c r="B45" i="65"/>
  <c r="B46" i="65"/>
  <c r="B47" i="65"/>
  <c r="B48" i="65"/>
  <c r="B43" i="65"/>
  <c r="G41" i="50" l="1"/>
  <c r="H41" i="50" l="1"/>
  <c r="I41" i="50" s="1"/>
  <c r="J41" i="50" s="1"/>
  <c r="K41" i="50" s="1"/>
  <c r="C66" i="65" l="1"/>
  <c r="H42" i="50" l="1"/>
  <c r="C60" i="66"/>
  <c r="I42" i="50" l="1"/>
  <c r="J42" i="50" l="1"/>
  <c r="N46" i="60"/>
  <c r="N18" i="60" s="1"/>
  <c r="N47" i="60"/>
  <c r="O26" i="60" s="1"/>
  <c r="N48" i="60"/>
  <c r="O32" i="60" s="1"/>
  <c r="N49" i="60"/>
  <c r="O37" i="60" s="1"/>
  <c r="N45" i="60"/>
  <c r="N13" i="60" s="1"/>
  <c r="N37" i="60"/>
  <c r="N36" i="60"/>
  <c r="N31" i="60"/>
  <c r="N32" i="60"/>
  <c r="N30" i="60"/>
  <c r="M21" i="60"/>
  <c r="M18" i="60"/>
  <c r="M17" i="60"/>
  <c r="M13" i="60"/>
  <c r="N10" i="60" l="1"/>
  <c r="N21" i="60"/>
  <c r="O25" i="60"/>
  <c r="N17" i="60"/>
  <c r="O30" i="60"/>
  <c r="O36" i="60"/>
  <c r="N9" i="60"/>
  <c r="K42" i="50"/>
  <c r="O31" i="60"/>
  <c r="P76" i="60"/>
  <c r="O76" i="60"/>
  <c r="N76" i="60"/>
  <c r="P75" i="60"/>
  <c r="O75" i="60"/>
  <c r="N75" i="60"/>
  <c r="P74" i="60"/>
  <c r="O74" i="60"/>
  <c r="N74" i="60"/>
  <c r="P73" i="60"/>
  <c r="O73" i="60"/>
  <c r="N73" i="60"/>
  <c r="P72" i="60"/>
  <c r="O72" i="60"/>
  <c r="N72" i="60"/>
  <c r="P71" i="60"/>
  <c r="O71" i="60"/>
  <c r="N71" i="60"/>
  <c r="K53" i="66" l="1"/>
  <c r="C70" i="65"/>
  <c r="C67" i="65"/>
  <c r="K153" i="66" l="1"/>
  <c r="K154" i="66"/>
  <c r="K155" i="66"/>
  <c r="C211" i="66"/>
  <c r="C210" i="66"/>
  <c r="C209" i="66"/>
  <c r="C208" i="66"/>
  <c r="C207" i="66"/>
  <c r="C206" i="66"/>
  <c r="C200" i="66"/>
  <c r="C199" i="66"/>
  <c r="C198" i="66"/>
  <c r="C197" i="66"/>
  <c r="C196" i="66"/>
  <c r="C195" i="66"/>
  <c r="C189" i="66"/>
  <c r="C188" i="66"/>
  <c r="C187" i="66"/>
  <c r="C186" i="66"/>
  <c r="C185" i="66"/>
  <c r="C184" i="66"/>
  <c r="C178" i="66"/>
  <c r="C177" i="66"/>
  <c r="C176" i="66"/>
  <c r="C175" i="66"/>
  <c r="C174" i="66"/>
  <c r="C173" i="66"/>
  <c r="C167" i="66"/>
  <c r="C166" i="66"/>
  <c r="C165" i="66"/>
  <c r="C164" i="66"/>
  <c r="C163" i="66"/>
  <c r="C162" i="66"/>
  <c r="C155" i="66"/>
  <c r="C154" i="66"/>
  <c r="C153" i="66"/>
  <c r="C152" i="66"/>
  <c r="C151" i="66"/>
  <c r="C150" i="66"/>
  <c r="C139" i="66"/>
  <c r="C133" i="66"/>
  <c r="C132" i="66"/>
  <c r="C131" i="66"/>
  <c r="C125" i="66"/>
  <c r="C124" i="66"/>
  <c r="C123" i="66"/>
  <c r="C117" i="66"/>
  <c r="C116" i="66"/>
  <c r="C115" i="66"/>
  <c r="C109" i="66"/>
  <c r="C108" i="66"/>
  <c r="C107" i="66"/>
  <c r="C100" i="66"/>
  <c r="C99" i="66"/>
  <c r="C98" i="66"/>
  <c r="C97" i="66"/>
  <c r="C96" i="66"/>
  <c r="C90" i="66"/>
  <c r="C89" i="66"/>
  <c r="C88" i="66"/>
  <c r="C87" i="66"/>
  <c r="C86" i="66"/>
  <c r="C80" i="66"/>
  <c r="C79" i="66"/>
  <c r="C78" i="66"/>
  <c r="C77" i="66"/>
  <c r="C76" i="66"/>
  <c r="C64" i="66"/>
  <c r="C61" i="66"/>
  <c r="C47" i="66"/>
  <c r="C46" i="66"/>
  <c r="C45" i="66"/>
  <c r="C44" i="66"/>
  <c r="C43" i="66"/>
  <c r="C42" i="66"/>
  <c r="C36" i="66"/>
  <c r="C35" i="66"/>
  <c r="C34" i="66"/>
  <c r="B26" i="66"/>
  <c r="B20" i="66"/>
  <c r="B19" i="66"/>
  <c r="B18" i="66"/>
  <c r="B17" i="66"/>
  <c r="B16" i="66"/>
  <c r="B15" i="66"/>
  <c r="B14" i="66"/>
  <c r="B13" i="66"/>
  <c r="B12" i="66"/>
  <c r="B11" i="66"/>
  <c r="B10" i="66"/>
  <c r="B10" i="65" s="1"/>
  <c r="C212" i="65"/>
  <c r="C211" i="65"/>
  <c r="C210" i="65"/>
  <c r="C201" i="65"/>
  <c r="C200" i="65"/>
  <c r="C199" i="65"/>
  <c r="C198" i="65"/>
  <c r="C197" i="65"/>
  <c r="C196" i="65"/>
  <c r="C190" i="65"/>
  <c r="C189" i="65"/>
  <c r="C188" i="65"/>
  <c r="C187" i="65"/>
  <c r="C186" i="65"/>
  <c r="C185" i="65"/>
  <c r="C179" i="65"/>
  <c r="C178" i="65"/>
  <c r="C177" i="65"/>
  <c r="C176" i="65"/>
  <c r="C175" i="65"/>
  <c r="C174" i="65"/>
  <c r="C168" i="65"/>
  <c r="C167" i="65"/>
  <c r="C166" i="65"/>
  <c r="C156" i="65"/>
  <c r="C155" i="65"/>
  <c r="C154" i="65"/>
  <c r="C101" i="65"/>
  <c r="C100" i="65"/>
  <c r="C91" i="65"/>
  <c r="C90" i="65"/>
  <c r="C80" i="65"/>
  <c r="C81" i="65"/>
  <c r="K31" i="60"/>
  <c r="H31" i="60"/>
  <c r="L37" i="60"/>
  <c r="H37" i="60"/>
  <c r="L36" i="60"/>
  <c r="H36" i="60"/>
  <c r="L32" i="60"/>
  <c r="H32" i="60"/>
  <c r="L30" i="60"/>
  <c r="H30" i="60"/>
  <c r="N25" i="60"/>
  <c r="N26" i="60"/>
  <c r="K26" i="60"/>
  <c r="L25" i="60"/>
  <c r="H25" i="60"/>
  <c r="H26" i="60"/>
  <c r="H21" i="60"/>
  <c r="H13" i="60"/>
  <c r="L21" i="60"/>
  <c r="L18" i="60"/>
  <c r="H18" i="60"/>
  <c r="L17" i="60"/>
  <c r="H17" i="60"/>
  <c r="C48" i="65"/>
  <c r="C47" i="65"/>
  <c r="C46" i="65"/>
  <c r="B34" i="62"/>
  <c r="B35" i="62"/>
  <c r="B36" i="62"/>
  <c r="B37" i="62"/>
  <c r="B38" i="62"/>
  <c r="N114" i="50"/>
  <c r="N112" i="50"/>
  <c r="N110" i="50"/>
  <c r="C63" i="66" l="1"/>
  <c r="C64" i="65"/>
  <c r="C68" i="66"/>
  <c r="C62" i="66"/>
  <c r="C63" i="65"/>
  <c r="C67" i="66"/>
  <c r="L26" i="60"/>
  <c r="P26" i="60" s="1"/>
  <c r="C68" i="65"/>
  <c r="L31" i="60"/>
  <c r="P31" i="60" s="1"/>
  <c r="C69" i="65"/>
  <c r="P25" i="60"/>
  <c r="P32" i="60"/>
  <c r="P37" i="60"/>
  <c r="P30" i="60"/>
  <c r="P36" i="60"/>
  <c r="O21" i="60"/>
  <c r="O22" i="60" s="1"/>
  <c r="O17" i="60"/>
  <c r="O18" i="60"/>
  <c r="C34" i="62" l="1"/>
  <c r="C43" i="62"/>
  <c r="P38" i="60"/>
  <c r="P33" i="60"/>
  <c r="P27" i="60"/>
  <c r="O19" i="60"/>
  <c r="C37" i="62" l="1"/>
  <c r="C46" i="62"/>
  <c r="C36" i="62"/>
  <c r="C45" i="62"/>
  <c r="C35" i="62"/>
  <c r="C44" i="62"/>
  <c r="F75" i="50"/>
  <c r="G75" i="50"/>
  <c r="H75" i="50"/>
  <c r="I75" i="50"/>
  <c r="J75" i="50"/>
  <c r="E75" i="50"/>
  <c r="L71" i="60" l="1"/>
  <c r="M71" i="60"/>
  <c r="R71" i="60"/>
  <c r="K72" i="60"/>
  <c r="L72" i="60"/>
  <c r="M72" i="60"/>
  <c r="R72" i="60"/>
  <c r="T71" i="60" l="1"/>
  <c r="X71" i="60"/>
  <c r="W71" i="60"/>
  <c r="V71" i="60"/>
  <c r="S72" i="60"/>
  <c r="X72" i="60"/>
  <c r="W72" i="60"/>
  <c r="V72" i="60"/>
  <c r="S71" i="60"/>
  <c r="U71" i="60"/>
  <c r="U72" i="60"/>
  <c r="T72" i="60"/>
  <c r="M9" i="60" l="1"/>
  <c r="C46" i="50" l="1"/>
  <c r="R41" i="57" l="1"/>
  <c r="C165" i="65" l="1"/>
  <c r="C79" i="65" l="1"/>
  <c r="C78" i="65"/>
  <c r="C77" i="65"/>
  <c r="M10" i="60" l="1"/>
  <c r="L10" i="60"/>
  <c r="H10" i="60"/>
  <c r="O10" i="60" l="1"/>
  <c r="C153" i="65"/>
  <c r="C152" i="65"/>
  <c r="C151" i="65"/>
  <c r="C99" i="65"/>
  <c r="C98" i="65"/>
  <c r="C97" i="65"/>
  <c r="C89" i="65"/>
  <c r="C88" i="65"/>
  <c r="C87" i="65"/>
  <c r="M74" i="60"/>
  <c r="M75" i="60"/>
  <c r="M76" i="60"/>
  <c r="M73" i="60"/>
  <c r="C43" i="65"/>
  <c r="C207" i="65"/>
  <c r="C164" i="65"/>
  <c r="C163" i="65"/>
  <c r="L13" i="60"/>
  <c r="H9" i="60"/>
  <c r="L9" i="60"/>
  <c r="O9" i="60" l="1"/>
  <c r="C208" i="65"/>
  <c r="C209" i="65"/>
  <c r="C44" i="65"/>
  <c r="C45" i="65"/>
  <c r="O13" i="60"/>
  <c r="O14" i="60" l="1"/>
  <c r="O11" i="60"/>
  <c r="C33" i="62" l="1"/>
  <c r="C42" i="62"/>
  <c r="B1" i="60"/>
  <c r="K151" i="66" l="1"/>
  <c r="K152" i="66"/>
  <c r="K150" i="66"/>
  <c r="K35" i="66"/>
  <c r="K36" i="66"/>
  <c r="K34" i="66"/>
  <c r="B1" i="66" l="1"/>
  <c r="C140" i="65"/>
  <c r="C134" i="65"/>
  <c r="C133" i="65"/>
  <c r="C132" i="65"/>
  <c r="C126" i="65"/>
  <c r="C125" i="65"/>
  <c r="C124" i="65"/>
  <c r="C118" i="65"/>
  <c r="C117" i="65"/>
  <c r="C116" i="65"/>
  <c r="C110" i="65"/>
  <c r="C109" i="65"/>
  <c r="C108" i="65"/>
  <c r="C36" i="65"/>
  <c r="C37" i="65"/>
  <c r="C35" i="65"/>
  <c r="B1" i="65"/>
  <c r="B33" i="62"/>
  <c r="H10" i="61"/>
  <c r="G10" i="61"/>
  <c r="F10" i="61"/>
  <c r="E10" i="61"/>
  <c r="D10" i="61"/>
  <c r="B27" i="65"/>
  <c r="B21" i="65"/>
  <c r="B20" i="65"/>
  <c r="B19" i="65"/>
  <c r="B18" i="65"/>
  <c r="B17" i="65"/>
  <c r="B16" i="65"/>
  <c r="B15" i="65"/>
  <c r="B14" i="65"/>
  <c r="B13" i="65"/>
  <c r="B12" i="65"/>
  <c r="G37" i="50"/>
  <c r="B1" i="62"/>
  <c r="B1" i="61"/>
  <c r="R73" i="60"/>
  <c r="L73" i="60"/>
  <c r="K73" i="60"/>
  <c r="R76" i="60"/>
  <c r="L76" i="60"/>
  <c r="K76" i="60"/>
  <c r="R75" i="60"/>
  <c r="L75" i="60"/>
  <c r="K75" i="60"/>
  <c r="R74" i="60"/>
  <c r="L74" i="60"/>
  <c r="K74" i="60"/>
  <c r="X74" i="60" l="1"/>
  <c r="W74" i="60"/>
  <c r="V74" i="60"/>
  <c r="U73" i="60"/>
  <c r="V73" i="60"/>
  <c r="X73" i="60"/>
  <c r="W73" i="60"/>
  <c r="X76" i="60"/>
  <c r="W76" i="60"/>
  <c r="V76" i="60"/>
  <c r="X75" i="60"/>
  <c r="W75" i="60"/>
  <c r="V75" i="60"/>
  <c r="U76" i="60"/>
  <c r="U74" i="60"/>
  <c r="U75" i="60"/>
  <c r="T75" i="60"/>
  <c r="S73" i="60"/>
  <c r="S75" i="60"/>
  <c r="T74" i="60"/>
  <c r="T73" i="60"/>
  <c r="S76" i="60"/>
  <c r="S74" i="60"/>
  <c r="T76" i="60"/>
  <c r="F19" i="50"/>
  <c r="L46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U70" i="57" l="1"/>
  <c r="U62" i="57"/>
  <c r="U53" i="57"/>
  <c r="F16" i="50" l="1"/>
  <c r="F18" i="50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F100" i="57" l="1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N34" i="57" s="1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N81" i="57" s="1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N18" i="57" s="1"/>
  <c r="G22" i="57"/>
  <c r="R12" i="57" s="1"/>
  <c r="T12" i="57" s="1"/>
  <c r="N38" i="57"/>
  <c r="L77" i="57"/>
  <c r="G39" i="57"/>
  <c r="G46" i="57"/>
  <c r="G57" i="57"/>
  <c r="R25" i="57" s="1"/>
  <c r="T25" i="57" s="1"/>
  <c r="L64" i="57"/>
  <c r="N64" i="57" s="1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N22" i="57"/>
  <c r="M39" i="57"/>
  <c r="T41" i="57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N48" i="57" s="1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N116" i="50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N63" i="57" s="1"/>
  <c r="M80" i="57"/>
  <c r="N80" i="57" s="1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N76" i="57" s="1"/>
  <c r="G80" i="57"/>
  <c r="L19" i="57"/>
  <c r="N19" i="57" s="1"/>
  <c r="G32" i="57"/>
  <c r="M75" i="57"/>
  <c r="G10" i="57"/>
  <c r="L15" i="57"/>
  <c r="N15" i="57" s="1"/>
  <c r="G20" i="57"/>
  <c r="L23" i="57"/>
  <c r="M33" i="57"/>
  <c r="N33" i="57" s="1"/>
  <c r="G35" i="57"/>
  <c r="N52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N104" i="50" s="1"/>
  <c r="G65" i="57"/>
  <c r="M67" i="57"/>
  <c r="M79" i="57"/>
  <c r="N79" i="57" s="1"/>
  <c r="G87" i="57"/>
  <c r="G92" i="57"/>
  <c r="G95" i="57"/>
  <c r="L56" i="57"/>
  <c r="M21" i="57"/>
  <c r="L27" i="57"/>
  <c r="N27" i="57" s="1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N72" i="57"/>
  <c r="L73" i="57"/>
  <c r="N73" i="57" s="1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N26" i="57"/>
  <c r="L31" i="57"/>
  <c r="G40" i="57"/>
  <c r="M44" i="57"/>
  <c r="L49" i="57"/>
  <c r="M59" i="57"/>
  <c r="L60" i="57"/>
  <c r="G67" i="57"/>
  <c r="M71" i="57"/>
  <c r="N71" i="57" s="1"/>
  <c r="L72" i="57"/>
  <c r="G79" i="57"/>
  <c r="G88" i="57"/>
  <c r="G96" i="57"/>
  <c r="G36" i="57"/>
  <c r="G45" i="57"/>
  <c r="G55" i="57"/>
  <c r="G83" i="57"/>
  <c r="G91" i="57"/>
  <c r="R39" i="57" s="1"/>
  <c r="T39" i="57" s="1"/>
  <c r="R5" i="57"/>
  <c r="T5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N53" i="57" s="1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N10" i="57" s="1"/>
  <c r="L14" i="57"/>
  <c r="N14" i="57" s="1"/>
  <c r="M13" i="57"/>
  <c r="L7" i="57"/>
  <c r="N11" i="57"/>
  <c r="N35" i="57"/>
  <c r="L41" i="57"/>
  <c r="N45" i="57"/>
  <c r="N61" i="57"/>
  <c r="N69" i="57"/>
  <c r="N77" i="57"/>
  <c r="M6" i="57"/>
  <c r="M9" i="57"/>
  <c r="N9" i="57" s="1"/>
  <c r="M25" i="57"/>
  <c r="N25" i="57" s="1"/>
  <c r="M29" i="57"/>
  <c r="M7" i="57"/>
  <c r="M41" i="57"/>
  <c r="N36" i="57"/>
  <c r="L39" i="57"/>
  <c r="N39" i="57" s="1"/>
  <c r="L42" i="57"/>
  <c r="M5" i="57"/>
  <c r="M8" i="57"/>
  <c r="M12" i="57"/>
  <c r="M16" i="57"/>
  <c r="N16" i="57" s="1"/>
  <c r="N17" i="57"/>
  <c r="M20" i="57"/>
  <c r="N20" i="57" s="1"/>
  <c r="M24" i="57"/>
  <c r="N24" i="57" s="1"/>
  <c r="M28" i="57"/>
  <c r="N28" i="57" s="1"/>
  <c r="M32" i="57"/>
  <c r="N32" i="57" s="1"/>
  <c r="M36" i="57"/>
  <c r="L43" i="57"/>
  <c r="M46" i="57"/>
  <c r="N46" i="57" s="1"/>
  <c r="N47" i="57"/>
  <c r="M50" i="57"/>
  <c r="M54" i="57"/>
  <c r="N54" i="57" s="1"/>
  <c r="N55" i="57"/>
  <c r="M58" i="57"/>
  <c r="N58" i="57" s="1"/>
  <c r="M62" i="57"/>
  <c r="M66" i="57"/>
  <c r="N66" i="57" s="1"/>
  <c r="M70" i="57"/>
  <c r="M74" i="57"/>
  <c r="N74" i="57" s="1"/>
  <c r="M78" i="57"/>
  <c r="K144" i="65" l="1"/>
  <c r="K143" i="65"/>
  <c r="K140" i="65"/>
  <c r="K141" i="65"/>
  <c r="K142" i="65"/>
  <c r="K210" i="65"/>
  <c r="K211" i="65"/>
  <c r="K212" i="65"/>
  <c r="K209" i="65"/>
  <c r="K208" i="65"/>
  <c r="K207" i="65"/>
  <c r="N51" i="57"/>
  <c r="N40" i="57"/>
  <c r="N97" i="50"/>
  <c r="N108" i="50"/>
  <c r="N103" i="50"/>
  <c r="N102" i="50"/>
  <c r="N99" i="50"/>
  <c r="N98" i="50"/>
  <c r="N96" i="50"/>
  <c r="N94" i="50"/>
  <c r="N106" i="50"/>
  <c r="N13" i="57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K46" i="65" l="1"/>
  <c r="K47" i="65"/>
  <c r="K48" i="65"/>
  <c r="K100" i="65"/>
  <c r="K101" i="65"/>
  <c r="K90" i="65"/>
  <c r="K91" i="65"/>
  <c r="K201" i="65"/>
  <c r="K189" i="65"/>
  <c r="K177" i="65"/>
  <c r="K197" i="65"/>
  <c r="K190" i="65"/>
  <c r="K178" i="65"/>
  <c r="K196" i="65"/>
  <c r="K175" i="65"/>
  <c r="K179" i="65"/>
  <c r="K187" i="65"/>
  <c r="K166" i="65"/>
  <c r="K186" i="65"/>
  <c r="K167" i="65"/>
  <c r="K185" i="65"/>
  <c r="K199" i="65"/>
  <c r="K168" i="65"/>
  <c r="K176" i="65"/>
  <c r="K200" i="65"/>
  <c r="K188" i="65"/>
  <c r="K198" i="65"/>
  <c r="K174" i="65"/>
  <c r="K154" i="65"/>
  <c r="K155" i="65"/>
  <c r="K156" i="65"/>
  <c r="K80" i="65"/>
  <c r="K81" i="65"/>
  <c r="K163" i="65"/>
  <c r="K165" i="65"/>
  <c r="K164" i="65"/>
  <c r="K78" i="65"/>
  <c r="K77" i="65"/>
  <c r="K79" i="65"/>
  <c r="K37" i="65"/>
  <c r="K35" i="65"/>
  <c r="K36" i="65"/>
  <c r="K45" i="65"/>
  <c r="K44" i="65"/>
  <c r="K43" i="65"/>
  <c r="K153" i="65"/>
  <c r="K152" i="65"/>
  <c r="K151" i="65"/>
  <c r="K87" i="65"/>
  <c r="K89" i="65"/>
  <c r="K88" i="65"/>
  <c r="K99" i="65"/>
  <c r="K98" i="65"/>
  <c r="K97" i="65"/>
  <c r="C43" i="50"/>
  <c r="F17" i="50" l="1"/>
  <c r="C17" i="50"/>
  <c r="F15" i="50"/>
  <c r="F20" i="50" l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96" i="32"/>
  <c r="F105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F532" i="32" l="1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23" i="32"/>
  <c r="E15" i="32" s="1"/>
  <c r="J23" i="32"/>
  <c r="L23" i="32"/>
  <c r="H23" i="32"/>
  <c r="K23" i="32"/>
  <c r="I23" i="32"/>
  <c r="E14" i="32" l="1"/>
  <c r="G12" i="50"/>
  <c r="F23" i="32"/>
  <c r="C16" i="32"/>
  <c r="E16" i="32" l="1"/>
  <c r="D16" i="32"/>
  <c r="F14" i="32" l="1"/>
  <c r="G14" i="50" s="1"/>
  <c r="F15" i="32" l="1"/>
  <c r="F16" i="32" s="1"/>
  <c r="F43" i="50" l="1"/>
  <c r="G43" i="50" s="1"/>
  <c r="F25" i="50"/>
  <c r="F27" i="50" s="1"/>
  <c r="K43" i="50" l="1"/>
  <c r="J43" i="50"/>
  <c r="I43" i="50"/>
  <c r="H43" i="50"/>
  <c r="F28" i="50" l="1"/>
  <c r="F44" i="50" s="1"/>
  <c r="F29" i="50"/>
  <c r="F45" i="50" s="1"/>
  <c r="G26" i="50"/>
  <c r="G27" i="50"/>
  <c r="L83" i="50" l="1"/>
  <c r="L79" i="50"/>
  <c r="L78" i="50"/>
  <c r="F46" i="50"/>
  <c r="D9" i="62"/>
  <c r="D8" i="62"/>
  <c r="F31" i="50"/>
  <c r="G28" i="50"/>
  <c r="G29" i="50"/>
  <c r="L80" i="50" l="1"/>
  <c r="L81" i="50"/>
  <c r="L82" i="50"/>
  <c r="L70" i="50"/>
  <c r="L73" i="50"/>
  <c r="L69" i="50"/>
  <c r="L74" i="50"/>
  <c r="L72" i="50"/>
  <c r="L71" i="50"/>
  <c r="D19" i="62"/>
  <c r="D18" i="62"/>
  <c r="D17" i="62"/>
  <c r="D20" i="62"/>
  <c r="D16" i="62"/>
  <c r="D15" i="62"/>
  <c r="D26" i="62"/>
  <c r="C25" i="61" s="1"/>
  <c r="D24" i="62"/>
  <c r="C23" i="61" s="1"/>
  <c r="D28" i="62"/>
  <c r="C27" i="61" s="1"/>
  <c r="D29" i="62"/>
  <c r="C28" i="61" s="1"/>
  <c r="D27" i="62"/>
  <c r="C26" i="61" s="1"/>
  <c r="D25" i="62"/>
  <c r="C24" i="61" s="1"/>
  <c r="G44" i="50"/>
  <c r="H44" i="50"/>
  <c r="I44" i="50"/>
  <c r="J44" i="50"/>
  <c r="K44" i="50"/>
  <c r="G45" i="50"/>
  <c r="H45" i="50"/>
  <c r="I45" i="50"/>
  <c r="J45" i="50"/>
  <c r="K45" i="50"/>
  <c r="G31" i="50"/>
  <c r="D10" i="62"/>
  <c r="D7" i="66"/>
  <c r="D7" i="65"/>
  <c r="J46" i="50" l="1"/>
  <c r="H7" i="65" s="1"/>
  <c r="K46" i="50"/>
  <c r="I46" i="50"/>
  <c r="H46" i="50"/>
  <c r="F10" i="62" s="1"/>
  <c r="G46" i="50"/>
  <c r="E7" i="66" s="1"/>
  <c r="D44" i="62"/>
  <c r="D46" i="62"/>
  <c r="D43" i="62"/>
  <c r="D42" i="62"/>
  <c r="D201" i="65"/>
  <c r="D179" i="65"/>
  <c r="L179" i="65" s="1"/>
  <c r="D212" i="65"/>
  <c r="D190" i="65"/>
  <c r="L190" i="65" s="1"/>
  <c r="D168" i="65"/>
  <c r="L168" i="65" s="1"/>
  <c r="D156" i="65"/>
  <c r="D48" i="65"/>
  <c r="L48" i="65" s="1"/>
  <c r="D47" i="66"/>
  <c r="L47" i="66" s="1"/>
  <c r="D155" i="66"/>
  <c r="D211" i="66"/>
  <c r="D167" i="66"/>
  <c r="D200" i="66"/>
  <c r="D189" i="66"/>
  <c r="D178" i="66"/>
  <c r="D209" i="65"/>
  <c r="L209" i="65" s="1"/>
  <c r="D187" i="65"/>
  <c r="D165" i="65"/>
  <c r="D176" i="65"/>
  <c r="L176" i="65" s="1"/>
  <c r="D198" i="65"/>
  <c r="L198" i="65" s="1"/>
  <c r="D63" i="65"/>
  <c r="D68" i="65"/>
  <c r="D153" i="65"/>
  <c r="L153" i="65" s="1"/>
  <c r="D45" i="65"/>
  <c r="L45" i="65" s="1"/>
  <c r="D186" i="66"/>
  <c r="D175" i="66"/>
  <c r="D152" i="66"/>
  <c r="D197" i="66"/>
  <c r="D164" i="66"/>
  <c r="D44" i="66"/>
  <c r="L44" i="66" s="1"/>
  <c r="D208" i="66"/>
  <c r="D67" i="66"/>
  <c r="D62" i="66"/>
  <c r="Q72" i="50"/>
  <c r="Q74" i="50"/>
  <c r="Q69" i="50"/>
  <c r="Q71" i="50"/>
  <c r="Q73" i="50"/>
  <c r="Q70" i="50"/>
  <c r="D47" i="62"/>
  <c r="D210" i="65"/>
  <c r="L210" i="65" s="1"/>
  <c r="D188" i="65"/>
  <c r="D166" i="65"/>
  <c r="L166" i="65" s="1"/>
  <c r="D177" i="65"/>
  <c r="L177" i="65" s="1"/>
  <c r="D199" i="65"/>
  <c r="L199" i="65" s="1"/>
  <c r="D64" i="65"/>
  <c r="D69" i="65"/>
  <c r="D154" i="65"/>
  <c r="L154" i="65" s="1"/>
  <c r="D46" i="65"/>
  <c r="L46" i="65" s="1"/>
  <c r="D198" i="66"/>
  <c r="D165" i="66"/>
  <c r="D209" i="66"/>
  <c r="D45" i="66"/>
  <c r="L45" i="66" s="1"/>
  <c r="D187" i="66"/>
  <c r="D176" i="66"/>
  <c r="D153" i="66"/>
  <c r="D68" i="66"/>
  <c r="D63" i="66"/>
  <c r="M82" i="50"/>
  <c r="M79" i="50"/>
  <c r="M81" i="50"/>
  <c r="M80" i="50"/>
  <c r="M78" i="50"/>
  <c r="M83" i="50"/>
  <c r="D189" i="65"/>
  <c r="D200" i="65"/>
  <c r="L200" i="65" s="1"/>
  <c r="D178" i="65"/>
  <c r="L178" i="65" s="1"/>
  <c r="D211" i="65"/>
  <c r="L211" i="65" s="1"/>
  <c r="D167" i="65"/>
  <c r="L167" i="65" s="1"/>
  <c r="D155" i="65"/>
  <c r="L155" i="65" s="1"/>
  <c r="D70" i="65"/>
  <c r="D65" i="65"/>
  <c r="D47" i="65"/>
  <c r="D69" i="66"/>
  <c r="D188" i="66"/>
  <c r="D166" i="66"/>
  <c r="D46" i="66"/>
  <c r="L46" i="66" s="1"/>
  <c r="D199" i="66"/>
  <c r="D154" i="66"/>
  <c r="D177" i="66"/>
  <c r="D210" i="66"/>
  <c r="D64" i="66"/>
  <c r="N82" i="50"/>
  <c r="N83" i="50"/>
  <c r="N79" i="50"/>
  <c r="N80" i="50"/>
  <c r="N81" i="50"/>
  <c r="N78" i="50"/>
  <c r="P72" i="50"/>
  <c r="P69" i="50"/>
  <c r="P71" i="50"/>
  <c r="P70" i="50"/>
  <c r="P74" i="50"/>
  <c r="P73" i="50"/>
  <c r="O71" i="50"/>
  <c r="O70" i="50"/>
  <c r="O74" i="50"/>
  <c r="O69" i="50"/>
  <c r="O73" i="50"/>
  <c r="O72" i="50"/>
  <c r="Q78" i="50"/>
  <c r="Q83" i="50"/>
  <c r="Q80" i="50"/>
  <c r="Q82" i="50"/>
  <c r="Q79" i="50"/>
  <c r="Q81" i="50"/>
  <c r="N71" i="50"/>
  <c r="N72" i="50"/>
  <c r="N70" i="50"/>
  <c r="N74" i="50"/>
  <c r="N73" i="50"/>
  <c r="N69" i="50"/>
  <c r="D45" i="62"/>
  <c r="L84" i="50"/>
  <c r="P83" i="50"/>
  <c r="P80" i="50"/>
  <c r="P82" i="50"/>
  <c r="P79" i="50"/>
  <c r="P81" i="50"/>
  <c r="P78" i="50"/>
  <c r="M70" i="50"/>
  <c r="M74" i="50"/>
  <c r="M71" i="50"/>
  <c r="M73" i="50"/>
  <c r="M69" i="50"/>
  <c r="M72" i="50"/>
  <c r="D163" i="65"/>
  <c r="L163" i="65" s="1"/>
  <c r="D207" i="65"/>
  <c r="L207" i="65" s="1"/>
  <c r="D185" i="65"/>
  <c r="L185" i="65" s="1"/>
  <c r="D174" i="65"/>
  <c r="L174" i="65" s="1"/>
  <c r="D196" i="65"/>
  <c r="L196" i="65" s="1"/>
  <c r="D66" i="65"/>
  <c r="D222" i="65"/>
  <c r="D219" i="65"/>
  <c r="L219" i="65" s="1"/>
  <c r="D224" i="65"/>
  <c r="D151" i="65"/>
  <c r="L151" i="65" s="1"/>
  <c r="D223" i="65"/>
  <c r="D220" i="65"/>
  <c r="D61" i="65"/>
  <c r="D221" i="65"/>
  <c r="D218" i="66"/>
  <c r="D221" i="66"/>
  <c r="D222" i="66"/>
  <c r="D220" i="66"/>
  <c r="D43" i="65"/>
  <c r="L43" i="65" s="1"/>
  <c r="D219" i="66"/>
  <c r="D223" i="66"/>
  <c r="D65" i="66"/>
  <c r="D60" i="66"/>
  <c r="D150" i="66"/>
  <c r="D184" i="66"/>
  <c r="D42" i="66"/>
  <c r="L42" i="66" s="1"/>
  <c r="D195" i="66"/>
  <c r="D173" i="66"/>
  <c r="D162" i="66"/>
  <c r="D206" i="66"/>
  <c r="O80" i="50"/>
  <c r="O82" i="50"/>
  <c r="O78" i="50"/>
  <c r="O83" i="50"/>
  <c r="O79" i="50"/>
  <c r="O81" i="50"/>
  <c r="C29" i="61"/>
  <c r="D208" i="65"/>
  <c r="L208" i="65" s="1"/>
  <c r="D186" i="65"/>
  <c r="L186" i="65" s="1"/>
  <c r="D164" i="65"/>
  <c r="L164" i="65" s="1"/>
  <c r="D197" i="65"/>
  <c r="L197" i="65" s="1"/>
  <c r="D175" i="65"/>
  <c r="L175" i="65" s="1"/>
  <c r="D62" i="65"/>
  <c r="D67" i="65"/>
  <c r="D152" i="65"/>
  <c r="L152" i="65" s="1"/>
  <c r="D44" i="65"/>
  <c r="L44" i="65" s="1"/>
  <c r="D66" i="66"/>
  <c r="D174" i="66"/>
  <c r="D163" i="66"/>
  <c r="D185" i="66"/>
  <c r="D207" i="66"/>
  <c r="D151" i="66"/>
  <c r="D61" i="66"/>
  <c r="D196" i="66"/>
  <c r="D43" i="66"/>
  <c r="L43" i="66" s="1"/>
  <c r="D30" i="62"/>
  <c r="L156" i="65"/>
  <c r="L212" i="65"/>
  <c r="L201" i="65"/>
  <c r="L187" i="65"/>
  <c r="L165" i="65"/>
  <c r="L47" i="65"/>
  <c r="L189" i="65"/>
  <c r="L188" i="65"/>
  <c r="C14" i="61"/>
  <c r="C19" i="61"/>
  <c r="H8" i="62"/>
  <c r="G7" i="61"/>
  <c r="E7" i="61"/>
  <c r="F8" i="62"/>
  <c r="G9" i="62"/>
  <c r="F8" i="61"/>
  <c r="C18" i="61"/>
  <c r="G8" i="62"/>
  <c r="F7" i="61"/>
  <c r="H8" i="61"/>
  <c r="I9" i="62"/>
  <c r="E8" i="61"/>
  <c r="F9" i="62"/>
  <c r="C17" i="61"/>
  <c r="E9" i="62"/>
  <c r="D8" i="61"/>
  <c r="C15" i="61"/>
  <c r="C16" i="61"/>
  <c r="G8" i="61"/>
  <c r="H9" i="62"/>
  <c r="E8" i="62"/>
  <c r="D7" i="61"/>
  <c r="D133" i="66"/>
  <c r="D132" i="66"/>
  <c r="D116" i="66"/>
  <c r="D125" i="66"/>
  <c r="D117" i="66"/>
  <c r="D124" i="66"/>
  <c r="D109" i="66"/>
  <c r="D108" i="66"/>
  <c r="D131" i="66"/>
  <c r="D134" i="66" s="1"/>
  <c r="D107" i="66"/>
  <c r="D110" i="66" s="1"/>
  <c r="D115" i="66"/>
  <c r="D118" i="66" s="1"/>
  <c r="D123" i="66"/>
  <c r="D126" i="66" s="1"/>
  <c r="H7" i="61"/>
  <c r="I8" i="62"/>
  <c r="D34" i="62"/>
  <c r="L75" i="50"/>
  <c r="D132" i="65"/>
  <c r="D133" i="65"/>
  <c r="L133" i="65" s="1"/>
  <c r="D118" i="65"/>
  <c r="D116" i="65"/>
  <c r="D119" i="65" s="1"/>
  <c r="D110" i="65"/>
  <c r="D124" i="65"/>
  <c r="D117" i="65"/>
  <c r="D109" i="65"/>
  <c r="D108" i="65"/>
  <c r="D111" i="65" s="1"/>
  <c r="D125" i="65"/>
  <c r="L125" i="65" s="1"/>
  <c r="D134" i="65"/>
  <c r="L134" i="65" s="1"/>
  <c r="D126" i="65"/>
  <c r="L126" i="65" s="1"/>
  <c r="G10" i="62"/>
  <c r="G7" i="66"/>
  <c r="G7" i="65"/>
  <c r="F9" i="61"/>
  <c r="F7" i="65"/>
  <c r="E9" i="61"/>
  <c r="H10" i="62"/>
  <c r="G9" i="61"/>
  <c r="H7" i="66"/>
  <c r="I7" i="65"/>
  <c r="I7" i="66"/>
  <c r="H9" i="61"/>
  <c r="I10" i="62"/>
  <c r="D9" i="61" l="1"/>
  <c r="E10" i="62"/>
  <c r="E7" i="65"/>
  <c r="F7" i="66"/>
  <c r="F133" i="66" s="1"/>
  <c r="D48" i="62"/>
  <c r="Q84" i="50"/>
  <c r="D140" i="65"/>
  <c r="D141" i="65"/>
  <c r="L141" i="65" s="1"/>
  <c r="P84" i="50"/>
  <c r="N84" i="50"/>
  <c r="I26" i="62"/>
  <c r="H25" i="61" s="1"/>
  <c r="I27" i="62"/>
  <c r="H26" i="61" s="1"/>
  <c r="I25" i="62"/>
  <c r="H24" i="61" s="1"/>
  <c r="I28" i="62"/>
  <c r="H27" i="61" s="1"/>
  <c r="I29" i="62"/>
  <c r="H28" i="61" s="1"/>
  <c r="I24" i="62"/>
  <c r="G26" i="62"/>
  <c r="F25" i="61" s="1"/>
  <c r="E25" i="62"/>
  <c r="D24" i="61" s="1"/>
  <c r="E24" i="62"/>
  <c r="D23" i="61" s="1"/>
  <c r="E28" i="62"/>
  <c r="D27" i="61" s="1"/>
  <c r="G24" i="62"/>
  <c r="F23" i="61" s="1"/>
  <c r="F25" i="62"/>
  <c r="E24" i="61" s="1"/>
  <c r="G29" i="62"/>
  <c r="F28" i="61" s="1"/>
  <c r="H28" i="62"/>
  <c r="G27" i="61" s="1"/>
  <c r="F27" i="62"/>
  <c r="E26" i="61" s="1"/>
  <c r="E29" i="62"/>
  <c r="D28" i="61" s="1"/>
  <c r="H25" i="62"/>
  <c r="G24" i="61" s="1"/>
  <c r="G27" i="62"/>
  <c r="F26" i="61" s="1"/>
  <c r="F28" i="62"/>
  <c r="E27" i="61" s="1"/>
  <c r="E26" i="62"/>
  <c r="D25" i="61" s="1"/>
  <c r="H29" i="62"/>
  <c r="G28" i="61" s="1"/>
  <c r="F24" i="62"/>
  <c r="E23" i="61" s="1"/>
  <c r="G25" i="62"/>
  <c r="F24" i="61" s="1"/>
  <c r="E27" i="62"/>
  <c r="D26" i="61" s="1"/>
  <c r="F26" i="62"/>
  <c r="E25" i="61" s="1"/>
  <c r="H24" i="62"/>
  <c r="G23" i="61" s="1"/>
  <c r="H26" i="62"/>
  <c r="G25" i="61" s="1"/>
  <c r="H27" i="62"/>
  <c r="G26" i="61" s="1"/>
  <c r="F29" i="62"/>
  <c r="E28" i="61" s="1"/>
  <c r="G28" i="62"/>
  <c r="F27" i="61" s="1"/>
  <c r="O84" i="50"/>
  <c r="D144" i="65"/>
  <c r="L144" i="65" s="1"/>
  <c r="M84" i="50"/>
  <c r="D143" i="65"/>
  <c r="L143" i="65" s="1"/>
  <c r="D142" i="65"/>
  <c r="L142" i="65" s="1"/>
  <c r="I15" i="62"/>
  <c r="I17" i="62"/>
  <c r="I19" i="62"/>
  <c r="I18" i="62"/>
  <c r="I20" i="62"/>
  <c r="I16" i="62"/>
  <c r="H17" i="62"/>
  <c r="H19" i="62"/>
  <c r="H15" i="62"/>
  <c r="H16" i="62"/>
  <c r="H18" i="62"/>
  <c r="H20" i="62"/>
  <c r="F17" i="62"/>
  <c r="F19" i="62"/>
  <c r="F15" i="62"/>
  <c r="F16" i="62"/>
  <c r="F18" i="62"/>
  <c r="F20" i="62"/>
  <c r="E19" i="62"/>
  <c r="E15" i="62"/>
  <c r="E20" i="62"/>
  <c r="E18" i="62"/>
  <c r="E16" i="62"/>
  <c r="E17" i="62"/>
  <c r="G17" i="62"/>
  <c r="G19" i="62"/>
  <c r="G20" i="62"/>
  <c r="G16" i="62"/>
  <c r="G18" i="62"/>
  <c r="G15" i="62"/>
  <c r="D54" i="66"/>
  <c r="L54" i="66" s="1"/>
  <c r="D54" i="65"/>
  <c r="C20" i="61"/>
  <c r="D101" i="65"/>
  <c r="L101" i="65" s="1"/>
  <c r="D81" i="65"/>
  <c r="L81" i="65" s="1"/>
  <c r="D91" i="65"/>
  <c r="L91" i="65" s="1"/>
  <c r="D80" i="66"/>
  <c r="D143" i="66"/>
  <c r="D90" i="66"/>
  <c r="D100" i="66"/>
  <c r="D142" i="66"/>
  <c r="D79" i="66"/>
  <c r="D99" i="66"/>
  <c r="D89" i="66"/>
  <c r="D100" i="65"/>
  <c r="L100" i="65" s="1"/>
  <c r="D80" i="65"/>
  <c r="L80" i="65" s="1"/>
  <c r="D90" i="65"/>
  <c r="L90" i="65" s="1"/>
  <c r="D141" i="66"/>
  <c r="D78" i="66"/>
  <c r="D88" i="66"/>
  <c r="D98" i="66"/>
  <c r="D77" i="66"/>
  <c r="D97" i="66"/>
  <c r="D87" i="66"/>
  <c r="D140" i="66"/>
  <c r="D96" i="66"/>
  <c r="D70" i="66"/>
  <c r="D139" i="66"/>
  <c r="D76" i="66"/>
  <c r="D86" i="66"/>
  <c r="D99" i="65"/>
  <c r="L99" i="65" s="1"/>
  <c r="D79" i="65"/>
  <c r="L79" i="65" s="1"/>
  <c r="D89" i="65"/>
  <c r="L89" i="65" s="1"/>
  <c r="D98" i="65"/>
  <c r="L98" i="65" s="1"/>
  <c r="D88" i="65"/>
  <c r="L88" i="65" s="1"/>
  <c r="D78" i="65"/>
  <c r="L78" i="65" s="1"/>
  <c r="D97" i="65"/>
  <c r="D55" i="65"/>
  <c r="D77" i="65"/>
  <c r="L77" i="65" s="1"/>
  <c r="D87" i="65"/>
  <c r="D71" i="65"/>
  <c r="D53" i="66"/>
  <c r="D201" i="66"/>
  <c r="D24" i="66" s="1"/>
  <c r="D168" i="66"/>
  <c r="D21" i="66" s="1"/>
  <c r="D212" i="66"/>
  <c r="D25" i="66" s="1"/>
  <c r="D179" i="66"/>
  <c r="D22" i="66" s="1"/>
  <c r="D190" i="66"/>
  <c r="D23" i="66" s="1"/>
  <c r="D48" i="66"/>
  <c r="D156" i="66"/>
  <c r="F117" i="66"/>
  <c r="F131" i="66"/>
  <c r="F134" i="66" s="1"/>
  <c r="F135" i="66" s="1"/>
  <c r="H133" i="66"/>
  <c r="H117" i="66"/>
  <c r="H124" i="66"/>
  <c r="H108" i="66"/>
  <c r="H125" i="66"/>
  <c r="H109" i="66"/>
  <c r="H132" i="66"/>
  <c r="H116" i="66"/>
  <c r="H107" i="66"/>
  <c r="H110" i="66" s="1"/>
  <c r="H111" i="66" s="1"/>
  <c r="H131" i="66"/>
  <c r="H134" i="66" s="1"/>
  <c r="H135" i="66" s="1"/>
  <c r="H123" i="66"/>
  <c r="H126" i="66" s="1"/>
  <c r="H127" i="66" s="1"/>
  <c r="H115" i="66"/>
  <c r="H118" i="66" s="1"/>
  <c r="H119" i="66" s="1"/>
  <c r="I133" i="66"/>
  <c r="I117" i="66"/>
  <c r="I132" i="66"/>
  <c r="I116" i="66"/>
  <c r="I124" i="66"/>
  <c r="I108" i="66"/>
  <c r="I125" i="66"/>
  <c r="I109" i="66"/>
  <c r="I115" i="66"/>
  <c r="I118" i="66" s="1"/>
  <c r="I119" i="66" s="1"/>
  <c r="I107" i="66"/>
  <c r="I110" i="66" s="1"/>
  <c r="I111" i="66" s="1"/>
  <c r="I131" i="66"/>
  <c r="I134" i="66" s="1"/>
  <c r="I135" i="66" s="1"/>
  <c r="I123" i="66"/>
  <c r="I126" i="66" s="1"/>
  <c r="I127" i="66" s="1"/>
  <c r="G132" i="66"/>
  <c r="G116" i="66"/>
  <c r="G133" i="66"/>
  <c r="G117" i="66"/>
  <c r="G124" i="66"/>
  <c r="G108" i="66"/>
  <c r="G125" i="66"/>
  <c r="G109" i="66"/>
  <c r="G115" i="66"/>
  <c r="G118" i="66" s="1"/>
  <c r="G119" i="66" s="1"/>
  <c r="G131" i="66"/>
  <c r="G134" i="66" s="1"/>
  <c r="G135" i="66" s="1"/>
  <c r="G107" i="66"/>
  <c r="G110" i="66" s="1"/>
  <c r="G111" i="66" s="1"/>
  <c r="G123" i="66"/>
  <c r="G126" i="66" s="1"/>
  <c r="G127" i="66" s="1"/>
  <c r="E125" i="66"/>
  <c r="E109" i="66"/>
  <c r="E108" i="66"/>
  <c r="E132" i="66"/>
  <c r="E116" i="66"/>
  <c r="E133" i="66"/>
  <c r="E117" i="66"/>
  <c r="E124" i="66"/>
  <c r="E131" i="66"/>
  <c r="E134" i="66" s="1"/>
  <c r="E135" i="66" s="1"/>
  <c r="E115" i="66"/>
  <c r="E118" i="66" s="1"/>
  <c r="E119" i="66" s="1"/>
  <c r="E123" i="66"/>
  <c r="E126" i="66" s="1"/>
  <c r="E127" i="66" s="1"/>
  <c r="E107" i="66"/>
  <c r="E110" i="66" s="1"/>
  <c r="E111" i="66" s="1"/>
  <c r="L222" i="66"/>
  <c r="L224" i="65"/>
  <c r="L221" i="66"/>
  <c r="L223" i="65"/>
  <c r="L222" i="65"/>
  <c r="L223" i="66"/>
  <c r="L219" i="66"/>
  <c r="L221" i="65"/>
  <c r="L220" i="66"/>
  <c r="L220" i="65"/>
  <c r="L154" i="66"/>
  <c r="L155" i="66"/>
  <c r="L151" i="66"/>
  <c r="L152" i="66"/>
  <c r="L153" i="66"/>
  <c r="D34" i="66"/>
  <c r="D37" i="66" s="1"/>
  <c r="D37" i="62"/>
  <c r="D38" i="62"/>
  <c r="D35" i="66"/>
  <c r="L35" i="66" s="1"/>
  <c r="D36" i="62"/>
  <c r="D36" i="66"/>
  <c r="L36" i="66" s="1"/>
  <c r="D35" i="62"/>
  <c r="D202" i="65"/>
  <c r="D25" i="65" s="1"/>
  <c r="L180" i="65"/>
  <c r="L23" i="65" s="1"/>
  <c r="D180" i="65"/>
  <c r="D23" i="65" s="1"/>
  <c r="D169" i="65"/>
  <c r="D191" i="65"/>
  <c r="D24" i="65" s="1"/>
  <c r="L191" i="65"/>
  <c r="L24" i="65" s="1"/>
  <c r="D213" i="65"/>
  <c r="D26" i="65" s="1"/>
  <c r="L202" i="65"/>
  <c r="L25" i="65" s="1"/>
  <c r="D21" i="62"/>
  <c r="N75" i="50"/>
  <c r="O75" i="50"/>
  <c r="P75" i="50"/>
  <c r="M75" i="50"/>
  <c r="Q75" i="50"/>
  <c r="G116" i="65"/>
  <c r="G119" i="65" s="1"/>
  <c r="G124" i="65"/>
  <c r="G132" i="65"/>
  <c r="G108" i="65"/>
  <c r="G111" i="65" s="1"/>
  <c r="G133" i="65"/>
  <c r="O133" i="65" s="1"/>
  <c r="G125" i="65"/>
  <c r="O125" i="65" s="1"/>
  <c r="G109" i="65"/>
  <c r="G117" i="65"/>
  <c r="G110" i="65"/>
  <c r="G134" i="65"/>
  <c r="O134" i="65" s="1"/>
  <c r="G118" i="65"/>
  <c r="G126" i="65"/>
  <c r="O126" i="65" s="1"/>
  <c r="E124" i="65"/>
  <c r="E132" i="65"/>
  <c r="E108" i="65"/>
  <c r="E111" i="65" s="1"/>
  <c r="E110" i="65"/>
  <c r="E126" i="65"/>
  <c r="M126" i="65" s="1"/>
  <c r="E125" i="65"/>
  <c r="M125" i="65" s="1"/>
  <c r="E133" i="65"/>
  <c r="M133" i="65" s="1"/>
  <c r="E118" i="65"/>
  <c r="E116" i="65"/>
  <c r="E119" i="65" s="1"/>
  <c r="E109" i="65"/>
  <c r="E134" i="65"/>
  <c r="M134" i="65" s="1"/>
  <c r="E117" i="65"/>
  <c r="F108" i="65"/>
  <c r="F111" i="65" s="1"/>
  <c r="F132" i="65"/>
  <c r="F124" i="65"/>
  <c r="F116" i="65"/>
  <c r="F119" i="65" s="1"/>
  <c r="F125" i="65"/>
  <c r="N125" i="65" s="1"/>
  <c r="F109" i="65"/>
  <c r="F110" i="65"/>
  <c r="F133" i="65"/>
  <c r="N133" i="65" s="1"/>
  <c r="F117" i="65"/>
  <c r="F134" i="65"/>
  <c r="N134" i="65" s="1"/>
  <c r="F126" i="65"/>
  <c r="N126" i="65" s="1"/>
  <c r="F118" i="65"/>
  <c r="L213" i="65"/>
  <c r="L26" i="65" s="1"/>
  <c r="L132" i="65"/>
  <c r="L135" i="65" s="1"/>
  <c r="D135" i="65"/>
  <c r="I132" i="65"/>
  <c r="I116" i="65"/>
  <c r="I119" i="65" s="1"/>
  <c r="I124" i="65"/>
  <c r="I134" i="65"/>
  <c r="Q134" i="65" s="1"/>
  <c r="I133" i="65"/>
  <c r="Q133" i="65" s="1"/>
  <c r="I125" i="65"/>
  <c r="Q125" i="65" s="1"/>
  <c r="I108" i="65"/>
  <c r="I111" i="65" s="1"/>
  <c r="I126" i="65"/>
  <c r="Q126" i="65" s="1"/>
  <c r="I117" i="65"/>
  <c r="I109" i="65"/>
  <c r="I110" i="65"/>
  <c r="I118" i="65"/>
  <c r="L169" i="65"/>
  <c r="D36" i="65"/>
  <c r="L36" i="65" s="1"/>
  <c r="D127" i="65"/>
  <c r="L124" i="65"/>
  <c r="L127" i="65" s="1"/>
  <c r="D33" i="62"/>
  <c r="D35" i="65"/>
  <c r="D37" i="65"/>
  <c r="L37" i="65" s="1"/>
  <c r="H116" i="65"/>
  <c r="H119" i="65" s="1"/>
  <c r="H108" i="65"/>
  <c r="H111" i="65" s="1"/>
  <c r="H124" i="65"/>
  <c r="H132" i="65"/>
  <c r="H125" i="65"/>
  <c r="P125" i="65" s="1"/>
  <c r="H109" i="65"/>
  <c r="H118" i="65"/>
  <c r="H133" i="65"/>
  <c r="P133" i="65" s="1"/>
  <c r="H126" i="65"/>
  <c r="P126" i="65" s="1"/>
  <c r="H117" i="65"/>
  <c r="H134" i="65"/>
  <c r="P134" i="65" s="1"/>
  <c r="H110" i="65"/>
  <c r="F109" i="66" l="1"/>
  <c r="F124" i="66"/>
  <c r="F132" i="66"/>
  <c r="F107" i="66"/>
  <c r="F110" i="66" s="1"/>
  <c r="F111" i="66" s="1"/>
  <c r="F123" i="66"/>
  <c r="F126" i="66" s="1"/>
  <c r="F127" i="66" s="1"/>
  <c r="F116" i="66"/>
  <c r="F125" i="66"/>
  <c r="F108" i="66"/>
  <c r="F115" i="66"/>
  <c r="F118" i="66" s="1"/>
  <c r="F119" i="66" s="1"/>
  <c r="E43" i="62"/>
  <c r="E47" i="62"/>
  <c r="G46" i="62"/>
  <c r="I45" i="62"/>
  <c r="E45" i="62"/>
  <c r="G43" i="62"/>
  <c r="G44" i="62"/>
  <c r="F46" i="62"/>
  <c r="G42" i="62"/>
  <c r="F45" i="62"/>
  <c r="I43" i="62"/>
  <c r="H42" i="62"/>
  <c r="I47" i="62"/>
  <c r="E42" i="62"/>
  <c r="I44" i="62"/>
  <c r="H43" i="62"/>
  <c r="F44" i="62"/>
  <c r="E44" i="62"/>
  <c r="G47" i="62"/>
  <c r="F43" i="62"/>
  <c r="F47" i="62"/>
  <c r="G45" i="62"/>
  <c r="I46" i="62"/>
  <c r="E46" i="62"/>
  <c r="H47" i="62"/>
  <c r="E29" i="61"/>
  <c r="H23" i="61"/>
  <c r="H29" i="61" s="1"/>
  <c r="I42" i="62"/>
  <c r="G207" i="65"/>
  <c r="O207" i="65" s="1"/>
  <c r="G185" i="65"/>
  <c r="O185" i="65" s="1"/>
  <c r="G163" i="65"/>
  <c r="O163" i="65" s="1"/>
  <c r="G196" i="65"/>
  <c r="O196" i="65" s="1"/>
  <c r="G174" i="65"/>
  <c r="O174" i="65" s="1"/>
  <c r="G151" i="65"/>
  <c r="O151" i="65" s="1"/>
  <c r="G224" i="65"/>
  <c r="O224" i="65" s="1"/>
  <c r="G220" i="65"/>
  <c r="O220" i="65" s="1"/>
  <c r="G61" i="65"/>
  <c r="G221" i="65"/>
  <c r="O221" i="65" s="1"/>
  <c r="G66" i="65"/>
  <c r="G222" i="65"/>
  <c r="O222" i="65" s="1"/>
  <c r="G223" i="65"/>
  <c r="O223" i="65" s="1"/>
  <c r="G219" i="65"/>
  <c r="O219" i="65" s="1"/>
  <c r="G219" i="66"/>
  <c r="O219" i="66" s="1"/>
  <c r="G223" i="66"/>
  <c r="O223" i="66" s="1"/>
  <c r="G222" i="66"/>
  <c r="O222" i="66" s="1"/>
  <c r="G43" i="65"/>
  <c r="G221" i="66"/>
  <c r="O221" i="66" s="1"/>
  <c r="G218" i="66"/>
  <c r="O218" i="66" s="1"/>
  <c r="G220" i="66"/>
  <c r="O220" i="66" s="1"/>
  <c r="G65" i="66"/>
  <c r="G60" i="66"/>
  <c r="G195" i="66"/>
  <c r="G150" i="66"/>
  <c r="G173" i="66"/>
  <c r="G42" i="66"/>
  <c r="O42" i="66" s="1"/>
  <c r="G162" i="66"/>
  <c r="G206" i="66"/>
  <c r="G184" i="66"/>
  <c r="H46" i="62"/>
  <c r="F212" i="65"/>
  <c r="N212" i="65" s="1"/>
  <c r="F190" i="65"/>
  <c r="N190" i="65" s="1"/>
  <c r="F168" i="65"/>
  <c r="F201" i="65"/>
  <c r="N201" i="65" s="1"/>
  <c r="F179" i="65"/>
  <c r="N179" i="65" s="1"/>
  <c r="F156" i="65"/>
  <c r="N156" i="65" s="1"/>
  <c r="F48" i="65"/>
  <c r="N48" i="65" s="1"/>
  <c r="F211" i="66"/>
  <c r="F178" i="66"/>
  <c r="F47" i="66"/>
  <c r="N47" i="66" s="1"/>
  <c r="F155" i="66"/>
  <c r="N155" i="66" s="1"/>
  <c r="F167" i="66"/>
  <c r="F189" i="66"/>
  <c r="F200" i="66"/>
  <c r="H208" i="65"/>
  <c r="P208" i="65" s="1"/>
  <c r="H186" i="65"/>
  <c r="P186" i="65" s="1"/>
  <c r="H164" i="65"/>
  <c r="P164" i="65" s="1"/>
  <c r="H197" i="65"/>
  <c r="P197" i="65" s="1"/>
  <c r="H175" i="65"/>
  <c r="P175" i="65" s="1"/>
  <c r="H62" i="65"/>
  <c r="H67" i="65"/>
  <c r="H152" i="65"/>
  <c r="P152" i="65" s="1"/>
  <c r="H44" i="65"/>
  <c r="P44" i="65" s="1"/>
  <c r="H66" i="66"/>
  <c r="G63" i="61" s="1"/>
  <c r="H185" i="66"/>
  <c r="H207" i="66"/>
  <c r="H196" i="66"/>
  <c r="H174" i="66"/>
  <c r="H61" i="66"/>
  <c r="H43" i="66"/>
  <c r="P43" i="66" s="1"/>
  <c r="H163" i="66"/>
  <c r="H151" i="66"/>
  <c r="P151" i="66" s="1"/>
  <c r="I198" i="65"/>
  <c r="Q198" i="65" s="1"/>
  <c r="I176" i="65"/>
  <c r="Q176" i="65" s="1"/>
  <c r="I209" i="65"/>
  <c r="Q209" i="65" s="1"/>
  <c r="I187" i="65"/>
  <c r="Q187" i="65" s="1"/>
  <c r="I165" i="65"/>
  <c r="Q165" i="65" s="1"/>
  <c r="I153" i="65"/>
  <c r="Q153" i="65" s="1"/>
  <c r="I63" i="65"/>
  <c r="I68" i="65"/>
  <c r="I45" i="65"/>
  <c r="Q45" i="65" s="1"/>
  <c r="I164" i="66"/>
  <c r="I175" i="66"/>
  <c r="I152" i="66"/>
  <c r="Q152" i="66" s="1"/>
  <c r="I208" i="66"/>
  <c r="I44" i="66"/>
  <c r="Q44" i="66" s="1"/>
  <c r="I197" i="66"/>
  <c r="I186" i="66"/>
  <c r="I67" i="66"/>
  <c r="H64" i="61" s="1"/>
  <c r="I62" i="66"/>
  <c r="G199" i="65"/>
  <c r="O199" i="65" s="1"/>
  <c r="G210" i="65"/>
  <c r="O210" i="65" s="1"/>
  <c r="G188" i="65"/>
  <c r="O188" i="65" s="1"/>
  <c r="G166" i="65"/>
  <c r="O166" i="65" s="1"/>
  <c r="G177" i="65"/>
  <c r="O177" i="65" s="1"/>
  <c r="G154" i="65"/>
  <c r="O154" i="65" s="1"/>
  <c r="G64" i="65"/>
  <c r="G69" i="65"/>
  <c r="G46" i="65"/>
  <c r="O46" i="65" s="1"/>
  <c r="G176" i="66"/>
  <c r="G153" i="66"/>
  <c r="O153" i="66" s="1"/>
  <c r="G187" i="66"/>
  <c r="G198" i="66"/>
  <c r="G165" i="66"/>
  <c r="G209" i="66"/>
  <c r="G45" i="66"/>
  <c r="O45" i="66" s="1"/>
  <c r="G63" i="66"/>
  <c r="G68" i="66"/>
  <c r="F65" i="61" s="1"/>
  <c r="F210" i="65"/>
  <c r="N210" i="65" s="1"/>
  <c r="F188" i="65"/>
  <c r="N188" i="65" s="1"/>
  <c r="F166" i="65"/>
  <c r="N166" i="65" s="1"/>
  <c r="F199" i="65"/>
  <c r="N199" i="65" s="1"/>
  <c r="F177" i="65"/>
  <c r="N177" i="65" s="1"/>
  <c r="F69" i="65"/>
  <c r="F64" i="65"/>
  <c r="F154" i="65"/>
  <c r="N154" i="65" s="1"/>
  <c r="F46" i="65"/>
  <c r="N46" i="65" s="1"/>
  <c r="F153" i="66"/>
  <c r="N153" i="66" s="1"/>
  <c r="F187" i="66"/>
  <c r="F165" i="66"/>
  <c r="F198" i="66"/>
  <c r="F176" i="66"/>
  <c r="F209" i="66"/>
  <c r="F45" i="66"/>
  <c r="N45" i="66" s="1"/>
  <c r="F68" i="66"/>
  <c r="E65" i="61" s="1"/>
  <c r="F63" i="66"/>
  <c r="H163" i="65"/>
  <c r="P163" i="65" s="1"/>
  <c r="H207" i="65"/>
  <c r="P207" i="65" s="1"/>
  <c r="H185" i="65"/>
  <c r="P185" i="65" s="1"/>
  <c r="H196" i="65"/>
  <c r="P196" i="65" s="1"/>
  <c r="H174" i="65"/>
  <c r="P174" i="65" s="1"/>
  <c r="H224" i="65"/>
  <c r="P224" i="65" s="1"/>
  <c r="H220" i="65"/>
  <c r="P220" i="65" s="1"/>
  <c r="H221" i="65"/>
  <c r="P221" i="65" s="1"/>
  <c r="H151" i="65"/>
  <c r="P151" i="65" s="1"/>
  <c r="H61" i="65"/>
  <c r="H66" i="65"/>
  <c r="H222" i="65"/>
  <c r="P222" i="65" s="1"/>
  <c r="H223" i="65"/>
  <c r="H219" i="65"/>
  <c r="P219" i="65" s="1"/>
  <c r="H219" i="66"/>
  <c r="P219" i="66" s="1"/>
  <c r="H223" i="66"/>
  <c r="P223" i="66" s="1"/>
  <c r="H221" i="66"/>
  <c r="P221" i="66" s="1"/>
  <c r="H222" i="66"/>
  <c r="P222" i="66" s="1"/>
  <c r="H43" i="65"/>
  <c r="P43" i="65" s="1"/>
  <c r="H218" i="66"/>
  <c r="P218" i="66" s="1"/>
  <c r="H220" i="66"/>
  <c r="P220" i="66" s="1"/>
  <c r="H65" i="66"/>
  <c r="H60" i="66"/>
  <c r="H162" i="66"/>
  <c r="H195" i="66"/>
  <c r="H150" i="66"/>
  <c r="H206" i="66"/>
  <c r="H184" i="66"/>
  <c r="H42" i="66"/>
  <c r="P42" i="66" s="1"/>
  <c r="H173" i="66"/>
  <c r="I196" i="65"/>
  <c r="Q196" i="65" s="1"/>
  <c r="I174" i="65"/>
  <c r="Q174" i="65" s="1"/>
  <c r="I163" i="65"/>
  <c r="Q163" i="65" s="1"/>
  <c r="I207" i="65"/>
  <c r="Q207" i="65" s="1"/>
  <c r="I185" i="65"/>
  <c r="Q185" i="65" s="1"/>
  <c r="I224" i="65"/>
  <c r="Q224" i="65" s="1"/>
  <c r="I61" i="65"/>
  <c r="I221" i="65"/>
  <c r="Q221" i="65" s="1"/>
  <c r="I220" i="65"/>
  <c r="Q220" i="65" s="1"/>
  <c r="I151" i="65"/>
  <c r="Q151" i="65" s="1"/>
  <c r="I66" i="65"/>
  <c r="I222" i="65"/>
  <c r="Q222" i="65" s="1"/>
  <c r="I223" i="65"/>
  <c r="Q223" i="65" s="1"/>
  <c r="I219" i="65"/>
  <c r="Q219" i="65" s="1"/>
  <c r="I220" i="66"/>
  <c r="Q220" i="66" s="1"/>
  <c r="I219" i="66"/>
  <c r="Q219" i="66" s="1"/>
  <c r="I43" i="65"/>
  <c r="Q43" i="65" s="1"/>
  <c r="I223" i="66"/>
  <c r="Q223" i="66" s="1"/>
  <c r="I221" i="66"/>
  <c r="Q221" i="66" s="1"/>
  <c r="I222" i="66"/>
  <c r="Q222" i="66" s="1"/>
  <c r="I218" i="66"/>
  <c r="Q218" i="66" s="1"/>
  <c r="I65" i="66"/>
  <c r="I60" i="66"/>
  <c r="I184" i="66"/>
  <c r="I195" i="66"/>
  <c r="I173" i="66"/>
  <c r="I42" i="66"/>
  <c r="Q42" i="66" s="1"/>
  <c r="I150" i="66"/>
  <c r="I162" i="66"/>
  <c r="I206" i="66"/>
  <c r="E200" i="65"/>
  <c r="M200" i="65" s="1"/>
  <c r="E178" i="65"/>
  <c r="M178" i="65" s="1"/>
  <c r="E211" i="65"/>
  <c r="M211" i="65" s="1"/>
  <c r="E189" i="65"/>
  <c r="M189" i="65" s="1"/>
  <c r="E167" i="65"/>
  <c r="M167" i="65" s="1"/>
  <c r="E70" i="65"/>
  <c r="E155" i="65"/>
  <c r="M155" i="65" s="1"/>
  <c r="E65" i="65"/>
  <c r="E47" i="65"/>
  <c r="M47" i="65" s="1"/>
  <c r="E69" i="66"/>
  <c r="D66" i="61" s="1"/>
  <c r="E64" i="66"/>
  <c r="E46" i="66"/>
  <c r="M46" i="66" s="1"/>
  <c r="E188" i="66"/>
  <c r="E166" i="66"/>
  <c r="E199" i="66"/>
  <c r="E177" i="66"/>
  <c r="E154" i="66"/>
  <c r="M154" i="66" s="1"/>
  <c r="E210" i="66"/>
  <c r="G186" i="65"/>
  <c r="O186" i="65" s="1"/>
  <c r="G197" i="65"/>
  <c r="O197" i="65" s="1"/>
  <c r="G175" i="65"/>
  <c r="O175" i="65" s="1"/>
  <c r="G208" i="65"/>
  <c r="O208" i="65" s="1"/>
  <c r="G164" i="65"/>
  <c r="O164" i="65" s="1"/>
  <c r="G67" i="65"/>
  <c r="G62" i="65"/>
  <c r="G152" i="65"/>
  <c r="O152" i="65" s="1"/>
  <c r="G44" i="65"/>
  <c r="O44" i="65" s="1"/>
  <c r="G66" i="66"/>
  <c r="F63" i="61" s="1"/>
  <c r="G61" i="66"/>
  <c r="G174" i="66"/>
  <c r="G163" i="66"/>
  <c r="G185" i="66"/>
  <c r="G207" i="66"/>
  <c r="G151" i="66"/>
  <c r="O151" i="66" s="1"/>
  <c r="G43" i="66"/>
  <c r="O43" i="66" s="1"/>
  <c r="G196" i="66"/>
  <c r="E209" i="65"/>
  <c r="M209" i="65" s="1"/>
  <c r="E187" i="65"/>
  <c r="M187" i="65" s="1"/>
  <c r="E165" i="65"/>
  <c r="M165" i="65" s="1"/>
  <c r="E198" i="65"/>
  <c r="M198" i="65" s="1"/>
  <c r="E176" i="65"/>
  <c r="E153" i="65"/>
  <c r="M153" i="65" s="1"/>
  <c r="E63" i="65"/>
  <c r="E68" i="65"/>
  <c r="E45" i="65"/>
  <c r="M45" i="65" s="1"/>
  <c r="E186" i="66"/>
  <c r="E175" i="66"/>
  <c r="E164" i="66"/>
  <c r="E197" i="66"/>
  <c r="E152" i="66"/>
  <c r="M152" i="66" s="1"/>
  <c r="E208" i="66"/>
  <c r="E44" i="66"/>
  <c r="M44" i="66" s="1"/>
  <c r="E67" i="66"/>
  <c r="D64" i="61" s="1"/>
  <c r="E62" i="66"/>
  <c r="F197" i="65"/>
  <c r="N197" i="65" s="1"/>
  <c r="F175" i="65"/>
  <c r="N175" i="65" s="1"/>
  <c r="F208" i="65"/>
  <c r="N208" i="65" s="1"/>
  <c r="F186" i="65"/>
  <c r="N186" i="65" s="1"/>
  <c r="F164" i="65"/>
  <c r="N164" i="65" s="1"/>
  <c r="F67" i="65"/>
  <c r="F152" i="65"/>
  <c r="N152" i="65" s="1"/>
  <c r="F62" i="65"/>
  <c r="F44" i="65"/>
  <c r="N44" i="65" s="1"/>
  <c r="F66" i="66"/>
  <c r="E63" i="61" s="1"/>
  <c r="F174" i="66"/>
  <c r="F43" i="66"/>
  <c r="N43" i="66" s="1"/>
  <c r="F163" i="66"/>
  <c r="F185" i="66"/>
  <c r="F207" i="66"/>
  <c r="F196" i="66"/>
  <c r="F151" i="66"/>
  <c r="N151" i="66" s="1"/>
  <c r="F61" i="66"/>
  <c r="H200" i="65"/>
  <c r="H178" i="65"/>
  <c r="P178" i="65" s="1"/>
  <c r="H167" i="65"/>
  <c r="P167" i="65" s="1"/>
  <c r="H211" i="65"/>
  <c r="P211" i="65" s="1"/>
  <c r="H189" i="65"/>
  <c r="P189" i="65" s="1"/>
  <c r="H65" i="65"/>
  <c r="H70" i="65"/>
  <c r="H155" i="65"/>
  <c r="P155" i="65" s="1"/>
  <c r="H47" i="65"/>
  <c r="P47" i="65" s="1"/>
  <c r="H69" i="66"/>
  <c r="G66" i="61" s="1"/>
  <c r="H210" i="66"/>
  <c r="H64" i="66"/>
  <c r="H166" i="66"/>
  <c r="H199" i="66"/>
  <c r="H188" i="66"/>
  <c r="H46" i="66"/>
  <c r="P46" i="66" s="1"/>
  <c r="H154" i="66"/>
  <c r="P154" i="66" s="1"/>
  <c r="H177" i="66"/>
  <c r="F29" i="61"/>
  <c r="I211" i="65"/>
  <c r="Q211" i="65" s="1"/>
  <c r="I189" i="65"/>
  <c r="Q189" i="65" s="1"/>
  <c r="I167" i="65"/>
  <c r="Q167" i="65" s="1"/>
  <c r="I200" i="65"/>
  <c r="Q200" i="65" s="1"/>
  <c r="I178" i="65"/>
  <c r="Q178" i="65" s="1"/>
  <c r="I65" i="65"/>
  <c r="I70" i="65"/>
  <c r="I155" i="65"/>
  <c r="Q155" i="65" s="1"/>
  <c r="I47" i="65"/>
  <c r="Q47" i="65" s="1"/>
  <c r="I69" i="66"/>
  <c r="H66" i="61" s="1"/>
  <c r="I166" i="66"/>
  <c r="I46" i="66"/>
  <c r="Q46" i="66" s="1"/>
  <c r="I154" i="66"/>
  <c r="Q154" i="66" s="1"/>
  <c r="I188" i="66"/>
  <c r="I210" i="66"/>
  <c r="I64" i="66"/>
  <c r="I177" i="66"/>
  <c r="I199" i="66"/>
  <c r="G168" i="65"/>
  <c r="O168" i="65" s="1"/>
  <c r="G201" i="65"/>
  <c r="O201" i="65" s="1"/>
  <c r="G179" i="65"/>
  <c r="O179" i="65" s="1"/>
  <c r="G212" i="65"/>
  <c r="O212" i="65" s="1"/>
  <c r="G190" i="65"/>
  <c r="O190" i="65" s="1"/>
  <c r="G156" i="65"/>
  <c r="O156" i="65" s="1"/>
  <c r="G48" i="65"/>
  <c r="O48" i="65" s="1"/>
  <c r="G200" i="66"/>
  <c r="G167" i="66"/>
  <c r="G211" i="66"/>
  <c r="G47" i="66"/>
  <c r="O47" i="66" s="1"/>
  <c r="G178" i="66"/>
  <c r="G155" i="66"/>
  <c r="O155" i="66" s="1"/>
  <c r="G189" i="66"/>
  <c r="E197" i="65"/>
  <c r="M197" i="65" s="1"/>
  <c r="E175" i="65"/>
  <c r="M175" i="65" s="1"/>
  <c r="E164" i="65"/>
  <c r="M164" i="65" s="1"/>
  <c r="E208" i="65"/>
  <c r="M208" i="65" s="1"/>
  <c r="E186" i="65"/>
  <c r="M186" i="65" s="1"/>
  <c r="E67" i="65"/>
  <c r="E152" i="65"/>
  <c r="M152" i="65" s="1"/>
  <c r="E62" i="65"/>
  <c r="E44" i="65"/>
  <c r="M44" i="65" s="1"/>
  <c r="E66" i="66"/>
  <c r="D63" i="61" s="1"/>
  <c r="E163" i="66"/>
  <c r="E61" i="66"/>
  <c r="E151" i="66"/>
  <c r="M151" i="66" s="1"/>
  <c r="E43" i="66"/>
  <c r="M43" i="66" s="1"/>
  <c r="E196" i="66"/>
  <c r="E174" i="66"/>
  <c r="E185" i="66"/>
  <c r="E207" i="66"/>
  <c r="F174" i="65"/>
  <c r="N174" i="65" s="1"/>
  <c r="F207" i="65"/>
  <c r="N207" i="65" s="1"/>
  <c r="F185" i="65"/>
  <c r="N185" i="65" s="1"/>
  <c r="F163" i="65"/>
  <c r="N163" i="65" s="1"/>
  <c r="F196" i="65"/>
  <c r="N196" i="65" s="1"/>
  <c r="F151" i="65"/>
  <c r="N151" i="65" s="1"/>
  <c r="F223" i="65"/>
  <c r="N223" i="65" s="1"/>
  <c r="F219" i="65"/>
  <c r="N219" i="65" s="1"/>
  <c r="F224" i="65"/>
  <c r="N224" i="65" s="1"/>
  <c r="F220" i="65"/>
  <c r="N220" i="65" s="1"/>
  <c r="F61" i="65"/>
  <c r="F221" i="65"/>
  <c r="N221" i="65" s="1"/>
  <c r="F66" i="65"/>
  <c r="F222" i="65"/>
  <c r="N222" i="65" s="1"/>
  <c r="F219" i="66"/>
  <c r="N219" i="66" s="1"/>
  <c r="F43" i="65"/>
  <c r="N43" i="65" s="1"/>
  <c r="F220" i="66"/>
  <c r="N220" i="66" s="1"/>
  <c r="F223" i="66"/>
  <c r="N223" i="66" s="1"/>
  <c r="F222" i="66"/>
  <c r="N222" i="66" s="1"/>
  <c r="F221" i="66"/>
  <c r="N221" i="66" s="1"/>
  <c r="F218" i="66"/>
  <c r="N218" i="66" s="1"/>
  <c r="F65" i="66"/>
  <c r="F60" i="66"/>
  <c r="F162" i="66"/>
  <c r="F150" i="66"/>
  <c r="F42" i="66"/>
  <c r="N42" i="66" s="1"/>
  <c r="F206" i="66"/>
  <c r="F173" i="66"/>
  <c r="F195" i="66"/>
  <c r="F184" i="66"/>
  <c r="H198" i="65"/>
  <c r="P198" i="65" s="1"/>
  <c r="H176" i="65"/>
  <c r="P176" i="65" s="1"/>
  <c r="H209" i="65"/>
  <c r="P209" i="65" s="1"/>
  <c r="H187" i="65"/>
  <c r="P187" i="65" s="1"/>
  <c r="H165" i="65"/>
  <c r="P165" i="65" s="1"/>
  <c r="H68" i="65"/>
  <c r="H153" i="65"/>
  <c r="P153" i="65" s="1"/>
  <c r="H63" i="65"/>
  <c r="H45" i="65"/>
  <c r="P45" i="65" s="1"/>
  <c r="H175" i="66"/>
  <c r="H44" i="66"/>
  <c r="P44" i="66" s="1"/>
  <c r="H152" i="66"/>
  <c r="P152" i="66" s="1"/>
  <c r="H208" i="66"/>
  <c r="H164" i="66"/>
  <c r="H186" i="66"/>
  <c r="H197" i="66"/>
  <c r="H67" i="66"/>
  <c r="G64" i="61" s="1"/>
  <c r="H62" i="66"/>
  <c r="D145" i="65"/>
  <c r="D20" i="65" s="1"/>
  <c r="G29" i="61"/>
  <c r="H210" i="65"/>
  <c r="P210" i="65" s="1"/>
  <c r="H188" i="65"/>
  <c r="P188" i="65" s="1"/>
  <c r="H166" i="65"/>
  <c r="P166" i="65" s="1"/>
  <c r="H199" i="65"/>
  <c r="P199" i="65" s="1"/>
  <c r="H177" i="65"/>
  <c r="P177" i="65" s="1"/>
  <c r="H64" i="65"/>
  <c r="H154" i="65"/>
  <c r="P154" i="65" s="1"/>
  <c r="H69" i="65"/>
  <c r="H46" i="65"/>
  <c r="P46" i="65" s="1"/>
  <c r="H45" i="66"/>
  <c r="P45" i="66" s="1"/>
  <c r="H187" i="66"/>
  <c r="H209" i="66"/>
  <c r="H153" i="66"/>
  <c r="P153" i="66" s="1"/>
  <c r="H176" i="66"/>
  <c r="H165" i="66"/>
  <c r="H198" i="66"/>
  <c r="H63" i="66"/>
  <c r="H68" i="66"/>
  <c r="G65" i="61" s="1"/>
  <c r="G200" i="65"/>
  <c r="O200" i="65" s="1"/>
  <c r="G178" i="65"/>
  <c r="O178" i="65" s="1"/>
  <c r="G211" i="65"/>
  <c r="O211" i="65" s="1"/>
  <c r="G189" i="65"/>
  <c r="O189" i="65" s="1"/>
  <c r="G167" i="65"/>
  <c r="O167" i="65" s="1"/>
  <c r="G65" i="65"/>
  <c r="G155" i="65"/>
  <c r="O155" i="65" s="1"/>
  <c r="G70" i="65"/>
  <c r="G47" i="65"/>
  <c r="O47" i="65" s="1"/>
  <c r="G69" i="66"/>
  <c r="F66" i="61" s="1"/>
  <c r="G199" i="66"/>
  <c r="G177" i="66"/>
  <c r="G210" i="66"/>
  <c r="G64" i="66"/>
  <c r="G166" i="66"/>
  <c r="G46" i="66"/>
  <c r="O46" i="66" s="1"/>
  <c r="G188" i="66"/>
  <c r="G154" i="66"/>
  <c r="O154" i="66" s="1"/>
  <c r="H44" i="62"/>
  <c r="H45" i="62"/>
  <c r="E166" i="65"/>
  <c r="M166" i="65" s="1"/>
  <c r="E199" i="65"/>
  <c r="M199" i="65" s="1"/>
  <c r="E177" i="65"/>
  <c r="M177" i="65" s="1"/>
  <c r="E188" i="65"/>
  <c r="M188" i="65" s="1"/>
  <c r="E210" i="65"/>
  <c r="M210" i="65" s="1"/>
  <c r="E64" i="65"/>
  <c r="E69" i="65"/>
  <c r="E154" i="65"/>
  <c r="M154" i="65" s="1"/>
  <c r="E46" i="65"/>
  <c r="M46" i="65" s="1"/>
  <c r="E198" i="66"/>
  <c r="E45" i="66"/>
  <c r="M45" i="66" s="1"/>
  <c r="E187" i="66"/>
  <c r="E209" i="66"/>
  <c r="E153" i="66"/>
  <c r="M153" i="66" s="1"/>
  <c r="E176" i="66"/>
  <c r="E165" i="66"/>
  <c r="E68" i="66"/>
  <c r="D65" i="61" s="1"/>
  <c r="E63" i="66"/>
  <c r="F200" i="65"/>
  <c r="N200" i="65" s="1"/>
  <c r="F178" i="65"/>
  <c r="N178" i="65" s="1"/>
  <c r="F189" i="65"/>
  <c r="N189" i="65" s="1"/>
  <c r="F211" i="65"/>
  <c r="N211" i="65" s="1"/>
  <c r="F167" i="65"/>
  <c r="N167" i="65" s="1"/>
  <c r="F155" i="65"/>
  <c r="N155" i="65" s="1"/>
  <c r="F65" i="65"/>
  <c r="F70" i="65"/>
  <c r="F47" i="65"/>
  <c r="N47" i="65" s="1"/>
  <c r="F69" i="66"/>
  <c r="E66" i="61" s="1"/>
  <c r="F210" i="66"/>
  <c r="F64" i="66"/>
  <c r="F166" i="66"/>
  <c r="F154" i="66"/>
  <c r="N154" i="66" s="1"/>
  <c r="F199" i="66"/>
  <c r="F188" i="66"/>
  <c r="F177" i="66"/>
  <c r="F46" i="66"/>
  <c r="N46" i="66" s="1"/>
  <c r="I208" i="65"/>
  <c r="Q208" i="65" s="1"/>
  <c r="I186" i="65"/>
  <c r="Q186" i="65" s="1"/>
  <c r="I164" i="65"/>
  <c r="Q164" i="65" s="1"/>
  <c r="I197" i="65"/>
  <c r="Q197" i="65" s="1"/>
  <c r="I175" i="65"/>
  <c r="Q175" i="65" s="1"/>
  <c r="I152" i="65"/>
  <c r="Q152" i="65" s="1"/>
  <c r="I62" i="65"/>
  <c r="I67" i="65"/>
  <c r="I44" i="65"/>
  <c r="Q44" i="65" s="1"/>
  <c r="I66" i="66"/>
  <c r="H63" i="61" s="1"/>
  <c r="I61" i="66"/>
  <c r="I185" i="66"/>
  <c r="I207" i="66"/>
  <c r="I196" i="66"/>
  <c r="I151" i="66"/>
  <c r="Q151" i="66" s="1"/>
  <c r="I163" i="66"/>
  <c r="I174" i="66"/>
  <c r="I43" i="66"/>
  <c r="Q43" i="66" s="1"/>
  <c r="D29" i="61"/>
  <c r="G198" i="65"/>
  <c r="O198" i="65" s="1"/>
  <c r="G176" i="65"/>
  <c r="O176" i="65" s="1"/>
  <c r="G165" i="65"/>
  <c r="O165" i="65" s="1"/>
  <c r="G209" i="65"/>
  <c r="O209" i="65" s="1"/>
  <c r="G187" i="65"/>
  <c r="O187" i="65" s="1"/>
  <c r="G68" i="65"/>
  <c r="G153" i="65"/>
  <c r="O153" i="65" s="1"/>
  <c r="G63" i="65"/>
  <c r="G45" i="65"/>
  <c r="O45" i="65" s="1"/>
  <c r="G164" i="66"/>
  <c r="G197" i="66"/>
  <c r="G44" i="66"/>
  <c r="O44" i="66" s="1"/>
  <c r="G208" i="66"/>
  <c r="G186" i="66"/>
  <c r="G152" i="66"/>
  <c r="O152" i="66" s="1"/>
  <c r="G175" i="66"/>
  <c r="G67" i="66"/>
  <c r="F64" i="61" s="1"/>
  <c r="G62" i="66"/>
  <c r="E179" i="65"/>
  <c r="M179" i="65" s="1"/>
  <c r="E212" i="65"/>
  <c r="M212" i="65" s="1"/>
  <c r="E190" i="65"/>
  <c r="M190" i="65" s="1"/>
  <c r="E168" i="65"/>
  <c r="M168" i="65" s="1"/>
  <c r="E201" i="65"/>
  <c r="M201" i="65" s="1"/>
  <c r="E156" i="65"/>
  <c r="M156" i="65" s="1"/>
  <c r="E48" i="65"/>
  <c r="M48" i="65" s="1"/>
  <c r="E167" i="66"/>
  <c r="E155" i="66"/>
  <c r="M155" i="66" s="1"/>
  <c r="E189" i="66"/>
  <c r="E178" i="66"/>
  <c r="E47" i="66"/>
  <c r="M47" i="66" s="1"/>
  <c r="E211" i="66"/>
  <c r="E200" i="66"/>
  <c r="F198" i="65"/>
  <c r="N198" i="65" s="1"/>
  <c r="F165" i="65"/>
  <c r="N165" i="65" s="1"/>
  <c r="F209" i="65"/>
  <c r="N209" i="65" s="1"/>
  <c r="F187" i="65"/>
  <c r="N187" i="65" s="1"/>
  <c r="F176" i="65"/>
  <c r="N176" i="65" s="1"/>
  <c r="F63" i="65"/>
  <c r="F153" i="65"/>
  <c r="N153" i="65" s="1"/>
  <c r="F68" i="65"/>
  <c r="F45" i="65"/>
  <c r="N45" i="65" s="1"/>
  <c r="F152" i="66"/>
  <c r="N152" i="66" s="1"/>
  <c r="F208" i="66"/>
  <c r="F197" i="66"/>
  <c r="F186" i="66"/>
  <c r="F164" i="66"/>
  <c r="F175" i="66"/>
  <c r="F44" i="66"/>
  <c r="N44" i="66" s="1"/>
  <c r="F62" i="66"/>
  <c r="F67" i="66"/>
  <c r="E64" i="61" s="1"/>
  <c r="I168" i="65"/>
  <c r="Q168" i="65" s="1"/>
  <c r="I201" i="65"/>
  <c r="Q201" i="65" s="1"/>
  <c r="I179" i="65"/>
  <c r="Q179" i="65" s="1"/>
  <c r="I212" i="65"/>
  <c r="Q212" i="65" s="1"/>
  <c r="I190" i="65"/>
  <c r="Q190" i="65" s="1"/>
  <c r="I156" i="65"/>
  <c r="Q156" i="65" s="1"/>
  <c r="I48" i="65"/>
  <c r="Q48" i="65" s="1"/>
  <c r="I167" i="66"/>
  <c r="I189" i="66"/>
  <c r="I178" i="66"/>
  <c r="I200" i="66"/>
  <c r="I155" i="66"/>
  <c r="Q155" i="66" s="1"/>
  <c r="I211" i="66"/>
  <c r="I47" i="66"/>
  <c r="Q47" i="66" s="1"/>
  <c r="E207" i="65"/>
  <c r="M207" i="65" s="1"/>
  <c r="E185" i="65"/>
  <c r="M185" i="65" s="1"/>
  <c r="E163" i="65"/>
  <c r="M163" i="65" s="1"/>
  <c r="E196" i="65"/>
  <c r="M196" i="65" s="1"/>
  <c r="E174" i="65"/>
  <c r="M174" i="65" s="1"/>
  <c r="E66" i="65"/>
  <c r="E223" i="65"/>
  <c r="M223" i="65" s="1"/>
  <c r="E219" i="65"/>
  <c r="M219" i="65" s="1"/>
  <c r="E224" i="65"/>
  <c r="M224" i="65" s="1"/>
  <c r="E220" i="65"/>
  <c r="M220" i="65" s="1"/>
  <c r="E222" i="65"/>
  <c r="M222" i="65" s="1"/>
  <c r="E61" i="65"/>
  <c r="E221" i="65"/>
  <c r="M221" i="65" s="1"/>
  <c r="E151" i="65"/>
  <c r="M151" i="65" s="1"/>
  <c r="E222" i="66"/>
  <c r="M222" i="66" s="1"/>
  <c r="E223" i="66"/>
  <c r="M223" i="66" s="1"/>
  <c r="E43" i="65"/>
  <c r="M43" i="65" s="1"/>
  <c r="E221" i="66"/>
  <c r="M221" i="66" s="1"/>
  <c r="E219" i="66"/>
  <c r="M219" i="66" s="1"/>
  <c r="E218" i="66"/>
  <c r="M218" i="66" s="1"/>
  <c r="E220" i="66"/>
  <c r="M220" i="66" s="1"/>
  <c r="E65" i="66"/>
  <c r="E60" i="66"/>
  <c r="E42" i="66"/>
  <c r="M42" i="66" s="1"/>
  <c r="E162" i="66"/>
  <c r="E150" i="66"/>
  <c r="E206" i="66"/>
  <c r="E195" i="66"/>
  <c r="E184" i="66"/>
  <c r="E173" i="66"/>
  <c r="H201" i="65"/>
  <c r="P201" i="65" s="1"/>
  <c r="H179" i="65"/>
  <c r="P179" i="65" s="1"/>
  <c r="H168" i="65"/>
  <c r="P168" i="65" s="1"/>
  <c r="H212" i="65"/>
  <c r="P212" i="65" s="1"/>
  <c r="H190" i="65"/>
  <c r="P190" i="65" s="1"/>
  <c r="H156" i="65"/>
  <c r="P156" i="65" s="1"/>
  <c r="H48" i="65"/>
  <c r="P48" i="65" s="1"/>
  <c r="H200" i="66"/>
  <c r="H178" i="66"/>
  <c r="H167" i="66"/>
  <c r="H189" i="66"/>
  <c r="H211" i="66"/>
  <c r="H47" i="66"/>
  <c r="P47" i="66" s="1"/>
  <c r="H155" i="66"/>
  <c r="P155" i="66" s="1"/>
  <c r="I177" i="65"/>
  <c r="Q177" i="65" s="1"/>
  <c r="I210" i="65"/>
  <c r="Q210" i="65" s="1"/>
  <c r="I188" i="65"/>
  <c r="Q188" i="65" s="1"/>
  <c r="I166" i="65"/>
  <c r="Q166" i="65" s="1"/>
  <c r="I199" i="65"/>
  <c r="Q199" i="65" s="1"/>
  <c r="I69" i="65"/>
  <c r="I154" i="65"/>
  <c r="Q154" i="65" s="1"/>
  <c r="I64" i="65"/>
  <c r="I46" i="65"/>
  <c r="Q46" i="65" s="1"/>
  <c r="I45" i="66"/>
  <c r="Q45" i="66" s="1"/>
  <c r="I176" i="66"/>
  <c r="I165" i="66"/>
  <c r="I198" i="66"/>
  <c r="I187" i="66"/>
  <c r="I209" i="66"/>
  <c r="I153" i="66"/>
  <c r="I63" i="66"/>
  <c r="I68" i="66"/>
  <c r="H65" i="61" s="1"/>
  <c r="F30" i="62"/>
  <c r="F42" i="62"/>
  <c r="H30" i="62"/>
  <c r="E30" i="62"/>
  <c r="I30" i="62"/>
  <c r="G30" i="62"/>
  <c r="D56" i="65"/>
  <c r="D12" i="65" s="1"/>
  <c r="D55" i="66"/>
  <c r="N168" i="65"/>
  <c r="I34" i="62"/>
  <c r="M176" i="65"/>
  <c r="O43" i="65"/>
  <c r="I33" i="62"/>
  <c r="D144" i="66"/>
  <c r="D19" i="66" s="1"/>
  <c r="D82" i="65"/>
  <c r="L140" i="65"/>
  <c r="L145" i="65" s="1"/>
  <c r="L20" i="65" s="1"/>
  <c r="G18" i="61"/>
  <c r="P200" i="65"/>
  <c r="F18" i="61"/>
  <c r="G16" i="61"/>
  <c r="H19" i="61"/>
  <c r="D15" i="61"/>
  <c r="F19" i="61"/>
  <c r="H18" i="61"/>
  <c r="D16" i="61"/>
  <c r="F17" i="61"/>
  <c r="H14" i="61"/>
  <c r="D14" i="61"/>
  <c r="E21" i="62"/>
  <c r="D91" i="66"/>
  <c r="D13" i="66" s="1"/>
  <c r="F16" i="61"/>
  <c r="D81" i="66"/>
  <c r="D12" i="66" s="1"/>
  <c r="H16" i="61"/>
  <c r="E18" i="61"/>
  <c r="D101" i="66"/>
  <c r="D14" i="66" s="1"/>
  <c r="F14" i="61"/>
  <c r="G19" i="61"/>
  <c r="H17" i="61"/>
  <c r="E14" i="61"/>
  <c r="E17" i="61"/>
  <c r="G17" i="61"/>
  <c r="D19" i="61"/>
  <c r="E16" i="61"/>
  <c r="G15" i="61"/>
  <c r="D17" i="61"/>
  <c r="E19" i="61"/>
  <c r="F15" i="61"/>
  <c r="G14" i="61"/>
  <c r="H15" i="61"/>
  <c r="D18" i="61"/>
  <c r="E15" i="61"/>
  <c r="D157" i="65"/>
  <c r="D21" i="65" s="1"/>
  <c r="L225" i="65"/>
  <c r="P223" i="65"/>
  <c r="D39" i="62"/>
  <c r="C34" i="61" s="1"/>
  <c r="E37" i="62"/>
  <c r="F38" i="62"/>
  <c r="G36" i="66"/>
  <c r="O36" i="66" s="1"/>
  <c r="G35" i="62"/>
  <c r="D224" i="66"/>
  <c r="D26" i="66" s="1"/>
  <c r="E36" i="66"/>
  <c r="M36" i="66" s="1"/>
  <c r="E35" i="62"/>
  <c r="H35" i="66"/>
  <c r="P35" i="66" s="1"/>
  <c r="H34" i="62"/>
  <c r="G36" i="62"/>
  <c r="E36" i="62"/>
  <c r="H36" i="62"/>
  <c r="G37" i="62"/>
  <c r="H36" i="66"/>
  <c r="P36" i="66" s="1"/>
  <c r="H35" i="62"/>
  <c r="I36" i="66"/>
  <c r="Q36" i="66" s="1"/>
  <c r="I35" i="62"/>
  <c r="D10" i="66"/>
  <c r="D10" i="65" s="1"/>
  <c r="D20" i="66"/>
  <c r="H21" i="62"/>
  <c r="H34" i="66"/>
  <c r="H37" i="66" s="1"/>
  <c r="H38" i="66" s="1"/>
  <c r="F35" i="66"/>
  <c r="N35" i="66" s="1"/>
  <c r="F34" i="62"/>
  <c r="H37" i="62"/>
  <c r="I36" i="62"/>
  <c r="F36" i="66"/>
  <c r="N36" i="66" s="1"/>
  <c r="F35" i="62"/>
  <c r="H38" i="62"/>
  <c r="I37" i="62"/>
  <c r="F21" i="62"/>
  <c r="F34" i="66"/>
  <c r="F37" i="66" s="1"/>
  <c r="F38" i="66" s="1"/>
  <c r="E34" i="66"/>
  <c r="E37" i="66" s="1"/>
  <c r="E38" i="66" s="1"/>
  <c r="E38" i="62"/>
  <c r="F36" i="62"/>
  <c r="G38" i="62"/>
  <c r="I38" i="62"/>
  <c r="I21" i="62"/>
  <c r="I34" i="66"/>
  <c r="I37" i="66" s="1"/>
  <c r="I38" i="66" s="1"/>
  <c r="G21" i="62"/>
  <c r="G34" i="66"/>
  <c r="G37" i="66" s="1"/>
  <c r="G38" i="66" s="1"/>
  <c r="E35" i="66"/>
  <c r="M35" i="66" s="1"/>
  <c r="E34" i="62"/>
  <c r="F37" i="62"/>
  <c r="G35" i="66"/>
  <c r="O35" i="66" s="1"/>
  <c r="G34" i="62"/>
  <c r="I35" i="66"/>
  <c r="Q35" i="66" s="1"/>
  <c r="L218" i="66"/>
  <c r="L49" i="65"/>
  <c r="L11" i="65" s="1"/>
  <c r="D49" i="65"/>
  <c r="D11" i="65" s="1"/>
  <c r="L22" i="65"/>
  <c r="D22" i="65"/>
  <c r="E36" i="65"/>
  <c r="M36" i="65" s="1"/>
  <c r="F33" i="62"/>
  <c r="F35" i="65"/>
  <c r="H81" i="61"/>
  <c r="I35" i="65"/>
  <c r="I120" i="65"/>
  <c r="E82" i="61"/>
  <c r="G37" i="65"/>
  <c r="O37" i="65" s="1"/>
  <c r="H37" i="65"/>
  <c r="P37" i="65" s="1"/>
  <c r="E127" i="65"/>
  <c r="M124" i="65"/>
  <c r="M127" i="65" s="1"/>
  <c r="M128" i="65" s="1"/>
  <c r="G120" i="65"/>
  <c r="F37" i="65"/>
  <c r="N37" i="65" s="1"/>
  <c r="L87" i="65"/>
  <c r="I36" i="65"/>
  <c r="Q36" i="65" s="1"/>
  <c r="I135" i="65"/>
  <c r="Q132" i="65"/>
  <c r="Q135" i="65" s="1"/>
  <c r="Q136" i="65" s="1"/>
  <c r="G35" i="65"/>
  <c r="G33" i="62"/>
  <c r="H36" i="65"/>
  <c r="P36" i="65" s="1"/>
  <c r="E120" i="65"/>
  <c r="H127" i="65"/>
  <c r="P124" i="65"/>
  <c r="P127" i="65" s="1"/>
  <c r="P128" i="65" s="1"/>
  <c r="H112" i="65"/>
  <c r="D81" i="61"/>
  <c r="F36" i="65"/>
  <c r="N36" i="65" s="1"/>
  <c r="F81" i="61"/>
  <c r="H33" i="62"/>
  <c r="H35" i="65"/>
  <c r="H120" i="65"/>
  <c r="L150" i="66"/>
  <c r="E33" i="62"/>
  <c r="E35" i="65"/>
  <c r="F82" i="61"/>
  <c r="G112" i="65"/>
  <c r="L35" i="65"/>
  <c r="L38" i="65" s="1"/>
  <c r="D38" i="65"/>
  <c r="D225" i="65"/>
  <c r="D27" i="65" s="1"/>
  <c r="L97" i="65"/>
  <c r="F120" i="65"/>
  <c r="E37" i="65"/>
  <c r="M37" i="65" s="1"/>
  <c r="H135" i="65"/>
  <c r="P132" i="65"/>
  <c r="P135" i="65" s="1"/>
  <c r="P136" i="65" s="1"/>
  <c r="D82" i="61"/>
  <c r="H82" i="61"/>
  <c r="F127" i="65"/>
  <c r="N124" i="65"/>
  <c r="N127" i="65" s="1"/>
  <c r="N128" i="65" s="1"/>
  <c r="F112" i="65"/>
  <c r="E112" i="65"/>
  <c r="G135" i="65"/>
  <c r="O132" i="65"/>
  <c r="O135" i="65" s="1"/>
  <c r="O136" i="65" s="1"/>
  <c r="G81" i="61"/>
  <c r="I37" i="65"/>
  <c r="Q37" i="65" s="1"/>
  <c r="I127" i="65"/>
  <c r="Q124" i="65"/>
  <c r="Q127" i="65" s="1"/>
  <c r="Q128" i="65" s="1"/>
  <c r="E81" i="61"/>
  <c r="N132" i="65"/>
  <c r="N135" i="65" s="1"/>
  <c r="N136" i="65" s="1"/>
  <c r="F135" i="65"/>
  <c r="E135" i="65"/>
  <c r="M132" i="65"/>
  <c r="M135" i="65" s="1"/>
  <c r="M136" i="65" s="1"/>
  <c r="L34" i="66"/>
  <c r="L37" i="66" s="1"/>
  <c r="G82" i="61"/>
  <c r="I112" i="65"/>
  <c r="G36" i="65"/>
  <c r="O36" i="65" s="1"/>
  <c r="G127" i="65"/>
  <c r="O124" i="65"/>
  <c r="O127" i="65" s="1"/>
  <c r="O128" i="65" s="1"/>
  <c r="E48" i="62" l="1"/>
  <c r="E143" i="65"/>
  <c r="M143" i="65" s="1"/>
  <c r="I48" i="62"/>
  <c r="F48" i="62"/>
  <c r="G48" i="62"/>
  <c r="I143" i="65"/>
  <c r="Q143" i="65" s="1"/>
  <c r="H141" i="65"/>
  <c r="P141" i="65" s="1"/>
  <c r="E140" i="65"/>
  <c r="F140" i="65"/>
  <c r="G143" i="65"/>
  <c r="O143" i="65" s="1"/>
  <c r="F142" i="65"/>
  <c r="N142" i="65" s="1"/>
  <c r="F141" i="65"/>
  <c r="N141" i="65" s="1"/>
  <c r="G144" i="65"/>
  <c r="O144" i="65" s="1"/>
  <c r="G140" i="65"/>
  <c r="H140" i="65"/>
  <c r="H48" i="62"/>
  <c r="I140" i="65"/>
  <c r="I142" i="65"/>
  <c r="E142" i="65"/>
  <c r="M142" i="65" s="1"/>
  <c r="G142" i="65"/>
  <c r="O142" i="65" s="1"/>
  <c r="I144" i="65"/>
  <c r="Q144" i="65" s="1"/>
  <c r="I141" i="65"/>
  <c r="Q141" i="65" s="1"/>
  <c r="H142" i="65"/>
  <c r="E141" i="65"/>
  <c r="G141" i="65"/>
  <c r="O141" i="65" s="1"/>
  <c r="F143" i="65"/>
  <c r="N143" i="65" s="1"/>
  <c r="F144" i="65"/>
  <c r="N144" i="65" s="1"/>
  <c r="H143" i="65"/>
  <c r="P143" i="65" s="1"/>
  <c r="H144" i="65"/>
  <c r="P144" i="65" s="1"/>
  <c r="E144" i="65"/>
  <c r="M144" i="65" s="1"/>
  <c r="E54" i="65"/>
  <c r="H54" i="65"/>
  <c r="G62" i="61"/>
  <c r="H54" i="66"/>
  <c r="P54" i="66" s="1"/>
  <c r="D62" i="61"/>
  <c r="E54" i="66"/>
  <c r="M54" i="66" s="1"/>
  <c r="F62" i="61"/>
  <c r="G54" i="66"/>
  <c r="O54" i="66" s="1"/>
  <c r="F54" i="65"/>
  <c r="I54" i="65"/>
  <c r="G54" i="65"/>
  <c r="E62" i="61"/>
  <c r="F54" i="66"/>
  <c r="N54" i="66" s="1"/>
  <c r="H62" i="61"/>
  <c r="I54" i="66"/>
  <c r="Q54" i="66" s="1"/>
  <c r="F98" i="65"/>
  <c r="N98" i="65" s="1"/>
  <c r="F78" i="65"/>
  <c r="N78" i="65" s="1"/>
  <c r="F88" i="65"/>
  <c r="N88" i="65" s="1"/>
  <c r="F77" i="66"/>
  <c r="F87" i="66"/>
  <c r="F97" i="66"/>
  <c r="F140" i="66"/>
  <c r="E58" i="61"/>
  <c r="F99" i="65"/>
  <c r="N99" i="65" s="1"/>
  <c r="F79" i="65"/>
  <c r="N79" i="65" s="1"/>
  <c r="F89" i="65"/>
  <c r="N89" i="65" s="1"/>
  <c r="H99" i="66"/>
  <c r="H79" i="66"/>
  <c r="G60" i="61"/>
  <c r="H89" i="66"/>
  <c r="H142" i="66"/>
  <c r="F100" i="66"/>
  <c r="F143" i="66"/>
  <c r="F80" i="66"/>
  <c r="E61" i="61"/>
  <c r="F90" i="66"/>
  <c r="I70" i="66"/>
  <c r="I96" i="66"/>
  <c r="I139" i="66"/>
  <c r="I86" i="66"/>
  <c r="I76" i="66"/>
  <c r="H57" i="61"/>
  <c r="I53" i="66"/>
  <c r="E98" i="65"/>
  <c r="M98" i="65" s="1"/>
  <c r="E78" i="65"/>
  <c r="M78" i="65" s="1"/>
  <c r="E88" i="65"/>
  <c r="M88" i="65" s="1"/>
  <c r="E100" i="65"/>
  <c r="E80" i="65"/>
  <c r="M80" i="65" s="1"/>
  <c r="E90" i="65"/>
  <c r="M90" i="65" s="1"/>
  <c r="F100" i="65"/>
  <c r="N100" i="65" s="1"/>
  <c r="F80" i="65"/>
  <c r="N80" i="65" s="1"/>
  <c r="F90" i="65"/>
  <c r="N90" i="65" s="1"/>
  <c r="F55" i="65"/>
  <c r="F97" i="65"/>
  <c r="N97" i="65" s="1"/>
  <c r="F87" i="65"/>
  <c r="N87" i="65" s="1"/>
  <c r="F77" i="65"/>
  <c r="N77" i="65" s="1"/>
  <c r="Q142" i="65"/>
  <c r="I99" i="65"/>
  <c r="Q99" i="65" s="1"/>
  <c r="I79" i="65"/>
  <c r="Q79" i="65" s="1"/>
  <c r="I89" i="65"/>
  <c r="Q89" i="65" s="1"/>
  <c r="I55" i="65"/>
  <c r="I97" i="65"/>
  <c r="Q97" i="65" s="1"/>
  <c r="I87" i="65"/>
  <c r="Q87" i="65" s="1"/>
  <c r="I77" i="65"/>
  <c r="Q77" i="65" s="1"/>
  <c r="G79" i="66"/>
  <c r="F60" i="61"/>
  <c r="G89" i="66"/>
  <c r="G99" i="66"/>
  <c r="G142" i="66"/>
  <c r="D60" i="61"/>
  <c r="E89" i="66"/>
  <c r="E99" i="66"/>
  <c r="E142" i="66"/>
  <c r="E79" i="66"/>
  <c r="E60" i="61"/>
  <c r="F89" i="66"/>
  <c r="F142" i="66"/>
  <c r="F79" i="66"/>
  <c r="F99" i="66"/>
  <c r="I98" i="66"/>
  <c r="I88" i="66"/>
  <c r="I78" i="66"/>
  <c r="I141" i="66"/>
  <c r="H59" i="61"/>
  <c r="H101" i="65"/>
  <c r="P101" i="65" s="1"/>
  <c r="H81" i="65"/>
  <c r="P81" i="65" s="1"/>
  <c r="H91" i="65"/>
  <c r="P91" i="65" s="1"/>
  <c r="F58" i="61"/>
  <c r="G87" i="66"/>
  <c r="G97" i="66"/>
  <c r="G140" i="66"/>
  <c r="G77" i="66"/>
  <c r="G80" i="66"/>
  <c r="G90" i="66"/>
  <c r="G100" i="66"/>
  <c r="G143" i="66"/>
  <c r="F61" i="61"/>
  <c r="D61" i="61"/>
  <c r="E100" i="66"/>
  <c r="E143" i="66"/>
  <c r="E90" i="66"/>
  <c r="E80" i="66"/>
  <c r="F76" i="66"/>
  <c r="F70" i="66"/>
  <c r="F86" i="66"/>
  <c r="E57" i="61"/>
  <c r="F53" i="66"/>
  <c r="F96" i="66"/>
  <c r="F139" i="66"/>
  <c r="I100" i="65"/>
  <c r="Q100" i="65" s="1"/>
  <c r="I80" i="65"/>
  <c r="Q80" i="65" s="1"/>
  <c r="I90" i="65"/>
  <c r="Q90" i="65" s="1"/>
  <c r="G97" i="65"/>
  <c r="O97" i="65" s="1"/>
  <c r="G55" i="65"/>
  <c r="G77" i="65"/>
  <c r="O77" i="65" s="1"/>
  <c r="G87" i="65"/>
  <c r="O87" i="65" s="1"/>
  <c r="F101" i="65"/>
  <c r="N101" i="65" s="1"/>
  <c r="F81" i="65"/>
  <c r="N81" i="65" s="1"/>
  <c r="F91" i="65"/>
  <c r="N91" i="65" s="1"/>
  <c r="E78" i="66"/>
  <c r="E98" i="66"/>
  <c r="D59" i="61"/>
  <c r="E88" i="66"/>
  <c r="E141" i="66"/>
  <c r="I80" i="66"/>
  <c r="H61" i="61"/>
  <c r="I90" i="66"/>
  <c r="I100" i="66"/>
  <c r="I143" i="66"/>
  <c r="E101" i="65"/>
  <c r="M101" i="65" s="1"/>
  <c r="E91" i="65"/>
  <c r="M91" i="65" s="1"/>
  <c r="E81" i="65"/>
  <c r="M81" i="65" s="1"/>
  <c r="H140" i="66"/>
  <c r="G58" i="61"/>
  <c r="H87" i="66"/>
  <c r="H97" i="66"/>
  <c r="H77" i="66"/>
  <c r="I142" i="66"/>
  <c r="I79" i="66"/>
  <c r="H60" i="61"/>
  <c r="I89" i="66"/>
  <c r="I99" i="66"/>
  <c r="G99" i="65"/>
  <c r="O99" i="65" s="1"/>
  <c r="G89" i="65"/>
  <c r="O89" i="65" s="1"/>
  <c r="G79" i="65"/>
  <c r="O79" i="65" s="1"/>
  <c r="G88" i="66"/>
  <c r="G141" i="66"/>
  <c r="G78" i="66"/>
  <c r="G98" i="66"/>
  <c r="F59" i="61"/>
  <c r="E99" i="65"/>
  <c r="M99" i="65" s="1"/>
  <c r="E79" i="65"/>
  <c r="M79" i="65" s="1"/>
  <c r="E89" i="65"/>
  <c r="M89" i="65" s="1"/>
  <c r="I101" i="65"/>
  <c r="Q101" i="65" s="1"/>
  <c r="I81" i="65"/>
  <c r="Q81" i="65" s="1"/>
  <c r="I91" i="65"/>
  <c r="Q91" i="65" s="1"/>
  <c r="G101" i="65"/>
  <c r="O101" i="65" s="1"/>
  <c r="G91" i="65"/>
  <c r="O91" i="65" s="1"/>
  <c r="G81" i="65"/>
  <c r="O81" i="65" s="1"/>
  <c r="G61" i="61"/>
  <c r="H90" i="66"/>
  <c r="H100" i="66"/>
  <c r="H143" i="66"/>
  <c r="H80" i="66"/>
  <c r="E86" i="66"/>
  <c r="E139" i="66"/>
  <c r="E53" i="66"/>
  <c r="E96" i="66"/>
  <c r="E70" i="66"/>
  <c r="E76" i="66"/>
  <c r="D57" i="61"/>
  <c r="L48" i="66"/>
  <c r="L10" i="66" s="1"/>
  <c r="I77" i="66"/>
  <c r="H58" i="61"/>
  <c r="I87" i="66"/>
  <c r="I97" i="66"/>
  <c r="I140" i="66"/>
  <c r="H97" i="65"/>
  <c r="P97" i="65" s="1"/>
  <c r="H55" i="65"/>
  <c r="H77" i="65"/>
  <c r="P77" i="65" s="1"/>
  <c r="H87" i="65"/>
  <c r="P87" i="65" s="1"/>
  <c r="G98" i="65"/>
  <c r="O98" i="65" s="1"/>
  <c r="G88" i="65"/>
  <c r="O88" i="65" s="1"/>
  <c r="G78" i="65"/>
  <c r="O78" i="65" s="1"/>
  <c r="H100" i="65"/>
  <c r="P100" i="65" s="1"/>
  <c r="H90" i="65"/>
  <c r="P90" i="65" s="1"/>
  <c r="H80" i="65"/>
  <c r="P80" i="65" s="1"/>
  <c r="G139" i="66"/>
  <c r="G76" i="66"/>
  <c r="G86" i="66"/>
  <c r="F57" i="61"/>
  <c r="G53" i="66"/>
  <c r="G96" i="66"/>
  <c r="G70" i="66"/>
  <c r="E97" i="66"/>
  <c r="E140" i="66"/>
  <c r="E77" i="66"/>
  <c r="D58" i="61"/>
  <c r="E87" i="66"/>
  <c r="H99" i="65"/>
  <c r="P99" i="65" s="1"/>
  <c r="H79" i="65"/>
  <c r="P79" i="65" s="1"/>
  <c r="H89" i="65"/>
  <c r="P89" i="65" s="1"/>
  <c r="I98" i="65"/>
  <c r="Q98" i="65" s="1"/>
  <c r="I78" i="65"/>
  <c r="Q78" i="65" s="1"/>
  <c r="I88" i="65"/>
  <c r="Q88" i="65" s="1"/>
  <c r="H139" i="66"/>
  <c r="H76" i="66"/>
  <c r="G57" i="61"/>
  <c r="H70" i="66"/>
  <c r="H86" i="66"/>
  <c r="H53" i="66"/>
  <c r="H96" i="66"/>
  <c r="H98" i="65"/>
  <c r="P98" i="65" s="1"/>
  <c r="H78" i="65"/>
  <c r="P78" i="65" s="1"/>
  <c r="H88" i="65"/>
  <c r="P88" i="65" s="1"/>
  <c r="F141" i="66"/>
  <c r="F78" i="66"/>
  <c r="E59" i="61"/>
  <c r="F88" i="66"/>
  <c r="F98" i="66"/>
  <c r="E71" i="65"/>
  <c r="E97" i="65"/>
  <c r="M97" i="65" s="1"/>
  <c r="E55" i="65"/>
  <c r="E87" i="65"/>
  <c r="M87" i="65" s="1"/>
  <c r="E77" i="65"/>
  <c r="M77" i="65" s="1"/>
  <c r="G100" i="65"/>
  <c r="O100" i="65" s="1"/>
  <c r="G80" i="65"/>
  <c r="O80" i="65" s="1"/>
  <c r="G90" i="65"/>
  <c r="O90" i="65" s="1"/>
  <c r="H98" i="66"/>
  <c r="H141" i="66"/>
  <c r="H78" i="66"/>
  <c r="G59" i="61"/>
  <c r="H88" i="66"/>
  <c r="F71" i="65"/>
  <c r="F72" i="65" s="1"/>
  <c r="I71" i="65"/>
  <c r="G71" i="65"/>
  <c r="G72" i="65" s="1"/>
  <c r="H71" i="65"/>
  <c r="H72" i="65" s="1"/>
  <c r="P202" i="65"/>
  <c r="P203" i="65" s="1"/>
  <c r="H202" i="65"/>
  <c r="H25" i="65" s="1"/>
  <c r="M180" i="65"/>
  <c r="M181" i="65" s="1"/>
  <c r="O180" i="65"/>
  <c r="O181" i="65" s="1"/>
  <c r="G191" i="65"/>
  <c r="G24" i="65" s="1"/>
  <c r="G180" i="65"/>
  <c r="G181" i="65" s="1"/>
  <c r="N169" i="65"/>
  <c r="N170" i="65" s="1"/>
  <c r="P191" i="65"/>
  <c r="P24" i="65" s="1"/>
  <c r="P169" i="65"/>
  <c r="P22" i="65" s="1"/>
  <c r="H169" i="65"/>
  <c r="H22" i="65" s="1"/>
  <c r="O202" i="65"/>
  <c r="O25" i="65" s="1"/>
  <c r="Q202" i="65"/>
  <c r="Q25" i="65" s="1"/>
  <c r="E202" i="65"/>
  <c r="E25" i="65" s="1"/>
  <c r="E191" i="65"/>
  <c r="E24" i="65" s="1"/>
  <c r="I180" i="65"/>
  <c r="I23" i="65" s="1"/>
  <c r="H212" i="66"/>
  <c r="H213" i="66" s="1"/>
  <c r="G95" i="61" s="1"/>
  <c r="Q213" i="65"/>
  <c r="Q26" i="65" s="1"/>
  <c r="G213" i="65"/>
  <c r="G26" i="65" s="1"/>
  <c r="G179" i="66"/>
  <c r="G180" i="66" s="1"/>
  <c r="F92" i="61" s="1"/>
  <c r="F180" i="65"/>
  <c r="F181" i="65" s="1"/>
  <c r="E179" i="66"/>
  <c r="E180" i="66" s="1"/>
  <c r="D92" i="61" s="1"/>
  <c r="M169" i="65"/>
  <c r="M22" i="65" s="1"/>
  <c r="Q191" i="65"/>
  <c r="Q24" i="65" s="1"/>
  <c r="I212" i="66"/>
  <c r="I213" i="66" s="1"/>
  <c r="H95" i="61" s="1"/>
  <c r="O213" i="65"/>
  <c r="O26" i="65" s="1"/>
  <c r="M191" i="65"/>
  <c r="M192" i="65" s="1"/>
  <c r="F213" i="65"/>
  <c r="F26" i="65" s="1"/>
  <c r="F169" i="65"/>
  <c r="F22" i="65" s="1"/>
  <c r="H156" i="66"/>
  <c r="H157" i="66" s="1"/>
  <c r="G88" i="61" s="1"/>
  <c r="P180" i="65"/>
  <c r="P23" i="65" s="1"/>
  <c r="H180" i="65"/>
  <c r="H23" i="65" s="1"/>
  <c r="N191" i="65"/>
  <c r="N192" i="65" s="1"/>
  <c r="N213" i="65"/>
  <c r="N26" i="65" s="1"/>
  <c r="G202" i="65"/>
  <c r="G25" i="65" s="1"/>
  <c r="F191" i="65"/>
  <c r="F24" i="65" s="1"/>
  <c r="H179" i="66"/>
  <c r="H180" i="66" s="1"/>
  <c r="G92" i="61" s="1"/>
  <c r="F190" i="66"/>
  <c r="F191" i="66" s="1"/>
  <c r="E93" i="61" s="1"/>
  <c r="G212" i="66"/>
  <c r="G213" i="66" s="1"/>
  <c r="F95" i="61" s="1"/>
  <c r="I201" i="66"/>
  <c r="I202" i="66" s="1"/>
  <c r="H94" i="61" s="1"/>
  <c r="H20" i="61"/>
  <c r="H201" i="66"/>
  <c r="H202" i="66" s="1"/>
  <c r="G94" i="61" s="1"/>
  <c r="D20" i="61"/>
  <c r="I156" i="66"/>
  <c r="I157" i="66" s="1"/>
  <c r="H88" i="61" s="1"/>
  <c r="G156" i="66"/>
  <c r="G157" i="66" s="1"/>
  <c r="F88" i="61" s="1"/>
  <c r="F179" i="66"/>
  <c r="F180" i="66" s="1"/>
  <c r="E92" i="61" s="1"/>
  <c r="P213" i="65"/>
  <c r="P26" i="65" s="1"/>
  <c r="I169" i="65"/>
  <c r="I170" i="65" s="1"/>
  <c r="F202" i="65"/>
  <c r="F25" i="65" s="1"/>
  <c r="Q180" i="65"/>
  <c r="Q181" i="65" s="1"/>
  <c r="E20" i="61"/>
  <c r="G48" i="66"/>
  <c r="G49" i="66" s="1"/>
  <c r="F71" i="61" s="1"/>
  <c r="F20" i="61"/>
  <c r="E190" i="66"/>
  <c r="E191" i="66" s="1"/>
  <c r="D93" i="61" s="1"/>
  <c r="N180" i="65"/>
  <c r="N23" i="65" s="1"/>
  <c r="I191" i="65"/>
  <c r="I24" i="65" s="1"/>
  <c r="E213" i="65"/>
  <c r="E26" i="65" s="1"/>
  <c r="I202" i="65"/>
  <c r="I25" i="65" s="1"/>
  <c r="F201" i="66"/>
  <c r="F202" i="66" s="1"/>
  <c r="E94" i="61" s="1"/>
  <c r="E168" i="66"/>
  <c r="E169" i="66" s="1"/>
  <c r="D91" i="61" s="1"/>
  <c r="I179" i="66"/>
  <c r="I180" i="66" s="1"/>
  <c r="H92" i="61" s="1"/>
  <c r="I168" i="66"/>
  <c r="I169" i="66" s="1"/>
  <c r="H91" i="61" s="1"/>
  <c r="Q169" i="65"/>
  <c r="Q170" i="65" s="1"/>
  <c r="M213" i="65"/>
  <c r="M26" i="65" s="1"/>
  <c r="N202" i="65"/>
  <c r="N203" i="65" s="1"/>
  <c r="G169" i="65"/>
  <c r="G170" i="65" s="1"/>
  <c r="G20" i="61"/>
  <c r="F156" i="66"/>
  <c r="F157" i="66" s="1"/>
  <c r="E88" i="61" s="1"/>
  <c r="G201" i="66"/>
  <c r="G202" i="66" s="1"/>
  <c r="F94" i="61" s="1"/>
  <c r="F212" i="66"/>
  <c r="F213" i="66" s="1"/>
  <c r="E95" i="61" s="1"/>
  <c r="E156" i="66"/>
  <c r="E157" i="66" s="1"/>
  <c r="D88" i="61" s="1"/>
  <c r="E212" i="66"/>
  <c r="E213" i="66" s="1"/>
  <c r="D95" i="61" s="1"/>
  <c r="I48" i="66"/>
  <c r="I49" i="66" s="1"/>
  <c r="H71" i="61" s="1"/>
  <c r="E169" i="65"/>
  <c r="E22" i="65" s="1"/>
  <c r="H213" i="65"/>
  <c r="H26" i="65" s="1"/>
  <c r="H168" i="66"/>
  <c r="H169" i="66" s="1"/>
  <c r="G91" i="61" s="1"/>
  <c r="G168" i="66"/>
  <c r="G169" i="66" s="1"/>
  <c r="F91" i="61" s="1"/>
  <c r="F168" i="66"/>
  <c r="F169" i="66" s="1"/>
  <c r="E91" i="61" s="1"/>
  <c r="F48" i="66"/>
  <c r="F49" i="66" s="1"/>
  <c r="E71" i="61" s="1"/>
  <c r="E201" i="66"/>
  <c r="E202" i="66" s="1"/>
  <c r="D94" i="61" s="1"/>
  <c r="O169" i="65"/>
  <c r="O170" i="65" s="1"/>
  <c r="M202" i="65"/>
  <c r="M203" i="65" s="1"/>
  <c r="I213" i="65"/>
  <c r="I26" i="65" s="1"/>
  <c r="O191" i="65"/>
  <c r="O192" i="65" s="1"/>
  <c r="E180" i="65"/>
  <c r="E181" i="65" s="1"/>
  <c r="H191" i="65"/>
  <c r="H24" i="65" s="1"/>
  <c r="M100" i="65"/>
  <c r="H190" i="66"/>
  <c r="H191" i="66" s="1"/>
  <c r="G93" i="61" s="1"/>
  <c r="H48" i="66"/>
  <c r="H49" i="66" s="1"/>
  <c r="G71" i="61" s="1"/>
  <c r="G190" i="66"/>
  <c r="G191" i="66" s="1"/>
  <c r="F93" i="61" s="1"/>
  <c r="E48" i="66"/>
  <c r="E49" i="66" s="1"/>
  <c r="D71" i="61" s="1"/>
  <c r="I190" i="66"/>
  <c r="I191" i="66" s="1"/>
  <c r="H93" i="61" s="1"/>
  <c r="I39" i="62"/>
  <c r="H34" i="61" s="1"/>
  <c r="L53" i="66"/>
  <c r="L55" i="66" s="1"/>
  <c r="H157" i="65"/>
  <c r="F157" i="65"/>
  <c r="P225" i="65"/>
  <c r="L224" i="66"/>
  <c r="L26" i="66" s="1"/>
  <c r="E39" i="62"/>
  <c r="D34" i="61" s="1"/>
  <c r="H39" i="62"/>
  <c r="G39" i="62"/>
  <c r="F34" i="61" s="1"/>
  <c r="G157" i="65"/>
  <c r="I157" i="65"/>
  <c r="E157" i="65"/>
  <c r="I225" i="65"/>
  <c r="D92" i="65"/>
  <c r="D14" i="65" s="1"/>
  <c r="F39" i="62"/>
  <c r="E34" i="61" s="1"/>
  <c r="H224" i="66"/>
  <c r="H225" i="66" s="1"/>
  <c r="G98" i="61" s="1"/>
  <c r="Q49" i="65"/>
  <c r="I49" i="65"/>
  <c r="M49" i="65"/>
  <c r="E49" i="65"/>
  <c r="E11" i="65" s="1"/>
  <c r="F224" i="66"/>
  <c r="P49" i="65"/>
  <c r="H49" i="65"/>
  <c r="H11" i="65" s="1"/>
  <c r="N49" i="65"/>
  <c r="F49" i="65"/>
  <c r="F11" i="65" s="1"/>
  <c r="G224" i="66"/>
  <c r="I224" i="66"/>
  <c r="Q153" i="66"/>
  <c r="L156" i="66"/>
  <c r="L20" i="66" s="1"/>
  <c r="O49" i="65"/>
  <c r="G49" i="65"/>
  <c r="G11" i="65" s="1"/>
  <c r="D11" i="66"/>
  <c r="E224" i="66"/>
  <c r="L157" i="65"/>
  <c r="L21" i="65" s="1"/>
  <c r="L102" i="65"/>
  <c r="L15" i="65" s="1"/>
  <c r="D102" i="65"/>
  <c r="D15" i="65" s="1"/>
  <c r="L92" i="65"/>
  <c r="L14" i="65" s="1"/>
  <c r="L82" i="65"/>
  <c r="L13" i="65" s="1"/>
  <c r="D13" i="65"/>
  <c r="Q225" i="65"/>
  <c r="Q226" i="65" s="1"/>
  <c r="Q224" i="66"/>
  <c r="O224" i="66"/>
  <c r="N224" i="66"/>
  <c r="M224" i="66"/>
  <c r="P224" i="66"/>
  <c r="L27" i="65"/>
  <c r="F83" i="61"/>
  <c r="H136" i="65"/>
  <c r="G83" i="61"/>
  <c r="P48" i="66"/>
  <c r="N225" i="65"/>
  <c r="F225" i="65"/>
  <c r="D83" i="61"/>
  <c r="M157" i="65"/>
  <c r="E84" i="61"/>
  <c r="D84" i="61"/>
  <c r="I136" i="65"/>
  <c r="Q34" i="66"/>
  <c r="Q37" i="66" s="1"/>
  <c r="N157" i="65"/>
  <c r="H83" i="61"/>
  <c r="I128" i="65"/>
  <c r="F128" i="65"/>
  <c r="M150" i="66"/>
  <c r="M156" i="66" s="1"/>
  <c r="P157" i="65"/>
  <c r="H128" i="65"/>
  <c r="O225" i="65"/>
  <c r="O226" i="65" s="1"/>
  <c r="G225" i="65"/>
  <c r="G38" i="65"/>
  <c r="O35" i="65"/>
  <c r="O38" i="65" s="1"/>
  <c r="Q150" i="66"/>
  <c r="Q157" i="65"/>
  <c r="F38" i="65"/>
  <c r="N35" i="65"/>
  <c r="N38" i="65" s="1"/>
  <c r="I38" i="65"/>
  <c r="Q35" i="65"/>
  <c r="Q38" i="65" s="1"/>
  <c r="E136" i="65"/>
  <c r="F136" i="65"/>
  <c r="P34" i="66"/>
  <c r="P37" i="66" s="1"/>
  <c r="E128" i="65"/>
  <c r="N150" i="66"/>
  <c r="N156" i="66" s="1"/>
  <c r="O34" i="66"/>
  <c r="O37" i="66" s="1"/>
  <c r="H84" i="61"/>
  <c r="G84" i="61"/>
  <c r="E38" i="65"/>
  <c r="M35" i="65"/>
  <c r="M38" i="65" s="1"/>
  <c r="M39" i="65" s="1"/>
  <c r="H225" i="65"/>
  <c r="Q48" i="66"/>
  <c r="N34" i="66"/>
  <c r="N37" i="66" s="1"/>
  <c r="G128" i="65"/>
  <c r="G136" i="65"/>
  <c r="F84" i="61"/>
  <c r="M34" i="66"/>
  <c r="M37" i="66" s="1"/>
  <c r="P150" i="66"/>
  <c r="P156" i="66" s="1"/>
  <c r="O150" i="66"/>
  <c r="O156" i="66" s="1"/>
  <c r="E225" i="65"/>
  <c r="H38" i="65"/>
  <c r="P35" i="65"/>
  <c r="P38" i="65" s="1"/>
  <c r="O157" i="65"/>
  <c r="E83" i="61"/>
  <c r="N48" i="66"/>
  <c r="G34" i="61" l="1"/>
  <c r="H145" i="65"/>
  <c r="H20" i="65" s="1"/>
  <c r="E145" i="65"/>
  <c r="E20" i="65" s="1"/>
  <c r="G56" i="65"/>
  <c r="G12" i="65" s="1"/>
  <c r="M141" i="65"/>
  <c r="H56" i="65"/>
  <c r="H12" i="65" s="1"/>
  <c r="P142" i="65"/>
  <c r="G145" i="65"/>
  <c r="G20" i="65" s="1"/>
  <c r="F145" i="65"/>
  <c r="F20" i="65" s="1"/>
  <c r="I145" i="65"/>
  <c r="I20" i="65" s="1"/>
  <c r="E50" i="62"/>
  <c r="F50" i="62"/>
  <c r="G50" i="62"/>
  <c r="I50" i="62"/>
  <c r="H50" i="62"/>
  <c r="Q225" i="66"/>
  <c r="G203" i="65"/>
  <c r="H55" i="66"/>
  <c r="G23" i="65"/>
  <c r="E55" i="66"/>
  <c r="E56" i="65"/>
  <c r="E57" i="65" s="1"/>
  <c r="I55" i="66"/>
  <c r="O23" i="65"/>
  <c r="Q203" i="65"/>
  <c r="M23" i="65"/>
  <c r="N181" i="65"/>
  <c r="G55" i="66"/>
  <c r="F55" i="66"/>
  <c r="I144" i="66"/>
  <c r="I145" i="66" s="1"/>
  <c r="H85" i="61" s="1"/>
  <c r="H203" i="65"/>
  <c r="G144" i="66"/>
  <c r="G145" i="66" s="1"/>
  <c r="F85" i="61" s="1"/>
  <c r="O203" i="65"/>
  <c r="P25" i="65"/>
  <c r="N24" i="65"/>
  <c r="F67" i="61"/>
  <c r="F56" i="65"/>
  <c r="F57" i="65" s="1"/>
  <c r="E144" i="66"/>
  <c r="E19" i="66" s="1"/>
  <c r="E192" i="65"/>
  <c r="H144" i="66"/>
  <c r="H19" i="66" s="1"/>
  <c r="G22" i="65"/>
  <c r="I56" i="65"/>
  <c r="I57" i="65" s="1"/>
  <c r="P82" i="65"/>
  <c r="P13" i="65" s="1"/>
  <c r="F144" i="66"/>
  <c r="F19" i="66" s="1"/>
  <c r="G67" i="61"/>
  <c r="O82" i="65"/>
  <c r="O83" i="65" s="1"/>
  <c r="H67" i="61"/>
  <c r="D67" i="61"/>
  <c r="E67" i="61"/>
  <c r="N82" i="65"/>
  <c r="N13" i="65" s="1"/>
  <c r="M82" i="65"/>
  <c r="M13" i="65" s="1"/>
  <c r="M50" i="65"/>
  <c r="M11" i="65"/>
  <c r="I50" i="65"/>
  <c r="I11" i="65"/>
  <c r="P50" i="65"/>
  <c r="P11" i="65"/>
  <c r="Q11" i="65"/>
  <c r="Q50" i="65"/>
  <c r="O50" i="65"/>
  <c r="O11" i="65"/>
  <c r="E72" i="65"/>
  <c r="H181" i="65"/>
  <c r="N50" i="65"/>
  <c r="N11" i="65"/>
  <c r="M140" i="65"/>
  <c r="N140" i="65"/>
  <c r="N145" i="65" s="1"/>
  <c r="O140" i="65"/>
  <c r="O145" i="65" s="1"/>
  <c r="H22" i="66"/>
  <c r="E21" i="66"/>
  <c r="E24" i="66"/>
  <c r="P192" i="65"/>
  <c r="I22" i="66"/>
  <c r="Q192" i="65"/>
  <c r="H21" i="66"/>
  <c r="H25" i="66"/>
  <c r="I25" i="66"/>
  <c r="I24" i="66"/>
  <c r="P140" i="65"/>
  <c r="Q140" i="65"/>
  <c r="Q145" i="65" s="1"/>
  <c r="P181" i="65"/>
  <c r="E203" i="65"/>
  <c r="H192" i="65"/>
  <c r="F192" i="65"/>
  <c r="G192" i="65"/>
  <c r="O24" i="65"/>
  <c r="I181" i="65"/>
  <c r="Q23" i="65"/>
  <c r="I72" i="65"/>
  <c r="M25" i="65"/>
  <c r="F23" i="65"/>
  <c r="E23" i="65"/>
  <c r="G25" i="66"/>
  <c r="H24" i="66"/>
  <c r="F25" i="66"/>
  <c r="I21" i="66"/>
  <c r="E23" i="66"/>
  <c r="F24" i="66"/>
  <c r="F203" i="65"/>
  <c r="F23" i="66"/>
  <c r="E25" i="66"/>
  <c r="I192" i="65"/>
  <c r="G24" i="66"/>
  <c r="M214" i="65"/>
  <c r="G22" i="66"/>
  <c r="H91" i="66"/>
  <c r="H92" i="66" s="1"/>
  <c r="G77" i="61" s="1"/>
  <c r="G23" i="66"/>
  <c r="M24" i="65"/>
  <c r="G21" i="66"/>
  <c r="H214" i="65"/>
  <c r="G214" i="65"/>
  <c r="I23" i="66"/>
  <c r="E22" i="66"/>
  <c r="F91" i="66"/>
  <c r="F92" i="66" s="1"/>
  <c r="E77" i="61" s="1"/>
  <c r="F81" i="66"/>
  <c r="F82" i="66" s="1"/>
  <c r="E76" i="61" s="1"/>
  <c r="I101" i="66"/>
  <c r="I102" i="66" s="1"/>
  <c r="H78" i="61" s="1"/>
  <c r="H71" i="66"/>
  <c r="G73" i="61" s="1"/>
  <c r="F21" i="66"/>
  <c r="N25" i="65"/>
  <c r="G101" i="66"/>
  <c r="G102" i="66" s="1"/>
  <c r="F78" i="61" s="1"/>
  <c r="H101" i="66"/>
  <c r="H102" i="66" s="1"/>
  <c r="G78" i="61" s="1"/>
  <c r="E91" i="66"/>
  <c r="E92" i="66" s="1"/>
  <c r="D77" i="61" s="1"/>
  <c r="H81" i="66"/>
  <c r="H82" i="66" s="1"/>
  <c r="G76" i="61" s="1"/>
  <c r="I91" i="66"/>
  <c r="I92" i="66" s="1"/>
  <c r="H77" i="61" s="1"/>
  <c r="G71" i="66"/>
  <c r="F73" i="61" s="1"/>
  <c r="E101" i="66"/>
  <c r="E102" i="66" s="1"/>
  <c r="D78" i="61" s="1"/>
  <c r="I203" i="65"/>
  <c r="E71" i="66"/>
  <c r="D73" i="61" s="1"/>
  <c r="H23" i="66"/>
  <c r="F101" i="66"/>
  <c r="F102" i="66" s="1"/>
  <c r="E78" i="61" s="1"/>
  <c r="I81" i="66"/>
  <c r="I82" i="66" s="1"/>
  <c r="H76" i="61" s="1"/>
  <c r="G81" i="66"/>
  <c r="G82" i="66" s="1"/>
  <c r="F76" i="61" s="1"/>
  <c r="E81" i="66"/>
  <c r="E82" i="66" s="1"/>
  <c r="D76" i="61" s="1"/>
  <c r="F22" i="66"/>
  <c r="F71" i="66"/>
  <c r="E73" i="61" s="1"/>
  <c r="G91" i="66"/>
  <c r="G92" i="66" s="1"/>
  <c r="F77" i="61" s="1"/>
  <c r="I71" i="66"/>
  <c r="H73" i="61" s="1"/>
  <c r="L11" i="66"/>
  <c r="L27" i="66" s="1"/>
  <c r="C43" i="61" s="1"/>
  <c r="P102" i="65"/>
  <c r="P103" i="65" s="1"/>
  <c r="F102" i="65"/>
  <c r="F15" i="65" s="1"/>
  <c r="N102" i="65"/>
  <c r="N103" i="65" s="1"/>
  <c r="O48" i="66"/>
  <c r="O49" i="66" s="1"/>
  <c r="M225" i="66"/>
  <c r="M157" i="66"/>
  <c r="Q156" i="66"/>
  <c r="Q20" i="66" s="1"/>
  <c r="E102" i="65"/>
  <c r="E15" i="65" s="1"/>
  <c r="M48" i="66"/>
  <c r="M49" i="66" s="1"/>
  <c r="M102" i="65"/>
  <c r="M15" i="65" s="1"/>
  <c r="H102" i="65"/>
  <c r="H15" i="65" s="1"/>
  <c r="G102" i="65"/>
  <c r="G15" i="65" s="1"/>
  <c r="O102" i="65"/>
  <c r="O103" i="65" s="1"/>
  <c r="H26" i="66"/>
  <c r="O92" i="65"/>
  <c r="O93" i="65" s="1"/>
  <c r="Q92" i="65"/>
  <c r="Q14" i="65" s="1"/>
  <c r="P92" i="65"/>
  <c r="P93" i="65" s="1"/>
  <c r="F20" i="66"/>
  <c r="G20" i="66"/>
  <c r="F10" i="66"/>
  <c r="F10" i="65" s="1"/>
  <c r="E26" i="66"/>
  <c r="E225" i="66"/>
  <c r="D98" i="61" s="1"/>
  <c r="E20" i="66"/>
  <c r="I10" i="66"/>
  <c r="I10" i="65" s="1"/>
  <c r="E10" i="66"/>
  <c r="E10" i="65" s="1"/>
  <c r="H82" i="65"/>
  <c r="H83" i="65" s="1"/>
  <c r="H20" i="66"/>
  <c r="G10" i="66"/>
  <c r="G10" i="65" s="1"/>
  <c r="I20" i="66"/>
  <c r="Q49" i="66"/>
  <c r="L28" i="65"/>
  <c r="I225" i="66"/>
  <c r="H98" i="61" s="1"/>
  <c r="I26" i="66"/>
  <c r="F225" i="66"/>
  <c r="E98" i="61" s="1"/>
  <c r="F26" i="66"/>
  <c r="H10" i="66"/>
  <c r="H10" i="65" s="1"/>
  <c r="G26" i="66"/>
  <c r="G225" i="66"/>
  <c r="F98" i="61" s="1"/>
  <c r="M92" i="65"/>
  <c r="M14" i="65" s="1"/>
  <c r="N92" i="65"/>
  <c r="N14" i="65" s="1"/>
  <c r="H92" i="65"/>
  <c r="H14" i="65" s="1"/>
  <c r="I92" i="65"/>
  <c r="I93" i="65" s="1"/>
  <c r="G92" i="65"/>
  <c r="G14" i="65" s="1"/>
  <c r="E82" i="65"/>
  <c r="E83" i="65" s="1"/>
  <c r="F82" i="65"/>
  <c r="F83" i="65" s="1"/>
  <c r="Q102" i="65"/>
  <c r="I102" i="65"/>
  <c r="I15" i="65" s="1"/>
  <c r="G82" i="65"/>
  <c r="G83" i="65" s="1"/>
  <c r="F92" i="65"/>
  <c r="F93" i="65" s="1"/>
  <c r="E92" i="65"/>
  <c r="E14" i="65" s="1"/>
  <c r="Q82" i="65"/>
  <c r="Q83" i="65" s="1"/>
  <c r="I82" i="65"/>
  <c r="I13" i="65" s="1"/>
  <c r="M225" i="65"/>
  <c r="M226" i="65" s="1"/>
  <c r="O22" i="65"/>
  <c r="P170" i="65"/>
  <c r="I22" i="65"/>
  <c r="N214" i="65"/>
  <c r="O214" i="65"/>
  <c r="Q22" i="65"/>
  <c r="Q214" i="65"/>
  <c r="P39" i="65"/>
  <c r="E170" i="65"/>
  <c r="N39" i="65"/>
  <c r="H170" i="65"/>
  <c r="Q39" i="65"/>
  <c r="O39" i="65"/>
  <c r="M170" i="65"/>
  <c r="F214" i="65"/>
  <c r="N22" i="65"/>
  <c r="E214" i="65"/>
  <c r="P214" i="65"/>
  <c r="F170" i="65"/>
  <c r="I214" i="65"/>
  <c r="M26" i="66"/>
  <c r="N20" i="66"/>
  <c r="N157" i="66"/>
  <c r="I158" i="65"/>
  <c r="I21" i="65"/>
  <c r="M38" i="66"/>
  <c r="E226" i="65"/>
  <c r="E27" i="65"/>
  <c r="E50" i="65"/>
  <c r="P27" i="65"/>
  <c r="P226" i="65"/>
  <c r="Q21" i="65"/>
  <c r="Q158" i="65"/>
  <c r="P10" i="66"/>
  <c r="P49" i="66"/>
  <c r="O21" i="65"/>
  <c r="O158" i="65"/>
  <c r="I39" i="65"/>
  <c r="H70" i="61" s="1"/>
  <c r="H21" i="65"/>
  <c r="H158" i="65"/>
  <c r="Q38" i="66"/>
  <c r="P225" i="66"/>
  <c r="P26" i="66"/>
  <c r="F50" i="65"/>
  <c r="E158" i="65"/>
  <c r="E21" i="65"/>
  <c r="F27" i="65"/>
  <c r="F226" i="65"/>
  <c r="Q26" i="66"/>
  <c r="P21" i="65"/>
  <c r="P158" i="65"/>
  <c r="I27" i="65"/>
  <c r="I226" i="65"/>
  <c r="O26" i="66"/>
  <c r="O225" i="66"/>
  <c r="P38" i="66"/>
  <c r="G39" i="65"/>
  <c r="F70" i="61" s="1"/>
  <c r="M20" i="66"/>
  <c r="N21" i="65"/>
  <c r="N158" i="65"/>
  <c r="M21" i="65"/>
  <c r="M158" i="65"/>
  <c r="N27" i="65"/>
  <c r="N226" i="65"/>
  <c r="N26" i="66"/>
  <c r="N225" i="66"/>
  <c r="E51" i="62"/>
  <c r="F39" i="65"/>
  <c r="E70" i="61" s="1"/>
  <c r="N10" i="66"/>
  <c r="N49" i="66"/>
  <c r="O20" i="66"/>
  <c r="O157" i="66"/>
  <c r="N38" i="66"/>
  <c r="Q27" i="65"/>
  <c r="G27" i="65"/>
  <c r="G226" i="65"/>
  <c r="F158" i="65"/>
  <c r="F21" i="65"/>
  <c r="H50" i="65"/>
  <c r="G158" i="65"/>
  <c r="G21" i="65"/>
  <c r="H226" i="65"/>
  <c r="H27" i="65"/>
  <c r="H39" i="65"/>
  <c r="G70" i="61" s="1"/>
  <c r="E39" i="65"/>
  <c r="D70" i="61" s="1"/>
  <c r="H35" i="61"/>
  <c r="P20" i="66"/>
  <c r="P157" i="66"/>
  <c r="O38" i="66"/>
  <c r="G50" i="65"/>
  <c r="O27" i="65"/>
  <c r="M145" i="65" l="1"/>
  <c r="M20" i="65" s="1"/>
  <c r="P145" i="65"/>
  <c r="P20" i="65" s="1"/>
  <c r="H145" i="66"/>
  <c r="G85" i="61" s="1"/>
  <c r="E12" i="65"/>
  <c r="G19" i="66"/>
  <c r="I12" i="65"/>
  <c r="O13" i="65"/>
  <c r="I19" i="66"/>
  <c r="E145" i="66"/>
  <c r="D85" i="61" s="1"/>
  <c r="F12" i="65"/>
  <c r="F145" i="66"/>
  <c r="E85" i="61" s="1"/>
  <c r="M83" i="65"/>
  <c r="E146" i="65"/>
  <c r="P83" i="65"/>
  <c r="N83" i="65"/>
  <c r="F146" i="65"/>
  <c r="G146" i="65"/>
  <c r="H146" i="65"/>
  <c r="O20" i="65"/>
  <c r="O146" i="65"/>
  <c r="N20" i="65"/>
  <c r="N146" i="65"/>
  <c r="G57" i="65"/>
  <c r="H12" i="66"/>
  <c r="I146" i="65"/>
  <c r="Q20" i="65"/>
  <c r="Q146" i="65"/>
  <c r="H14" i="66"/>
  <c r="G14" i="66"/>
  <c r="F12" i="66"/>
  <c r="I12" i="66"/>
  <c r="F13" i="66"/>
  <c r="E13" i="66"/>
  <c r="F14" i="66"/>
  <c r="I14" i="66"/>
  <c r="G13" i="66"/>
  <c r="I13" i="66"/>
  <c r="H13" i="66"/>
  <c r="G12" i="66"/>
  <c r="E12" i="66"/>
  <c r="P15" i="65"/>
  <c r="H57" i="65"/>
  <c r="E14" i="66"/>
  <c r="F56" i="66"/>
  <c r="E72" i="61" s="1"/>
  <c r="N53" i="66"/>
  <c r="N55" i="66" s="1"/>
  <c r="G56" i="66"/>
  <c r="F72" i="61" s="1"/>
  <c r="O53" i="66"/>
  <c r="O55" i="66" s="1"/>
  <c r="I56" i="66"/>
  <c r="H72" i="61" s="1"/>
  <c r="Q53" i="66"/>
  <c r="Q55" i="66" s="1"/>
  <c r="H56" i="66"/>
  <c r="G72" i="61" s="1"/>
  <c r="P53" i="66"/>
  <c r="P55" i="66" s="1"/>
  <c r="E56" i="66"/>
  <c r="D72" i="61" s="1"/>
  <c r="M53" i="66"/>
  <c r="M55" i="66" s="1"/>
  <c r="O10" i="66"/>
  <c r="Q157" i="66"/>
  <c r="G103" i="65"/>
  <c r="N15" i="65"/>
  <c r="F103" i="65"/>
  <c r="E103" i="65"/>
  <c r="H103" i="65"/>
  <c r="C49" i="61"/>
  <c r="O15" i="65"/>
  <c r="O14" i="65"/>
  <c r="M10" i="66"/>
  <c r="M103" i="65"/>
  <c r="N93" i="65"/>
  <c r="H93" i="65"/>
  <c r="Q10" i="66"/>
  <c r="G93" i="65"/>
  <c r="P14" i="65"/>
  <c r="Q93" i="65"/>
  <c r="E93" i="65"/>
  <c r="E13" i="65"/>
  <c r="F14" i="65"/>
  <c r="I14" i="65"/>
  <c r="I103" i="65"/>
  <c r="M93" i="65"/>
  <c r="F13" i="65"/>
  <c r="H13" i="65"/>
  <c r="I83" i="65"/>
  <c r="Q103" i="65"/>
  <c r="Q15" i="65"/>
  <c r="G13" i="65"/>
  <c r="M27" i="65"/>
  <c r="Q13" i="65"/>
  <c r="G51" i="62"/>
  <c r="I51" i="62"/>
  <c r="F51" i="62"/>
  <c r="H36" i="61"/>
  <c r="D35" i="61"/>
  <c r="D36" i="61"/>
  <c r="F36" i="61"/>
  <c r="F35" i="61"/>
  <c r="H51" i="62"/>
  <c r="G35" i="61"/>
  <c r="G36" i="61"/>
  <c r="E36" i="61"/>
  <c r="E35" i="61"/>
  <c r="N28" i="65" l="1"/>
  <c r="M146" i="65"/>
  <c r="P146" i="65"/>
  <c r="M28" i="65"/>
  <c r="I11" i="66"/>
  <c r="P28" i="65"/>
  <c r="F11" i="66"/>
  <c r="G11" i="66"/>
  <c r="H11" i="66"/>
  <c r="E11" i="66"/>
  <c r="Q56" i="66"/>
  <c r="Q11" i="66"/>
  <c r="Q27" i="66" s="1"/>
  <c r="H43" i="61" s="1"/>
  <c r="H44" i="61" s="1"/>
  <c r="O11" i="66"/>
  <c r="O27" i="66" s="1"/>
  <c r="F43" i="61" s="1"/>
  <c r="F49" i="61" s="1"/>
  <c r="F50" i="61" s="1"/>
  <c r="O56" i="66"/>
  <c r="P11" i="66"/>
  <c r="P27" i="66" s="1"/>
  <c r="G43" i="61" s="1"/>
  <c r="G49" i="61" s="1"/>
  <c r="P56" i="66"/>
  <c r="M56" i="66"/>
  <c r="M11" i="66"/>
  <c r="M27" i="66" s="1"/>
  <c r="D43" i="61" s="1"/>
  <c r="D49" i="61" s="1"/>
  <c r="N56" i="66"/>
  <c r="N11" i="66"/>
  <c r="N27" i="66" s="1"/>
  <c r="E43" i="61" s="1"/>
  <c r="E49" i="61" s="1"/>
  <c r="E50" i="61" s="1"/>
  <c r="O28" i="65"/>
  <c r="Q28" i="65"/>
  <c r="D44" i="61" l="1"/>
  <c r="H49" i="61"/>
  <c r="H50" i="61" s="1"/>
  <c r="G44" i="61"/>
  <c r="E44" i="61"/>
  <c r="E51" i="61"/>
  <c r="F44" i="61"/>
  <c r="F45" i="61"/>
  <c r="F51" i="61"/>
  <c r="D51" i="61"/>
  <c r="D45" i="61"/>
  <c r="E45" i="61"/>
  <c r="D50" i="61"/>
  <c r="G45" i="61"/>
  <c r="G51" i="61"/>
  <c r="H45" i="61"/>
  <c r="H51" i="61" l="1"/>
  <c r="G50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sharedStrings.xml><?xml version="1.0" encoding="utf-8"?>
<sst xmlns="http://schemas.openxmlformats.org/spreadsheetml/2006/main" count="3054" uniqueCount="1202">
  <si>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</si>
  <si>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</si>
  <si>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</si>
  <si>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</si>
  <si>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</si>
  <si>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</si>
  <si>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</si>
  <si>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</si>
  <si>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</si>
  <si>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</si>
  <si>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</si>
  <si>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</si>
  <si>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</si>
  <si>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</si>
  <si>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</si>
  <si>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</si>
  <si>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</si>
  <si>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</si>
  <si>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</si>
  <si>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</si>
  <si>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</si>
  <si>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</si>
  <si>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</si>
  <si>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</si>
  <si>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</si>
  <si>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</si>
  <si>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</si>
  <si>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</si>
  <si>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</si>
  <si>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</si>
  <si>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</si>
  <si>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</si>
  <si>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</si>
  <si>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</si>
  <si>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</si>
  <si>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</si>
  <si>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</si>
  <si>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</si>
  <si>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</si>
  <si>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</si>
  <si>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</si>
  <si>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</si>
  <si>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</si>
  <si>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</si>
  <si>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</si>
  <si>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</si>
  <si>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</si>
  <si>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</si>
  <si>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See notes below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</si>
  <si>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</si>
  <si>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</si>
  <si>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</si>
  <si>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</si>
  <si>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</si>
  <si>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</si>
  <si>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</si>
  <si>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</si>
  <si>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</si>
  <si>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</si>
  <si>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day(s)</t>
  </si>
  <si>
    <t>Drug</t>
  </si>
  <si>
    <t>Strength, container type, quantity</t>
  </si>
  <si>
    <t>Price</t>
  </si>
  <si>
    <t>VAT rate applicable</t>
  </si>
  <si>
    <t>Source</t>
  </si>
  <si>
    <t>Average weight (kg)</t>
  </si>
  <si>
    <r>
      <t>Average body surface area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</si>
  <si>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</si>
  <si>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</si>
  <si>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</si>
  <si>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</si>
  <si>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</si>
  <si>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</si>
  <si>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</si>
  <si>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</si>
  <si>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</si>
  <si>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</si>
  <si>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</si>
  <si>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</si>
  <si>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</si>
  <si>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</si>
  <si>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Number of first attendances</t>
  </si>
  <si>
    <t>per patient per visit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</si>
  <si>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</si>
  <si>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</si>
  <si>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</si>
  <si>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</si>
  <si>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</si>
  <si>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</si>
  <si>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Band 5 Mid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</si>
  <si>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</si>
  <si>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</si>
  <si>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</si>
  <si>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</si>
  <si>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</si>
  <si>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</si>
  <si>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Consultant mid</t>
  </si>
  <si>
    <t>Specialty x</t>
  </si>
  <si>
    <t>Appointments with x specialty</t>
  </si>
  <si>
    <t>pathology / diagnostics / radiology</t>
  </si>
  <si>
    <t>Band 6 Mid</t>
  </si>
  <si>
    <t>Adverse events</t>
  </si>
  <si>
    <t>Adverse events, various (rate of cases)</t>
  </si>
  <si>
    <t>Notes</t>
  </si>
  <si>
    <t>Adverse events rates driven by inputs in blue cells on unit costs worksheet</t>
  </si>
  <si>
    <t>Population data notes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</si>
  <si>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</si>
  <si>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</si>
  <si>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</si>
  <si>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</si>
  <si>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</si>
  <si>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</si>
  <si>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Pack type</t>
  </si>
  <si>
    <t>Quantity</t>
  </si>
  <si>
    <t>Strength (mg)</t>
  </si>
  <si>
    <t>Total contents (mg)</t>
  </si>
  <si>
    <t xml:space="preserve">Cost </t>
  </si>
  <si>
    <t>Cycles</t>
  </si>
  <si>
    <t>Admin method</t>
  </si>
  <si>
    <t>VAT rate</t>
  </si>
  <si>
    <t>Annual cost</t>
  </si>
  <si>
    <t>All components</t>
  </si>
  <si>
    <t>Administrations</t>
  </si>
  <si>
    <t>Treatment option</t>
  </si>
  <si>
    <t>HRG code</t>
  </si>
  <si>
    <t>HRG description</t>
  </si>
  <si>
    <t>Tariff</t>
  </si>
  <si>
    <t xml:space="preserve">National  </t>
  </si>
  <si>
    <t xml:space="preserve">prices </t>
  </si>
  <si>
    <t>used</t>
  </si>
  <si>
    <t>on the</t>
  </si>
  <si>
    <t>all options</t>
  </si>
  <si>
    <t>left.</t>
  </si>
  <si>
    <t>Local</t>
  </si>
  <si>
    <t>prices</t>
  </si>
  <si>
    <t xml:space="preserve">can be </t>
  </si>
  <si>
    <t>Appointments with x specialist</t>
  </si>
  <si>
    <t xml:space="preserve">used as </t>
  </si>
  <si>
    <t xml:space="preserve">as an </t>
  </si>
  <si>
    <t>alternative.</t>
  </si>
  <si>
    <t>between</t>
  </si>
  <si>
    <t xml:space="preserve">using </t>
  </si>
  <si>
    <t>local or</t>
  </si>
  <si>
    <t>national</t>
  </si>
  <si>
    <t>is made</t>
  </si>
  <si>
    <t>national prices</t>
  </si>
  <si>
    <t>local prices</t>
  </si>
  <si>
    <t>Event</t>
  </si>
  <si>
    <t>Unit cost (£) 
national prices</t>
  </si>
  <si>
    <t>Unit cost (£) local prices</t>
  </si>
  <si>
    <t>Amend data in blue cells locally where necessary.</t>
  </si>
  <si>
    <t>Estimated number of administrations</t>
  </si>
  <si>
    <t>Current practice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</si>
  <si>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</si>
  <si>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</si>
  <si>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</si>
  <si>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</si>
  <si>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</si>
  <si>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</si>
  <si>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Non-cash</t>
  </si>
  <si>
    <t>All capacity items</t>
  </si>
  <si>
    <t>Cash items and financial impact of capacity items</t>
  </si>
  <si>
    <t>Capacity impact, activity</t>
  </si>
  <si>
    <t>Capacity impact on activity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</si>
  <si>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</si>
  <si>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</si>
  <si>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</si>
  <si>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</si>
  <si>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</si>
  <si>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</si>
  <si>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</si>
  <si>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</si>
  <si>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</si>
  <si>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</si>
  <si>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</si>
  <si>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</si>
  <si>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x service</t>
  </si>
  <si>
    <t>Appointments with x specialty - change</t>
  </si>
  <si>
    <t>Capacity impact on pathology/ radiology /diagnostics</t>
  </si>
  <si>
    <t>Capacity impact due to adverse events</t>
  </si>
  <si>
    <t>Adverse events, various (cases) - change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</si>
  <si>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</si>
  <si>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</si>
  <si>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</si>
  <si>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</si>
  <si>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</si>
  <si>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</si>
  <si>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</si>
  <si>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</si>
  <si>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</si>
  <si>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</si>
  <si>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</si>
  <si>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</si>
  <si>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</si>
  <si>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</si>
  <si>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</si>
  <si>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</si>
  <si>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</si>
  <si>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</si>
  <si>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</si>
  <si>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</si>
  <si>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</si>
  <si>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</si>
  <si>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</si>
  <si>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</si>
  <si>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</si>
  <si>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</si>
  <si>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</si>
  <si>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</si>
  <si>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</si>
  <si>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</si>
  <si>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</si>
  <si>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</si>
  <si>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</si>
  <si>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</si>
  <si>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</si>
  <si>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</si>
  <si>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</si>
  <si>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</si>
  <si>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</si>
  <si>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</si>
  <si>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</si>
  <si>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</si>
  <si>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</si>
  <si>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</si>
  <si>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</si>
  <si>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</si>
  <si>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</si>
  <si>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</si>
  <si>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</si>
  <si>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</si>
  <si>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</si>
  <si>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</si>
  <si>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</si>
  <si>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</si>
  <si>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</si>
  <si>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</si>
  <si>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</si>
  <si>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</si>
  <si>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</si>
  <si>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</si>
  <si>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</si>
  <si>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</si>
  <si>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</si>
  <si>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</si>
  <si>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</si>
  <si>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</si>
  <si>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</si>
  <si>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</si>
  <si>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</si>
  <si>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</si>
  <si>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</si>
  <si>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</si>
  <si>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</si>
  <si>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</si>
  <si>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</si>
  <si>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</si>
  <si>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</si>
  <si>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</si>
  <si>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</si>
  <si>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</si>
  <si>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</si>
  <si>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</si>
  <si>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</si>
  <si>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</si>
  <si>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</si>
  <si>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</si>
  <si>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</si>
  <si>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</si>
  <si>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</si>
  <si>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</si>
  <si>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</si>
  <si>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</si>
  <si>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</si>
  <si>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</si>
  <si>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</si>
  <si>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</si>
  <si>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</si>
  <si>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</si>
  <si>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</si>
  <si>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</si>
  <si>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</si>
  <si>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</si>
  <si>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</si>
  <si>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</si>
  <si>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</si>
  <si>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</si>
  <si>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</si>
  <si>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</si>
  <si>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</si>
  <si>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</si>
  <si>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</si>
  <si>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</si>
  <si>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</si>
  <si>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</si>
  <si>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</si>
  <si>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</si>
  <si>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</si>
  <si>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</si>
  <si>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</si>
  <si>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</si>
  <si>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</si>
  <si>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</si>
  <si>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</si>
  <si>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</si>
  <si>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</si>
  <si>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</si>
  <si>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</si>
  <si>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</si>
  <si>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</si>
  <si>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</si>
  <si>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</si>
  <si>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</si>
  <si>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</si>
  <si>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</si>
  <si>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</si>
  <si>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</si>
  <si>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</si>
  <si>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</si>
  <si>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</si>
  <si>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</si>
  <si>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</si>
  <si>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</si>
  <si>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</si>
  <si>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</si>
  <si>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</si>
  <si>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</si>
  <si>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</si>
  <si>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</si>
  <si>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</si>
  <si>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</si>
  <si>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</si>
  <si>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</si>
  <si>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</si>
  <si>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</si>
  <si>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</si>
  <si>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</si>
  <si>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</si>
  <si>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</si>
  <si>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</si>
  <si>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</si>
  <si>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</si>
  <si>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</si>
  <si>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</si>
  <si>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</si>
  <si>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</si>
  <si>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</si>
  <si>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</si>
  <si>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</si>
  <si>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</si>
  <si>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</si>
  <si>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</si>
  <si>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</si>
  <si>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</si>
  <si>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</si>
  <si>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</si>
  <si>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</si>
  <si>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</si>
  <si>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</si>
  <si>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</si>
  <si>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</si>
  <si>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</si>
  <si>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</si>
  <si>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</si>
  <si>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</si>
  <si>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</si>
  <si>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</si>
  <si>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</si>
  <si>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</si>
  <si>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</si>
  <si>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</si>
  <si>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</si>
  <si>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</si>
  <si>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</si>
  <si>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</si>
  <si>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</si>
  <si>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</si>
  <si>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</si>
  <si>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</si>
  <si>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</si>
  <si>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</si>
  <si>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</si>
  <si>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</si>
  <si>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</si>
  <si>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</si>
  <si>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</si>
  <si>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</si>
  <si>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</si>
  <si>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</si>
  <si>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</si>
  <si>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</si>
  <si>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</si>
  <si>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</si>
  <si>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</si>
  <si>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</si>
  <si>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</si>
  <si>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</si>
  <si>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</si>
  <si>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</si>
  <si>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</si>
  <si>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</si>
  <si>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</si>
  <si>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</si>
  <si>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</si>
  <si>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</si>
  <si>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</si>
  <si>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</si>
  <si>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</si>
  <si>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</si>
  <si>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</si>
  <si>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</si>
  <si>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</si>
  <si>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</si>
  <si>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</si>
  <si>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</si>
  <si>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</si>
  <si>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</si>
  <si>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</si>
  <si>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</si>
  <si>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</si>
  <si>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</si>
  <si>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</si>
  <si>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</si>
  <si>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</si>
  <si>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</si>
  <si>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</si>
  <si>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</si>
  <si>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</si>
  <si>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</si>
  <si>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</si>
  <si>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</si>
  <si>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</si>
  <si>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</si>
  <si>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</si>
  <si>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</si>
  <si>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</si>
  <si>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</si>
  <si>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</si>
  <si>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</si>
  <si>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</si>
  <si>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</si>
  <si>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</si>
  <si>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</si>
  <si>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</si>
  <si>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</si>
  <si>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</si>
  <si>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</si>
  <si>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</si>
  <si>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</si>
  <si>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</si>
  <si>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</si>
  <si>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</si>
  <si>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</si>
  <si>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</si>
  <si>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</si>
  <si>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</si>
  <si>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</si>
  <si>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</si>
  <si>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</si>
  <si>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</si>
  <si>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</si>
  <si>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</si>
  <si>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</si>
  <si>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</si>
  <si>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</si>
  <si>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</si>
  <si>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</si>
  <si>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</si>
  <si>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</si>
  <si>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</si>
  <si>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</si>
  <si>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</si>
  <si>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</si>
  <si>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</si>
  <si>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</si>
  <si>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</si>
  <si>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</si>
  <si>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</si>
  <si>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</si>
  <si>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</si>
  <si>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</si>
  <si>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</si>
  <si>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</si>
  <si>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</si>
  <si>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</si>
  <si>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</si>
  <si>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</si>
  <si>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</si>
  <si>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</si>
  <si>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</si>
  <si>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</si>
  <si>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</si>
  <si>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</si>
  <si>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</si>
  <si>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</si>
  <si>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</si>
  <si>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</si>
  <si>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</si>
  <si>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</si>
  <si>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</si>
  <si>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</si>
  <si>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</si>
  <si>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</si>
  <si>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</si>
  <si>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</si>
  <si>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</si>
  <si>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</si>
  <si>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</si>
  <si>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</si>
  <si>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</si>
  <si>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</si>
  <si>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</si>
  <si>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</si>
  <si>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</si>
  <si>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</si>
  <si>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</si>
  <si>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</si>
  <si>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</si>
  <si>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</si>
  <si>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</si>
  <si>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</si>
  <si>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</si>
  <si>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</si>
  <si>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</si>
  <si>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</si>
  <si>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</si>
  <si>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</si>
  <si>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</si>
  <si>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</si>
  <si>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</si>
  <si>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</si>
  <si>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</si>
  <si>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</si>
  <si>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</si>
  <si>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</si>
  <si>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</si>
  <si>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</si>
  <si>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</si>
  <si>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</si>
  <si>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</si>
  <si>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</si>
  <si>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</si>
  <si>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</si>
  <si>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</si>
  <si>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</si>
  <si>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</si>
  <si>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</si>
  <si>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</si>
  <si>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</si>
  <si>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</si>
  <si>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</si>
  <si>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</si>
  <si>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</si>
  <si>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</si>
  <si>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</si>
  <si>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</si>
  <si>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</si>
  <si>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</si>
  <si>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</si>
  <si>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</si>
  <si>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</si>
  <si>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</si>
  <si>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</si>
  <si>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</si>
  <si>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</si>
  <si>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</si>
  <si>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</si>
  <si>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</si>
  <si>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</si>
  <si>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</si>
  <si>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</si>
  <si>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</si>
  <si>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</si>
  <si>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</si>
  <si>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</si>
  <si>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</si>
  <si>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</si>
  <si>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</si>
  <si>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</si>
  <si>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</si>
  <si>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</si>
  <si>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</si>
  <si>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</si>
  <si>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</si>
  <si>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</si>
  <si>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</si>
  <si>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</si>
  <si>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</si>
  <si>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</si>
  <si>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</si>
  <si>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</si>
  <si>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</si>
  <si>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</si>
  <si>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</si>
  <si>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</si>
  <si>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</si>
  <si>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</si>
  <si>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</si>
  <si>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</si>
  <si>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</si>
  <si>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</si>
  <si>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</si>
  <si>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</si>
  <si>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</si>
  <si>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</si>
  <si>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</si>
  <si>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</si>
  <si>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</si>
  <si>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</si>
  <si>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</si>
  <si>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</si>
  <si>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</si>
  <si>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</si>
  <si>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</si>
  <si>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</si>
  <si>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</si>
  <si>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</si>
  <si>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</si>
  <si>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</si>
  <si>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</si>
  <si>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</si>
  <si>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</si>
  <si>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</si>
  <si>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</si>
  <si>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</si>
  <si>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</si>
  <si>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</si>
  <si>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</si>
  <si>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</si>
  <si>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</si>
  <si>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</si>
  <si>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</si>
  <si>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</si>
  <si>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</si>
  <si>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</si>
  <si>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</si>
  <si>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</si>
  <si>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</si>
  <si>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</si>
  <si>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</si>
  <si>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</si>
  <si>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</si>
  <si>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</si>
  <si>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</si>
  <si>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</si>
  <si>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</si>
  <si>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</si>
  <si>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</si>
  <si>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</si>
  <si>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</si>
  <si>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</si>
  <si>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</si>
  <si>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</si>
  <si>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</si>
  <si>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</si>
  <si>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</si>
  <si>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</si>
  <si>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</si>
  <si>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</si>
  <si>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</si>
  <si>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</si>
  <si>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</si>
  <si>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</si>
  <si>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</si>
  <si>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</si>
  <si>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</si>
  <si>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</si>
  <si>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</si>
  <si>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</si>
  <si>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</si>
  <si>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</si>
  <si>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</si>
  <si>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</si>
  <si>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</si>
  <si>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</si>
  <si>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</si>
  <si>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</si>
  <si>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</si>
  <si>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</si>
  <si>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</si>
  <si>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</si>
  <si>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</si>
  <si>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</si>
  <si>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</si>
  <si>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</si>
  <si>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</si>
  <si>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</si>
  <si>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</si>
  <si>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</si>
  <si>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</si>
  <si>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</si>
  <si>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</si>
  <si>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</si>
  <si>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</si>
  <si>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</si>
  <si>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</si>
  <si>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</si>
  <si>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</si>
  <si>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</si>
  <si>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</si>
  <si>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</si>
  <si>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</si>
  <si>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</si>
  <si>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</si>
  <si>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</si>
  <si>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</si>
  <si>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</si>
  <si>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</si>
  <si>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</si>
  <si>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</si>
  <si>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</si>
  <si>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</si>
  <si>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</si>
  <si>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</si>
  <si>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</si>
  <si>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</si>
  <si>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</si>
  <si>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</si>
  <si>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</si>
  <si>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</si>
  <si>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</si>
  <si>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</si>
  <si>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</si>
  <si>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</si>
  <si>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</si>
  <si>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</si>
  <si>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</si>
  <si>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</si>
  <si>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</si>
  <si>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</si>
  <si>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</si>
  <si>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</si>
  <si>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</si>
  <si>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</si>
  <si>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Unit Cost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</si>
  <si>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</si>
  <si>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</si>
  <si>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</si>
  <si>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</si>
  <si>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Number per patient per year</t>
  </si>
  <si>
    <t>Administrations - change in volume of HRGs to current practice</t>
  </si>
  <si>
    <t>Administrations - number of cycles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</si>
  <si>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</si>
  <si>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</si>
  <si>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</si>
  <si>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</si>
  <si>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</si>
  <si>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</si>
  <si>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</si>
  <si>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</si>
  <si>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</si>
  <si>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</si>
  <si>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</si>
  <si>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</si>
  <si>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</si>
  <si>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</si>
  <si>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</si>
  <si>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</si>
  <si>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</si>
  <si>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</si>
  <si>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</si>
  <si>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</si>
  <si>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X specialty</t>
  </si>
  <si>
    <t>Appointments with x specialty - change to current practice</t>
  </si>
  <si>
    <t>Pathology/ radiology/ diagnostics</t>
  </si>
  <si>
    <t>Adverse events, various (cases)</t>
  </si>
  <si>
    <t>Adverse events - change to current practice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</si>
  <si>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</si>
  <si>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</si>
  <si>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</si>
  <si>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</si>
  <si>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</si>
  <si>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</si>
  <si>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</si>
  <si>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</si>
  <si>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</si>
  <si>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</si>
  <si>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</si>
  <si>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</si>
  <si>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</si>
  <si>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</si>
  <si>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</si>
  <si>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</si>
  <si>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</si>
  <si>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</si>
  <si>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</si>
  <si>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</si>
  <si>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</si>
  <si>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</si>
  <si>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</si>
  <si>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</si>
  <si>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</si>
  <si>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</si>
  <si>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</si>
  <si>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</si>
  <si>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</si>
  <si>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</si>
  <si>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</si>
  <si>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</si>
  <si>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</si>
  <si>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</si>
  <si>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</si>
  <si>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</si>
  <si>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</si>
  <si>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</si>
  <si>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</si>
  <si>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</si>
  <si>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</si>
  <si>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</si>
  <si>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</si>
  <si>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</si>
  <si>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</si>
  <si>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</si>
  <si>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</si>
  <si>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</si>
  <si>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</si>
  <si>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</si>
  <si>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</si>
  <si>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</si>
  <si>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</si>
  <si>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</si>
  <si>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</si>
  <si>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</si>
  <si>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</si>
  <si>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</si>
  <si>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</si>
  <si>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</si>
  <si>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</si>
  <si>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</si>
  <si>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</si>
  <si>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</si>
  <si>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</si>
  <si>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</si>
  <si>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</si>
  <si>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</si>
  <si>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</si>
  <si>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</si>
  <si>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</si>
  <si>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</si>
  <si>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</si>
  <si>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</si>
  <si>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</si>
  <si>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</si>
  <si>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</si>
  <si>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</si>
  <si>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</si>
  <si>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</si>
  <si>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</si>
  <si>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</si>
  <si>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</si>
  <si>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</si>
  <si>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</si>
  <si>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</si>
  <si>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</si>
  <si>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</si>
  <si>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</si>
  <si>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</si>
  <si>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</si>
  <si>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</si>
  <si>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</si>
  <si>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</si>
  <si>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</si>
  <si>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</si>
  <si>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</si>
  <si>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</si>
  <si>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</si>
  <si>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</si>
  <si>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</si>
  <si>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</si>
  <si>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</si>
  <si>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</si>
  <si>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</si>
  <si>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</si>
  <si>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</si>
  <si>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</si>
  <si>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</si>
  <si>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</si>
  <si>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</si>
  <si>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</si>
  <si>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</si>
  <si>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</si>
  <si>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</si>
  <si>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</si>
  <si>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</si>
  <si>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</si>
  <si>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</si>
  <si>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</si>
  <si>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</si>
  <si>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</si>
  <si>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</si>
  <si>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</si>
  <si>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</si>
  <si>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</si>
  <si>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</si>
  <si>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</si>
  <si>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</si>
  <si>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</si>
  <si>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</si>
  <si>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</si>
  <si>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</si>
  <si>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</si>
  <si>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</si>
  <si>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</si>
  <si>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</si>
  <si>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</si>
  <si>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</si>
  <si>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</si>
  <si>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</si>
  <si>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</si>
  <si>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</si>
  <si>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</si>
  <si>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</si>
  <si>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</si>
  <si>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</si>
  <si>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</si>
  <si>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</si>
  <si>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</si>
  <si>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</si>
  <si>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</si>
  <si>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</si>
  <si>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</si>
  <si>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</si>
  <si>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</si>
  <si>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</si>
  <si>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</si>
  <si>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</si>
  <si>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</si>
  <si>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</si>
  <si>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</si>
  <si>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</si>
  <si>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Hours above based on calculations below</t>
  </si>
  <si>
    <t>Staff time per test (minutes)</t>
  </si>
  <si>
    <t>Staff time per appointment (minutes)</t>
  </si>
  <si>
    <t>Bottom, mid, top; 
band and point on scale</t>
  </si>
  <si>
    <t>Hours to calculate hourly rate</t>
  </si>
  <si>
    <t>Based on 2023/25 National Tariff Payment System -  24/25 prices</t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</si>
  <si>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</si>
  <si>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</si>
  <si>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</si>
  <si>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</si>
  <si>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</si>
  <si>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</si>
  <si>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</si>
  <si>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</si>
  <si>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</si>
  <si>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</si>
  <si>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</si>
  <si>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</si>
  <si>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</si>
  <si>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</si>
  <si>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</si>
  <si>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</si>
  <si>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</si>
  <si>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</si>
  <si>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</si>
  <si>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</si>
  <si>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</si>
  <si>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</si>
  <si>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</si>
  <si>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</si>
  <si>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</si>
  <si>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</si>
  <si>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</si>
  <si>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</si>
  <si>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</si>
  <si>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</si>
  <si>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</si>
  <si>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</si>
  <si>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</si>
  <si>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</si>
  <si>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</si>
  <si>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</si>
  <si>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</si>
  <si>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</si>
  <si>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</si>
  <si>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</si>
  <si>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</si>
  <si>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</si>
  <si>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</si>
  <si>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</si>
  <si>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</si>
  <si>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</si>
  <si>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</si>
  <si>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</si>
  <si>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5 year view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</si>
  <si>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</si>
  <si>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</si>
  <si>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</si>
  <si>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</si>
  <si>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</si>
  <si>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</si>
  <si>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</si>
  <si>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</si>
  <si>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</si>
  <si>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</si>
  <si>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</si>
  <si>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</si>
  <si>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</si>
  <si>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</si>
  <si>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</si>
  <si>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10 year view</t>
  </si>
  <si>
    <t>10 year rates</t>
  </si>
  <si>
    <t>Value to use</t>
  </si>
  <si>
    <t>this column above</t>
  </si>
  <si>
    <t>Population specific growth rate</t>
  </si>
  <si>
    <t>Population % growth per year</t>
  </si>
  <si>
    <t>Disease rate % change per year</t>
  </si>
  <si>
    <t>Population above inflated to estimated 2024 value, current year</t>
  </si>
  <si>
    <t>Cancer</t>
  </si>
  <si>
    <t>To show key information</t>
  </si>
  <si>
    <t>Subcutaneous</t>
  </si>
  <si>
    <t>Vial</t>
  </si>
  <si>
    <t>NHS England » 2023-25 NHS Payment Scheme (amended)</t>
  </si>
  <si>
    <t>First attendances</t>
  </si>
  <si>
    <t>WF01B</t>
  </si>
  <si>
    <t>Follow up attendances</t>
  </si>
  <si>
    <t>WF01A</t>
  </si>
  <si>
    <t>First Attendance - Single Professional.  TFC x &lt;specialty&gt;</t>
  </si>
  <si>
    <t>National prices</t>
  </si>
  <si>
    <t>Local prices</t>
  </si>
  <si>
    <t>Adverse events at local prices are currently costed at 80% of the HRG.</t>
  </si>
  <si>
    <t>Full blood count - number of</t>
  </si>
  <si>
    <t>Full blood count</t>
  </si>
  <si>
    <t>Attendances</t>
  </si>
  <si>
    <t>People receiving olaparib with abiraterone and prednisolone</t>
  </si>
  <si>
    <t>People receiving abiraterone with prednisolone</t>
  </si>
  <si>
    <t>People receiving enzalutamide</t>
  </si>
  <si>
    <t>Full blood count - change in number to current practice</t>
  </si>
  <si>
    <t>change in number of attendances current practice</t>
  </si>
  <si>
    <t>Haematologist appointment</t>
  </si>
  <si>
    <t>per patient per year</t>
  </si>
  <si>
    <t>Number of full blood count</t>
  </si>
  <si>
    <t>See unit cost tab</t>
  </si>
  <si>
    <t>Appointments based on company submission</t>
  </si>
  <si>
    <t>The populations shown are based on:</t>
  </si>
  <si>
    <t>1. Mid-2020 Population Estimates for Clinical Commissioning Groups and NHS area teams in England by single year of age and sex (experimental statistics) and NHS area teams.</t>
  </si>
  <si>
    <t>Clinical Commissioning Group Mid-Year Population Estimates - Office for National Statistics</t>
  </si>
  <si>
    <t xml:space="preserve">Population data are inflated for growth estimates.  Current year shows 2020 data.  This is inflated by two years' expected growth to give year 1 data. Years 2 to 5 then apply a further four years expected growth. </t>
  </si>
  <si>
    <t xml:space="preserve">2. Mid-2020 Population Estimates for local health boards in Wales by single year of age. </t>
  </si>
  <si>
    <t>https://statswales.gov.wales/Catalogue/Population-and-Migration/Population/Estimates/Local-Health-Boards</t>
  </si>
  <si>
    <t xml:space="preserve">3. Mid-2020 Population Estimates in Northern Ireland by Health and Social Care Trust (HSCTs) by single year of age. </t>
  </si>
  <si>
    <t>Mid Year Population Estimates | Northern Ireland Statistics and Research Agency</t>
  </si>
  <si>
    <t xml:space="preserve">4. Population Estimates by single year of age and sex for local authorities in the UK, mid-2020. </t>
  </si>
  <si>
    <t>Population Estimates for UK, England and Wales, Scotland and Northern Ireland - Office for National Statistics</t>
  </si>
  <si>
    <t xml:space="preserve">Rates of adverse events and costs, based on EAG model. </t>
  </si>
  <si>
    <t>Unit cost</t>
  </si>
  <si>
    <t xml:space="preserve">Population </t>
  </si>
  <si>
    <t>Adverse events data from EAG model. Based on HRG costs</t>
  </si>
  <si>
    <t>per patient/yr.</t>
  </si>
  <si>
    <t>Pack size</t>
  </si>
  <si>
    <t>Dosage and cost</t>
  </si>
  <si>
    <t>Dose per day (mg)</t>
  </si>
  <si>
    <t>Frequency per cycle of 28 days (days)</t>
  </si>
  <si>
    <t>Total dosage</t>
  </si>
  <si>
    <t>People receiving elrantamab</t>
  </si>
  <si>
    <t xml:space="preserve">People receiving panobinostat with bortezomib and dexamethasone </t>
  </si>
  <si>
    <t>People receiving pomalidomide plus dexamethasone</t>
  </si>
  <si>
    <t>Capacity impact, financial - £'000</t>
  </si>
  <si>
    <t>Total resource impact - £'000</t>
  </si>
  <si>
    <t>Relugolix for treating hormone-sensitive prostate cancer</t>
  </si>
  <si>
    <t>prostate cancer</t>
  </si>
  <si>
    <t>Primary care / Secondary care - acute</t>
  </si>
  <si>
    <t>90 days</t>
  </si>
  <si>
    <t>02H cancer,  Urological</t>
  </si>
  <si>
    <t>Cancer Registrations Statistics, England 2021- NHS Digital, ICD C61</t>
  </si>
  <si>
    <t>Men aged 18 and above</t>
  </si>
  <si>
    <t>Men aged 18 and above forecast at year 5</t>
  </si>
  <si>
    <t>Incidence of prostate cancer</t>
  </si>
  <si>
    <t>NPCA State of the Nation Report - National Prostate Cancer Audit</t>
  </si>
  <si>
    <t>Total eligible population</t>
  </si>
  <si>
    <t>Relugolix</t>
  </si>
  <si>
    <t>30 x 120mg tablets</t>
  </si>
  <si>
    <t>Degarelix</t>
  </si>
  <si>
    <t>Leuprolide</t>
  </si>
  <si>
    <t>Triptorelin</t>
  </si>
  <si>
    <t>Goserelin</t>
  </si>
  <si>
    <t>1 x 3.75mg vial</t>
  </si>
  <si>
    <t>1 x 11.25mg vial</t>
  </si>
  <si>
    <t>1 x 3mg vial</t>
  </si>
  <si>
    <t>1 x 10.8mg syringe</t>
  </si>
  <si>
    <t>People receiving relugolix</t>
  </si>
  <si>
    <t>People receiving degarelix</t>
  </si>
  <si>
    <t>People receiving leuprolide</t>
  </si>
  <si>
    <t>People receiving triptorelin</t>
  </si>
  <si>
    <t>People receiving goserelin</t>
  </si>
  <si>
    <t>No ADT</t>
  </si>
  <si>
    <t>Current practice and future practice based on consultant urologist opinion</t>
  </si>
  <si>
    <t>Oncologist appointment</t>
  </si>
  <si>
    <t>Number of liver function tests</t>
  </si>
  <si>
    <t>Number of kidney function tests</t>
  </si>
  <si>
    <t>Number of PSA tests</t>
  </si>
  <si>
    <t>Number of CT scans</t>
  </si>
  <si>
    <t>First Attendance - Single Professional.  TFC 800</t>
  </si>
  <si>
    <t>Follow Up Attendance - Single Professional.  TFC 800</t>
  </si>
  <si>
    <t>Drugs - resource impact</t>
  </si>
  <si>
    <t xml:space="preserve">Cash items </t>
  </si>
  <si>
    <t>Drug resource impact (cash) year on year</t>
  </si>
  <si>
    <t>Loading dose 3x 120mg tablets</t>
  </si>
  <si>
    <t>Relugolix (Year 1)</t>
  </si>
  <si>
    <t>Subsequent dose 120mg tablet daily</t>
  </si>
  <si>
    <t>Oral</t>
  </si>
  <si>
    <t>Packet</t>
  </si>
  <si>
    <t>120mg tablet daily</t>
  </si>
  <si>
    <t>Relugolix (Subsequent years)</t>
  </si>
  <si>
    <t>Degarelix (Year 1)</t>
  </si>
  <si>
    <t>Degarelix (Subsequent years)</t>
  </si>
  <si>
    <t>Subsequent dose 80mg vial every 4 weeks</t>
  </si>
  <si>
    <t>80mg vial every 4 weeks</t>
  </si>
  <si>
    <t>3.75mg vial monthly</t>
  </si>
  <si>
    <t>Frequency per cycle (days)</t>
  </si>
  <si>
    <t>11.25mg vial every 3 months</t>
  </si>
  <si>
    <t>Weighted dosage</t>
  </si>
  <si>
    <t>3mg vial every 4 weeks</t>
  </si>
  <si>
    <t>1 x 22.5mg vial</t>
  </si>
  <si>
    <t>22.5mg vial every 6 months</t>
  </si>
  <si>
    <t>3.6mg injection every 4 weeks</t>
  </si>
  <si>
    <t>10.8mg injection every 3 months</t>
  </si>
  <si>
    <t>Follow Up Attendance - Single Professional.  TFC 101</t>
  </si>
  <si>
    <t>Proportion delivered in primary care</t>
  </si>
  <si>
    <t>Proportion delivered in secondary care</t>
  </si>
  <si>
    <t xml:space="preserve">Adverse events, annual costs and rates </t>
  </si>
  <si>
    <t>People receiving relugolix (WF01A)</t>
  </si>
  <si>
    <t>People receiving degarelix (WF01A)</t>
  </si>
  <si>
    <t>People receiving leuprolide (WF01A)</t>
  </si>
  <si>
    <t>People receiving triptorelin (WF01A)</t>
  </si>
  <si>
    <t>People receiving goserelin (WF01A)</t>
  </si>
  <si>
    <t>CT scan</t>
  </si>
  <si>
    <t>CT scan - change in number to current practice</t>
  </si>
  <si>
    <t>Liver function test</t>
  </si>
  <si>
    <t>Liver function test - change in number to current practice</t>
  </si>
  <si>
    <t>Kidney function test - change in number to current practice</t>
  </si>
  <si>
    <t>Kidney function test</t>
  </si>
  <si>
    <t>PSA tests</t>
  </si>
  <si>
    <t>PSA tests - change in number to current practice</t>
  </si>
  <si>
    <t xml:space="preserve">Population and uptake </t>
  </si>
  <si>
    <t>Eligible population</t>
  </si>
  <si>
    <t>Uptake rate for relugolix (%)</t>
  </si>
  <si>
    <t>Population receiving relugolix each year</t>
  </si>
  <si>
    <t>Financial resource impact - £'000</t>
  </si>
  <si>
    <t>WF01A Follow Up Attendance - Single Professional.  TFC 101</t>
  </si>
  <si>
    <t>CT scan - change in number of</t>
  </si>
  <si>
    <t>Liver function test - change in number of</t>
  </si>
  <si>
    <t>Kidney function test - change in number of</t>
  </si>
  <si>
    <t>PSA tests - change in number of</t>
  </si>
  <si>
    <t>Nonfatal MI</t>
  </si>
  <si>
    <t>Fatal MI</t>
  </si>
  <si>
    <t>Nonfatal stroke</t>
  </si>
  <si>
    <t>Fatal stroke</t>
  </si>
  <si>
    <t>Nonfatal other CV (Unstable angina, heart failure, transient ischaemic attack)</t>
  </si>
  <si>
    <t>Fatal other CV</t>
  </si>
  <si>
    <t>Weighted average VAT</t>
  </si>
  <si>
    <t>Eligible population that are high risk/locally advanced</t>
  </si>
  <si>
    <t>Eligible population that are metastatic</t>
  </si>
  <si>
    <t xml:space="preserve">rate is compounded </t>
  </si>
  <si>
    <t>GP nurse administration</t>
  </si>
  <si>
    <t>Proportion with high risk/locally advanced prostate cancer</t>
  </si>
  <si>
    <t>Proportion with metastatic prostate cancer</t>
  </si>
  <si>
    <t>People starting relugolix</t>
  </si>
  <si>
    <t>People starting degarelix</t>
  </si>
  <si>
    <t>People starting leuprolide</t>
  </si>
  <si>
    <t>People starting triptorelin</t>
  </si>
  <si>
    <t>People starting goserelin</t>
  </si>
  <si>
    <t>Hormone-sensitive prostate cancer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</si>
  <si>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</si>
  <si>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</si>
  <si>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</si>
  <si>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1 x 80mg vial</t>
  </si>
  <si>
    <t>2 x 120mg vial</t>
  </si>
  <si>
    <t>Loading dose 2 x 120mg vial</t>
  </si>
  <si>
    <t>BNF</t>
  </si>
  <si>
    <t xml:space="preserve">Relugolix for treating hormone-sensitive </t>
  </si>
  <si>
    <t xml:space="preserve">Eligible population </t>
  </si>
  <si>
    <t>Follow up attendances hours and cost</t>
  </si>
  <si>
    <t>People receiving relugolix (GP)</t>
  </si>
  <si>
    <t>People receiving degarelix (GP)</t>
  </si>
  <si>
    <t>People receiving leuprolide (GP)</t>
  </si>
  <si>
    <t>People receiving triptorelin (GP)</t>
  </si>
  <si>
    <t>People receiving goserelin (GP)</t>
  </si>
  <si>
    <t xml:space="preserve">(dictionary of medicines and devices, accessed August 2024) </t>
  </si>
  <si>
    <t>The treatment duration for the high risk/locally advanced group is asusmed to be 2 years and 5 years for the metastatic group as per company submission.</t>
  </si>
  <si>
    <t>Drug resource impact cash (high risk/locally advanced)</t>
  </si>
  <si>
    <t>Drug resource impact cash (metastatic)</t>
  </si>
  <si>
    <t>Published: August 2024</t>
  </si>
  <si>
    <t>Appointments with x specialty (hours)</t>
  </si>
  <si>
    <t>Full blood count (hours)</t>
  </si>
  <si>
    <t>CT scan (hours)</t>
  </si>
  <si>
    <t>Liver function test (hours)</t>
  </si>
  <si>
    <t>Kidney function test (hours)</t>
  </si>
  <si>
    <t>PSA tests (hours)</t>
  </si>
  <si>
    <t>In a world with the new options - high risk/locally advanced</t>
  </si>
  <si>
    <t>In a world with the new options - metastatic</t>
  </si>
  <si>
    <t>Drugs - people receiving treatment options (metastatic) - each year includes current year incident and previous 4 years</t>
  </si>
  <si>
    <t>Drugs - people receiving treatment options (high risk/locally advanced) - each year includes current year incident and previous year patients</t>
  </si>
  <si>
    <t>(TA995)</t>
  </si>
  <si>
    <t>Prostate cancer</t>
  </si>
  <si>
    <t>1 x 3.6mg syringe</t>
  </si>
  <si>
    <t>Number of scans and tests as per EAG model</t>
  </si>
  <si>
    <t>Amend proportion delivered in primary and secondary care to reflect local assumptions</t>
  </si>
  <si>
    <t xml:space="preserve">The selection </t>
  </si>
  <si>
    <t>summary</t>
  </si>
  <si>
    <t>worksheet</t>
  </si>
  <si>
    <t>ICB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</si>
</sst>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29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25" borderId="0" xfId="82" applyFill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0" fontId="44" fillId="24" borderId="11" xfId="0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8" fillId="24" borderId="12" xfId="82" applyFont="1" applyFill="1" applyBorder="1" applyAlignment="1">
      <alignment horizontal="left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0" fontId="0" fillId="40" borderId="0" xfId="0" applyFill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3" xfId="0" applyBorder="1"/>
    <xf numFmtId="0" fontId="0" fillId="45" borderId="0" xfId="0" applyFill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39" fillId="45" borderId="17" xfId="0" applyFont="1" applyFill="1" applyBorder="1"/>
    <xf numFmtId="168" fontId="2" fillId="0" borderId="0" xfId="82" applyNumberFormat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28" fillId="0" borderId="11" xfId="72" applyBorder="1" applyAlignment="1" applyProtection="1"/>
    <xf numFmtId="0" fontId="0" fillId="0" borderId="0" xfId="0" applyAlignment="1">
      <alignment horizontal="right" vertical="center"/>
    </xf>
    <xf numFmtId="0" fontId="28" fillId="0" borderId="0" xfId="72" applyAlignment="1" applyProtection="1"/>
    <xf numFmtId="0" fontId="48" fillId="24" borderId="17" xfId="0" applyFont="1" applyFill="1" applyBorder="1" applyAlignment="1">
      <alignment horizontal="right"/>
    </xf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0" fontId="62" fillId="0" borderId="0" xfId="0" applyFont="1"/>
    <xf numFmtId="0" fontId="63" fillId="0" borderId="0" xfId="0" applyFont="1" applyAlignment="1">
      <alignment vertical="center" wrapText="1"/>
    </xf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6" fillId="39" borderId="11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68" fillId="37" borderId="20" xfId="0" applyFont="1" applyFill="1" applyBorder="1" applyAlignment="1">
      <alignment horizontal="left"/>
    </xf>
    <xf numFmtId="0" fontId="0" fillId="41" borderId="17" xfId="0" applyFill="1" applyBorder="1"/>
    <xf numFmtId="0" fontId="0" fillId="45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3" xfId="0" applyFill="1" applyBorder="1"/>
    <xf numFmtId="0" fontId="44" fillId="24" borderId="13" xfId="0" applyFont="1" applyFill="1" applyBorder="1"/>
    <xf numFmtId="0" fontId="39" fillId="45" borderId="0" xfId="0" applyFont="1" applyFill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5" borderId="11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3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5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3" borderId="14" xfId="0" applyFill="1" applyBorder="1"/>
    <xf numFmtId="0" fontId="39" fillId="45" borderId="10" xfId="0" applyFont="1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5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5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168" fontId="46" fillId="0" borderId="11" xfId="82" applyNumberFormat="1" applyFont="1" applyBorder="1"/>
    <xf numFmtId="0" fontId="6" fillId="24" borderId="12" xfId="82" applyFont="1" applyFill="1" applyBorder="1"/>
    <xf numFmtId="0" fontId="48" fillId="24" borderId="20" xfId="82" applyFont="1" applyFill="1" applyBorder="1" applyAlignment="1">
      <alignment horizontal="center"/>
    </xf>
    <xf numFmtId="0" fontId="48" fillId="24" borderId="20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6" fillId="39" borderId="11" xfId="0" applyFont="1" applyFill="1" applyBorder="1" applyAlignment="1">
      <alignment horizontal="center" vertical="center"/>
    </xf>
    <xf numFmtId="0" fontId="0" fillId="0" borderId="34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6" fillId="24" borderId="0" xfId="0" applyFont="1" applyFill="1" applyAlignment="1">
      <alignment horizontal="center" vertical="center"/>
    </xf>
    <xf numFmtId="0" fontId="66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6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4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" fillId="24" borderId="15" xfId="82" applyFont="1" applyFill="1" applyBorder="1"/>
    <xf numFmtId="0" fontId="6" fillId="24" borderId="16" xfId="82" applyFont="1" applyFill="1" applyBorder="1"/>
    <xf numFmtId="0" fontId="46" fillId="24" borderId="16" xfId="82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165" fontId="0" fillId="0" borderId="0" xfId="0" applyNumberFormat="1"/>
    <xf numFmtId="0" fontId="59" fillId="0" borderId="0" xfId="82" applyFont="1" applyAlignment="1">
      <alignment horizontal="center"/>
    </xf>
    <xf numFmtId="0" fontId="59" fillId="0" borderId="0" xfId="110" applyFont="1" applyAlignment="1">
      <alignment horizontal="left" vertical="center" wrapText="1"/>
    </xf>
    <xf numFmtId="170" fontId="46" fillId="0" borderId="11" xfId="82" applyNumberFormat="1" applyFont="1" applyBorder="1"/>
    <xf numFmtId="170" fontId="46" fillId="0" borderId="0" xfId="82" applyNumberFormat="1" applyFont="1"/>
    <xf numFmtId="0" fontId="0" fillId="25" borderId="0" xfId="0" applyFill="1"/>
    <xf numFmtId="170" fontId="46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1" fillId="0" borderId="0" xfId="82" applyFont="1"/>
    <xf numFmtId="164" fontId="6" fillId="0" borderId="0" xfId="82" applyNumberFormat="1" applyFont="1" applyAlignment="1">
      <alignment horizontal="right"/>
    </xf>
    <xf numFmtId="0" fontId="70" fillId="0" borderId="11" xfId="0" applyFont="1" applyBorder="1" applyAlignment="1">
      <alignment wrapText="1"/>
    </xf>
    <xf numFmtId="3" fontId="70" fillId="0" borderId="11" xfId="0" applyNumberFormat="1" applyFont="1" applyBorder="1"/>
    <xf numFmtId="9" fontId="70" fillId="0" borderId="11" xfId="0" applyNumberFormat="1" applyFont="1" applyBorder="1"/>
    <xf numFmtId="0" fontId="70" fillId="0" borderId="11" xfId="0" applyFont="1" applyBorder="1" applyAlignment="1">
      <alignment horizontal="right"/>
    </xf>
    <xf numFmtId="0" fontId="69" fillId="0" borderId="0" xfId="0" applyFont="1"/>
    <xf numFmtId="10" fontId="70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0" fontId="69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0" fontId="69" fillId="48" borderId="11" xfId="0" applyFont="1" applyFill="1" applyBorder="1" applyAlignment="1">
      <alignment horizontal="center" wrapText="1"/>
    </xf>
    <xf numFmtId="0" fontId="44" fillId="48" borderId="11" xfId="0" applyFont="1" applyFill="1" applyBorder="1" applyAlignment="1">
      <alignment horizontal="center" wrapText="1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70" fontId="46" fillId="0" borderId="36" xfId="82" applyNumberFormat="1" applyFont="1" applyBorder="1"/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165" fontId="46" fillId="0" borderId="22" xfId="82" applyNumberFormat="1" applyFont="1" applyBorder="1" applyAlignment="1" applyProtection="1">
      <alignment horizontal="right"/>
      <protection locked="0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44" fillId="0" borderId="3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69" fillId="24" borderId="11" xfId="0" applyFont="1" applyFill="1" applyBorder="1" applyAlignment="1">
      <alignment horizontal="center" wrapText="1"/>
    </xf>
    <xf numFmtId="170" fontId="46" fillId="24" borderId="17" xfId="82" applyNumberFormat="1" applyFont="1" applyFill="1" applyBorder="1"/>
    <xf numFmtId="170" fontId="46" fillId="24" borderId="11" xfId="82" applyNumberFormat="1" applyFont="1" applyFill="1" applyBorder="1"/>
    <xf numFmtId="0" fontId="44" fillId="0" borderId="19" xfId="82" applyFont="1" applyBorder="1" applyAlignment="1">
      <alignment horizontal="center"/>
    </xf>
    <xf numFmtId="0" fontId="44" fillId="0" borderId="19" xfId="110" applyFont="1" applyBorder="1" applyAlignment="1">
      <alignment horizontal="center" wrapText="1"/>
    </xf>
    <xf numFmtId="3" fontId="44" fillId="0" borderId="19" xfId="110" applyNumberFormat="1" applyFont="1" applyBorder="1" applyAlignment="1">
      <alignment horizontal="center" wrapText="1"/>
    </xf>
    <xf numFmtId="0" fontId="44" fillId="0" borderId="25" xfId="110" applyFont="1" applyBorder="1" applyAlignment="1">
      <alignment horizontal="center" wrapText="1"/>
    </xf>
    <xf numFmtId="0" fontId="72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29" fillId="48" borderId="11" xfId="0" applyFont="1" applyFill="1" applyBorder="1" applyAlignment="1">
      <alignment horizontal="left"/>
    </xf>
    <xf numFmtId="10" fontId="29" fillId="48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48" fillId="24" borderId="20" xfId="0" applyFont="1" applyFill="1" applyBorder="1" applyAlignment="1">
      <alignment horizontal="left" vertical="center" wrapText="1"/>
    </xf>
    <xf numFmtId="10" fontId="29" fillId="48" borderId="11" xfId="0" applyNumberFormat="1" applyFont="1" applyFill="1" applyBorder="1"/>
    <xf numFmtId="171" fontId="29" fillId="48" borderId="11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left"/>
    </xf>
    <xf numFmtId="0" fontId="29" fillId="26" borderId="33" xfId="0" applyFont="1" applyFill="1" applyBorder="1" applyAlignment="1">
      <alignment horizontal="left"/>
    </xf>
    <xf numFmtId="0" fontId="29" fillId="26" borderId="33" xfId="0" applyFont="1" applyFill="1" applyBorder="1"/>
    <xf numFmtId="0" fontId="32" fillId="30" borderId="33" xfId="0" applyFont="1" applyFill="1" applyBorder="1" applyAlignment="1">
      <alignment vertical="center" wrapText="1"/>
    </xf>
    <xf numFmtId="0" fontId="32" fillId="27" borderId="33" xfId="0" applyFont="1" applyFill="1" applyBorder="1"/>
    <xf numFmtId="0" fontId="29" fillId="0" borderId="33" xfId="0" applyFont="1" applyBorder="1"/>
    <xf numFmtId="3" fontId="32" fillId="0" borderId="33" xfId="0" applyNumberFormat="1" applyFont="1" applyBorder="1"/>
    <xf numFmtId="3" fontId="7" fillId="0" borderId="33" xfId="0" applyNumberFormat="1" applyFont="1" applyBorder="1"/>
    <xf numFmtId="3" fontId="29" fillId="0" borderId="33" xfId="0" applyNumberFormat="1" applyFont="1" applyBorder="1"/>
    <xf numFmtId="3" fontId="6" fillId="0" borderId="33" xfId="0" applyNumberFormat="1" applyFont="1" applyBorder="1"/>
    <xf numFmtId="0" fontId="6" fillId="0" borderId="33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5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40" borderId="21" xfId="0" applyFont="1" applyFill="1" applyBorder="1"/>
    <xf numFmtId="0" fontId="44" fillId="0" borderId="33" xfId="0" applyFont="1" applyBorder="1" applyAlignment="1">
      <alignment horizontal="right"/>
    </xf>
    <xf numFmtId="165" fontId="0" fillId="0" borderId="33" xfId="0" applyNumberFormat="1" applyBorder="1"/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0" fontId="4" fillId="0" borderId="10" xfId="0" applyFont="1" applyBorder="1" applyAlignment="1">
      <alignment vertical="center"/>
    </xf>
    <xf numFmtId="3" fontId="0" fillId="0" borderId="38" xfId="0" applyNumberFormat="1" applyBorder="1" applyAlignment="1">
      <alignment horizontal="right"/>
    </xf>
    <xf numFmtId="170" fontId="46" fillId="0" borderId="15" xfId="82" applyNumberFormat="1" applyFont="1" applyBorder="1"/>
    <xf numFmtId="170" fontId="46" fillId="0" borderId="12" xfId="82" applyNumberFormat="1" applyFont="1" applyBorder="1"/>
    <xf numFmtId="170" fontId="46" fillId="24" borderId="21" xfId="82" applyNumberFormat="1" applyFont="1" applyFill="1" applyBorder="1"/>
    <xf numFmtId="170" fontId="46" fillId="0" borderId="39" xfId="82" applyNumberFormat="1" applyFont="1" applyBorder="1"/>
    <xf numFmtId="10" fontId="0" fillId="0" borderId="0" xfId="92" applyNumberFormat="1" applyFont="1" applyFill="1" applyBorder="1"/>
    <xf numFmtId="0" fontId="28" fillId="0" borderId="0" xfId="72" applyBorder="1" applyAlignment="1" applyProtection="1"/>
    <xf numFmtId="0" fontId="50" fillId="0" borderId="14" xfId="0" applyFon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8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8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0" fillId="0" borderId="15" xfId="0" applyBorder="1"/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8" fillId="24" borderId="17" xfId="82" applyFont="1" applyFill="1" applyBorder="1" applyAlignment="1">
      <alignment horizontal="center" wrapText="1"/>
    </xf>
    <xf numFmtId="168" fontId="6" fillId="0" borderId="0" xfId="82" applyNumberFormat="1" applyFont="1"/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0" fontId="46" fillId="24" borderId="19" xfId="82" applyFont="1" applyFill="1" applyBorder="1" applyAlignment="1">
      <alignment horizontal="center"/>
    </xf>
    <xf numFmtId="10" fontId="46" fillId="39" borderId="11" xfId="92" applyNumberFormat="1" applyFont="1" applyFill="1" applyBorder="1" applyProtection="1">
      <protection locked="0"/>
    </xf>
    <xf numFmtId="165" fontId="46" fillId="39" borderId="12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10" fontId="48" fillId="0" borderId="0" xfId="92" applyNumberFormat="1" applyFont="1" applyFill="1" applyBorder="1" applyProtection="1">
      <protection locked="0"/>
    </xf>
    <xf numFmtId="165" fontId="48" fillId="0" borderId="0" xfId="82" applyNumberFormat="1" applyFont="1"/>
    <xf numFmtId="9" fontId="2" fillId="24" borderId="0" xfId="92" applyFont="1" applyFill="1"/>
    <xf numFmtId="0" fontId="0" fillId="0" borderId="31" xfId="0" applyBorder="1" applyAlignment="1">
      <alignment wrapText="1"/>
    </xf>
    <xf numFmtId="0" fontId="44" fillId="0" borderId="17" xfId="0" applyFont="1" applyBorder="1" applyAlignment="1">
      <alignment wrapText="1"/>
    </xf>
    <xf numFmtId="0" fontId="0" fillId="0" borderId="17" xfId="0" applyBorder="1" applyAlignment="1">
      <alignment vertical="center" wrapText="1"/>
    </xf>
    <xf numFmtId="9" fontId="0" fillId="0" borderId="11" xfId="92" applyFont="1" applyBorder="1"/>
    <xf numFmtId="3" fontId="46" fillId="0" borderId="0" xfId="0" applyNumberFormat="1" applyFont="1"/>
    <xf numFmtId="0" fontId="48" fillId="0" borderId="0" xfId="0" applyFont="1" applyAlignment="1">
      <alignment horizontal="left"/>
    </xf>
    <xf numFmtId="0" fontId="0" fillId="39" borderId="11" xfId="0" applyFill="1" applyBorder="1" applyAlignment="1" applyProtection="1">
      <alignment horizontal="right"/>
      <protection locked="0"/>
    </xf>
    <xf numFmtId="0" fontId="46" fillId="0" borderId="21" xfId="0" applyFont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3" fontId="0" fillId="0" borderId="12" xfId="0" applyNumberFormat="1" applyBorder="1" applyAlignment="1">
      <alignment horizontal="right"/>
    </xf>
    <xf numFmtId="0" fontId="46" fillId="0" borderId="33" xfId="0" applyFont="1" applyBorder="1" applyAlignment="1">
      <alignment horizontal="left"/>
    </xf>
    <xf numFmtId="0" fontId="46" fillId="0" borderId="21" xfId="0" applyFont="1" applyBorder="1" applyAlignment="1">
      <alignment horizontal="left"/>
    </xf>
    <xf numFmtId="3" fontId="44" fillId="0" borderId="12" xfId="0" applyNumberFormat="1" applyFont="1" applyBorder="1" applyAlignment="1">
      <alignment horizontal="right"/>
    </xf>
    <xf numFmtId="0" fontId="0" fillId="0" borderId="13" xfId="0" applyBorder="1" applyAlignment="1">
      <alignment vertical="center" wrapText="1"/>
    </xf>
    <xf numFmtId="165" fontId="27" fillId="0" borderId="10" xfId="0" applyNumberFormat="1" applyFont="1" applyBorder="1"/>
    <xf numFmtId="1" fontId="0" fillId="0" borderId="11" xfId="0" applyNumberFormat="1" applyBorder="1"/>
    <xf numFmtId="0" fontId="0" fillId="0" borderId="17" xfId="0" applyBorder="1" applyAlignment="1">
      <alignment horizontal="left" vertical="center"/>
    </xf>
    <xf numFmtId="0" fontId="48" fillId="41" borderId="12" xfId="0" applyFont="1" applyFill="1" applyBorder="1" applyAlignment="1">
      <alignment horizontal="left" vertical="center"/>
    </xf>
    <xf numFmtId="0" fontId="0" fillId="41" borderId="20" xfId="0" applyFill="1" applyBorder="1" applyAlignment="1">
      <alignment horizontal="center"/>
    </xf>
    <xf numFmtId="164" fontId="0" fillId="41" borderId="20" xfId="0" applyNumberFormat="1" applyFill="1" applyBorder="1"/>
    <xf numFmtId="165" fontId="44" fillId="0" borderId="20" xfId="0" applyNumberFormat="1" applyFont="1" applyBorder="1"/>
    <xf numFmtId="43" fontId="46" fillId="0" borderId="0" xfId="56" applyFont="1"/>
    <xf numFmtId="0" fontId="58" fillId="0" borderId="20" xfId="72" applyFont="1" applyFill="1" applyBorder="1" applyAlignment="1" applyProtection="1">
      <alignment horizontal="left" vertical="center"/>
    </xf>
    <xf numFmtId="0" fontId="48" fillId="0" borderId="13" xfId="0" applyFont="1" applyBorder="1"/>
    <xf numFmtId="0" fontId="0" fillId="0" borderId="16" xfId="0" applyBorder="1"/>
    <xf numFmtId="169" fontId="0" fillId="39" borderId="11" xfId="0" applyNumberFormat="1" applyFill="1" applyBorder="1" applyProtection="1">
      <protection locked="0"/>
    </xf>
    <xf numFmtId="0" fontId="0" fillId="39" borderId="11" xfId="0" applyFill="1" applyBorder="1" applyProtection="1"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9" fontId="0" fillId="39" borderId="31" xfId="92" applyFont="1" applyFill="1" applyBorder="1" applyAlignment="1" applyProtection="1">
      <alignment horizontal="right"/>
      <protection locked="0"/>
    </xf>
    <xf numFmtId="1" fontId="0" fillId="39" borderId="11" xfId="0" applyNumberFormat="1" applyFill="1" applyBorder="1" applyProtection="1">
      <protection locked="0"/>
    </xf>
    <xf numFmtId="0" fontId="2" fillId="24" borderId="0" xfId="87" applyFont="1" applyFill="1" applyAlignment="1">
      <alignment horizontal="left"/>
    </xf>
    <xf numFmtId="0" fontId="74" fillId="24" borderId="0" xfId="0" applyFont="1" applyFill="1" applyAlignment="1">
      <alignment horizontal="left"/>
    </xf>
    <xf numFmtId="0" fontId="75" fillId="24" borderId="0" xfId="72" applyFont="1" applyFill="1" applyBorder="1" applyAlignment="1" applyProtection="1">
      <alignment horizontal="left"/>
    </xf>
    <xf numFmtId="0" fontId="74" fillId="24" borderId="0" xfId="72" applyFont="1" applyFill="1" applyBorder="1" applyAlignment="1" applyProtection="1">
      <alignment horizontal="left"/>
    </xf>
    <xf numFmtId="0" fontId="2" fillId="24" borderId="0" xfId="72" applyFont="1" applyFill="1" applyBorder="1" applyAlignment="1" applyProtection="1">
      <alignment horizontal="left"/>
    </xf>
    <xf numFmtId="0" fontId="74" fillId="24" borderId="0" xfId="82" applyFont="1" applyFill="1" applyAlignment="1">
      <alignment horizontal="left"/>
    </xf>
    <xf numFmtId="0" fontId="75" fillId="24" borderId="0" xfId="72" applyFont="1" applyFill="1" applyBorder="1" applyAlignment="1" applyProtection="1"/>
    <xf numFmtId="0" fontId="76" fillId="24" borderId="0" xfId="0" applyFont="1" applyFill="1"/>
    <xf numFmtId="0" fontId="74" fillId="24" borderId="0" xfId="105" applyFont="1" applyFill="1"/>
    <xf numFmtId="0" fontId="0" fillId="0" borderId="0" xfId="82" applyFont="1" applyAlignment="1">
      <alignment vertical="top"/>
    </xf>
    <xf numFmtId="0" fontId="0" fillId="24" borderId="40" xfId="0" applyFill="1" applyBorder="1" applyAlignment="1">
      <alignment horizont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0" fillId="41" borderId="18" xfId="0" applyFill="1" applyBorder="1"/>
    <xf numFmtId="0" fontId="44" fillId="41" borderId="20" xfId="0" applyFont="1" applyFill="1" applyBorder="1" applyAlignment="1">
      <alignment horizontal="left"/>
    </xf>
    <xf numFmtId="0" fontId="46" fillId="41" borderId="0" xfId="0" applyFont="1" applyFill="1" applyAlignment="1">
      <alignment horizontal="left" vertical="center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39" fillId="41" borderId="14" xfId="0" applyFont="1" applyFill="1" applyBorder="1"/>
    <xf numFmtId="0" fontId="0" fillId="41" borderId="12" xfId="0" applyFill="1" applyBorder="1"/>
    <xf numFmtId="4" fontId="0" fillId="41" borderId="20" xfId="0" applyNumberFormat="1" applyFill="1" applyBorder="1"/>
    <xf numFmtId="0" fontId="0" fillId="41" borderId="14" xfId="0" applyFill="1" applyBorder="1"/>
    <xf numFmtId="0" fontId="46" fillId="24" borderId="11" xfId="0" applyFont="1" applyFill="1" applyBorder="1" applyAlignment="1">
      <alignment horizontal="center" wrapText="1"/>
    </xf>
    <xf numFmtId="164" fontId="46" fillId="0" borderId="11" xfId="0" applyNumberFormat="1" applyFont="1" applyBorder="1"/>
    <xf numFmtId="165" fontId="46" fillId="0" borderId="11" xfId="0" applyNumberFormat="1" applyFont="1" applyBorder="1"/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3" fontId="44" fillId="39" borderId="11" xfId="0" applyNumberFormat="1" applyFon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164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Protection="1"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164" fontId="0" fillId="39" borderId="11" xfId="0" applyNumberFormat="1" applyFill="1" applyBorder="1" applyProtection="1">
      <protection locked="0"/>
    </xf>
    <xf numFmtId="170" fontId="46" fillId="39" borderId="11" xfId="82" applyNumberFormat="1" applyFont="1" applyFill="1" applyBorder="1" applyProtection="1">
      <protection locked="0"/>
    </xf>
    <xf numFmtId="170" fontId="46" fillId="39" borderId="37" xfId="82" applyNumberFormat="1" applyFon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0" fontId="46" fillId="39" borderId="17" xfId="82" applyFont="1" applyFill="1" applyBorder="1" applyProtection="1">
      <protection locked="0"/>
    </xf>
    <xf numFmtId="166" fontId="46" fillId="39" borderId="11" xfId="56" applyNumberFormat="1" applyFont="1" applyFill="1" applyBorder="1" applyProtection="1">
      <protection locked="0"/>
    </xf>
    <xf numFmtId="1" fontId="46" fillId="39" borderId="11" xfId="82" applyNumberFormat="1" applyFont="1" applyFill="1" applyBorder="1" applyProtection="1">
      <protection locked="0"/>
    </xf>
    <xf numFmtId="164" fontId="46" fillId="39" borderId="12" xfId="82" applyNumberFormat="1" applyFont="1" applyFill="1" applyBorder="1" applyProtection="1">
      <protection locked="0"/>
    </xf>
    <xf numFmtId="0" fontId="48" fillId="39" borderId="11" xfId="82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center"/>
      <protection locked="0"/>
    </xf>
    <xf numFmtId="0" fontId="58" fillId="39" borderId="11" xfId="82" applyFont="1" applyFill="1" applyBorder="1" applyProtection="1">
      <protection locked="0"/>
    </xf>
    <xf numFmtId="0" fontId="4" fillId="25" borderId="0" xfId="0" applyFont="1" applyFill="1" applyAlignment="1">
      <alignment vertical="center"/>
    </xf>
    <xf numFmtId="10" fontId="0" fillId="0" borderId="11" xfId="92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2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0" fontId="48" fillId="0" borderId="42" xfId="0" applyFont="1" applyBorder="1"/>
    <xf numFmtId="0" fontId="48" fillId="0" borderId="43" xfId="0" applyFont="1" applyBorder="1"/>
    <xf numFmtId="0" fontId="77" fillId="50" borderId="43" xfId="0" applyFont="1" applyFill="1" applyBorder="1"/>
    <xf numFmtId="0" fontId="48" fillId="0" borderId="44" xfId="0" applyFont="1" applyBorder="1"/>
    <xf numFmtId="0" fontId="46" fillId="0" borderId="45" xfId="0" applyFont="1" applyBorder="1"/>
    <xf numFmtId="0" fontId="46" fillId="39" borderId="12" xfId="82" applyFont="1" applyFill="1" applyBorder="1" applyProtection="1">
      <protection locked="0"/>
    </xf>
    <xf numFmtId="0" fontId="46" fillId="0" borderId="10" xfId="82" applyFont="1" applyBorder="1"/>
    <xf numFmtId="0" fontId="46" fillId="0" borderId="46" xfId="82" applyFont="1" applyBorder="1"/>
    <xf numFmtId="0" fontId="48" fillId="24" borderId="24" xfId="82" applyFont="1" applyFill="1" applyBorder="1" applyAlignment="1">
      <alignment horizontal="center" wrapText="1"/>
    </xf>
    <xf numFmtId="0" fontId="48" fillId="24" borderId="36" xfId="82" applyFont="1" applyFill="1" applyBorder="1" applyAlignment="1">
      <alignment horizontal="center" wrapText="1"/>
    </xf>
    <xf numFmtId="0" fontId="46" fillId="39" borderId="24" xfId="82" applyFont="1" applyFill="1" applyBorder="1" applyAlignment="1" applyProtection="1">
      <alignment horizontal="center"/>
      <protection locked="0"/>
    </xf>
    <xf numFmtId="164" fontId="46" fillId="39" borderId="36" xfId="82" applyNumberFormat="1" applyFont="1" applyFill="1" applyBorder="1" applyProtection="1">
      <protection locked="0"/>
    </xf>
    <xf numFmtId="0" fontId="46" fillId="0" borderId="43" xfId="82" applyFont="1" applyBorder="1"/>
    <xf numFmtId="0" fontId="48" fillId="24" borderId="12" xfId="82" applyFont="1" applyFill="1" applyBorder="1" applyAlignment="1">
      <alignment horizontal="center" wrapText="1"/>
    </xf>
    <xf numFmtId="166" fontId="46" fillId="39" borderId="12" xfId="56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0" fontId="48" fillId="51" borderId="11" xfId="0" applyFont="1" applyFill="1" applyBorder="1" applyAlignment="1">
      <alignment horizontal="center" wrapText="1"/>
    </xf>
    <xf numFmtId="9" fontId="46" fillId="39" borderId="12" xfId="82" applyNumberFormat="1" applyFont="1" applyFill="1" applyBorder="1" applyProtection="1">
      <protection locked="0"/>
    </xf>
    <xf numFmtId="164" fontId="48" fillId="39" borderId="47" xfId="82" applyNumberFormat="1" applyFont="1" applyFill="1" applyBorder="1" applyProtection="1">
      <protection locked="0"/>
    </xf>
    <xf numFmtId="0" fontId="46" fillId="0" borderId="30" xfId="82" applyFont="1" applyBorder="1"/>
    <xf numFmtId="0" fontId="28" fillId="0" borderId="20" xfId="72" applyFill="1" applyBorder="1" applyAlignment="1" applyProtection="1">
      <alignment horizontal="left" vertical="center"/>
    </xf>
    <xf numFmtId="2" fontId="0" fillId="0" borderId="0" xfId="0" applyNumberFormat="1" applyAlignment="1">
      <alignment horizontal="center"/>
    </xf>
    <xf numFmtId="0" fontId="0" fillId="39" borderId="48" xfId="0" applyFill="1" applyBorder="1" applyAlignment="1" applyProtection="1">
      <alignment horizontal="center" wrapText="1"/>
      <protection locked="0"/>
    </xf>
    <xf numFmtId="164" fontId="0" fillId="39" borderId="15" xfId="0" applyNumberFormat="1" applyFill="1" applyBorder="1" applyProtection="1">
      <protection locked="0"/>
    </xf>
    <xf numFmtId="0" fontId="0" fillId="39" borderId="11" xfId="0" applyFill="1" applyBorder="1" applyAlignment="1" applyProtection="1">
      <alignment horizontal="center" wrapText="1"/>
      <protection locked="0"/>
    </xf>
    <xf numFmtId="0" fontId="0" fillId="39" borderId="11" xfId="0" applyFill="1" applyBorder="1" applyAlignment="1">
      <alignment horizontal="center" wrapText="1"/>
    </xf>
    <xf numFmtId="0" fontId="70" fillId="51" borderId="11" xfId="0" applyFont="1" applyFill="1" applyBorder="1" applyAlignment="1">
      <alignment horizontal="center" wrapText="1"/>
    </xf>
    <xf numFmtId="165" fontId="48" fillId="0" borderId="0" xfId="0" applyNumberFormat="1" applyFont="1"/>
    <xf numFmtId="0" fontId="78" fillId="0" borderId="11" xfId="82" applyFont="1" applyBorder="1"/>
    <xf numFmtId="164" fontId="48" fillId="39" borderId="49" xfId="82" applyNumberFormat="1" applyFont="1" applyFill="1" applyBorder="1" applyProtection="1">
      <protection locked="0"/>
    </xf>
    <xf numFmtId="164" fontId="48" fillId="0" borderId="50" xfId="82" applyNumberFormat="1" applyFont="1" applyBorder="1"/>
    <xf numFmtId="0" fontId="46" fillId="0" borderId="51" xfId="82" applyFont="1" applyBorder="1"/>
    <xf numFmtId="0" fontId="48" fillId="0" borderId="11" xfId="110" applyFont="1" applyBorder="1" applyAlignment="1">
      <alignment horizontal="left" vertical="center"/>
    </xf>
    <xf numFmtId="165" fontId="0" fillId="39" borderId="11" xfId="0" applyNumberFormat="1" applyFill="1" applyBorder="1" applyAlignment="1" applyProtection="1">
      <alignment horizontal="right" vertical="center"/>
      <protection locked="0"/>
    </xf>
    <xf numFmtId="0" fontId="44" fillId="24" borderId="11" xfId="0" quotePrefix="1" applyFont="1" applyFill="1" applyBorder="1" applyAlignment="1">
      <alignment horizontal="center"/>
    </xf>
    <xf numFmtId="165" fontId="44" fillId="24" borderId="15" xfId="0" applyNumberFormat="1" applyFont="1" applyFill="1" applyBorder="1" applyAlignment="1">
      <alignment horizontal="center" wrapText="1"/>
    </xf>
    <xf numFmtId="0" fontId="59" fillId="0" borderId="0" xfId="0" applyFont="1"/>
    <xf numFmtId="9" fontId="0" fillId="39" borderId="52" xfId="0" applyNumberFormat="1" applyFill="1" applyBorder="1" applyAlignment="1" applyProtection="1">
      <alignment horizontal="right"/>
      <protection locked="0"/>
    </xf>
    <xf numFmtId="9" fontId="0" fillId="39" borderId="52" xfId="92" applyFont="1" applyFill="1" applyBorder="1" applyAlignment="1" applyProtection="1">
      <alignment horizontal="right"/>
      <protection locked="0"/>
    </xf>
    <xf numFmtId="9" fontId="0" fillId="39" borderId="11" xfId="0" applyNumberFormat="1" applyFill="1" applyBorder="1" applyAlignment="1" applyProtection="1">
      <alignment horizontal="right"/>
      <protection locked="0"/>
    </xf>
    <xf numFmtId="9" fontId="0" fillId="39" borderId="11" xfId="92" applyFont="1" applyFill="1" applyBorder="1" applyAlignment="1" applyProtection="1">
      <alignment horizontal="right"/>
      <protection locked="0"/>
    </xf>
    <xf numFmtId="0" fontId="46" fillId="0" borderId="20" xfId="82" applyFont="1" applyBorder="1"/>
    <xf numFmtId="9" fontId="46" fillId="39" borderId="11" xfId="92" applyFont="1" applyFill="1" applyBorder="1" applyProtection="1">
      <protection locked="0"/>
    </xf>
    <xf numFmtId="0" fontId="48" fillId="24" borderId="12" xfId="82" applyFont="1" applyFill="1" applyBorder="1" applyAlignment="1">
      <alignment horizontal="left" wrapText="1"/>
    </xf>
    <xf numFmtId="9" fontId="6" fillId="39" borderId="11" xfId="92" applyFont="1" applyFill="1" applyBorder="1" applyProtection="1">
      <protection locked="0"/>
    </xf>
    <xf numFmtId="166" fontId="6" fillId="0" borderId="10" xfId="56" applyNumberFormat="1" applyFont="1" applyFill="1" applyBorder="1"/>
    <xf numFmtId="0" fontId="6" fillId="0" borderId="10" xfId="82" applyFont="1" applyBorder="1" applyAlignment="1">
      <alignment horizontal="center"/>
    </xf>
    <xf numFmtId="166" fontId="6" fillId="0" borderId="16" xfId="56" applyNumberFormat="1" applyFont="1" applyFill="1" applyBorder="1"/>
    <xf numFmtId="0" fontId="6" fillId="0" borderId="18" xfId="82" applyFont="1" applyBorder="1"/>
    <xf numFmtId="165" fontId="0" fillId="0" borderId="17" xfId="0" applyNumberFormat="1" applyBorder="1"/>
    <xf numFmtId="165" fontId="44" fillId="24" borderId="17" xfId="0" applyNumberFormat="1" applyFont="1" applyFill="1" applyBorder="1" applyAlignment="1">
      <alignment horizontal="center" wrapText="1"/>
    </xf>
    <xf numFmtId="0" fontId="29" fillId="0" borderId="11" xfId="0" applyFont="1" applyBorder="1" applyAlignment="1">
      <alignment wrapText="1"/>
    </xf>
    <xf numFmtId="9" fontId="0" fillId="0" borderId="10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166" fontId="46" fillId="0" borderId="0" xfId="56" applyNumberFormat="1" applyFont="1"/>
    <xf numFmtId="166" fontId="0" fillId="0" borderId="0" xfId="56" applyNumberFormat="1" applyFont="1"/>
    <xf numFmtId="0" fontId="0" fillId="24" borderId="31" xfId="0" applyFill="1" applyBorder="1" applyAlignment="1">
      <alignment horizontal="center" wrapText="1"/>
    </xf>
    <xf numFmtId="0" fontId="44" fillId="24" borderId="11" xfId="82" applyFont="1" applyFill="1" applyBorder="1" applyAlignment="1">
      <alignment wrapText="1"/>
    </xf>
    <xf numFmtId="0" fontId="48" fillId="24" borderId="35" xfId="82" applyFont="1" applyFill="1" applyBorder="1" applyAlignment="1">
      <alignment horizontal="center" wrapText="1"/>
    </xf>
    <xf numFmtId="0" fontId="48" fillId="24" borderId="53" xfId="82" applyFont="1" applyFill="1" applyBorder="1" applyAlignment="1">
      <alignment horizontal="center" wrapText="1"/>
    </xf>
    <xf numFmtId="0" fontId="48" fillId="24" borderId="54" xfId="82" applyFont="1" applyFill="1" applyBorder="1" applyAlignment="1">
      <alignment horizontal="center" wrapText="1"/>
    </xf>
    <xf numFmtId="0" fontId="48" fillId="24" borderId="55" xfId="82" applyFont="1" applyFill="1" applyBorder="1" applyAlignment="1">
      <alignment horizontal="center" wrapText="1"/>
    </xf>
    <xf numFmtId="0" fontId="48" fillId="51" borderId="53" xfId="0" applyFont="1" applyFill="1" applyBorder="1" applyAlignment="1">
      <alignment horizontal="center" wrapText="1"/>
    </xf>
    <xf numFmtId="0" fontId="48" fillId="24" borderId="55" xfId="82" applyFont="1" applyFill="1" applyBorder="1" applyAlignment="1">
      <alignment horizontal="center"/>
    </xf>
    <xf numFmtId="0" fontId="48" fillId="24" borderId="53" xfId="82" applyFont="1" applyFill="1" applyBorder="1" applyAlignment="1">
      <alignment horizontal="center"/>
    </xf>
    <xf numFmtId="0" fontId="48" fillId="24" borderId="56" xfId="82" applyFont="1" applyFill="1" applyBorder="1" applyAlignment="1">
      <alignment horizontal="center" wrapText="1"/>
    </xf>
    <xf numFmtId="0" fontId="48" fillId="24" borderId="42" xfId="82" applyFont="1" applyFill="1" applyBorder="1" applyAlignment="1">
      <alignment horizontal="center" wrapText="1"/>
    </xf>
    <xf numFmtId="166" fontId="6" fillId="0" borderId="57" xfId="56" applyNumberFormat="1" applyFont="1" applyFill="1" applyBorder="1"/>
    <xf numFmtId="164" fontId="48" fillId="39" borderId="58" xfId="82" applyNumberFormat="1" applyFont="1" applyFill="1" applyBorder="1" applyProtection="1"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41" xfId="0" applyBorder="1" applyAlignment="1">
      <alignment horizontal="right" wrapText="1"/>
    </xf>
    <xf numFmtId="0" fontId="28" fillId="0" borderId="12" xfId="72" applyBorder="1" applyAlignment="1" applyProtection="1">
      <alignment horizontal="left" wrapText="1"/>
    </xf>
    <xf numFmtId="0" fontId="28" fillId="0" borderId="20" xfId="72" applyBorder="1" applyAlignment="1" applyProtection="1">
      <alignment horizontal="left" wrapText="1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9" borderId="12" xfId="82" applyFont="1" applyFill="1" applyBorder="1" applyAlignment="1">
      <alignment horizontal="center" vertical="center"/>
    </xf>
    <xf numFmtId="0" fontId="44" fillId="49" borderId="20" xfId="82" applyFont="1" applyFill="1" applyBorder="1" applyAlignment="1">
      <alignment horizontal="center" vertical="center"/>
    </xf>
    <xf numFmtId="0" fontId="44" fillId="49" borderId="17" xfId="82" applyFont="1" applyFill="1" applyBorder="1" applyAlignment="1">
      <alignment horizontal="center" vertical="center"/>
    </xf>
    <xf numFmtId="0" fontId="59" fillId="47" borderId="23" xfId="82" applyFont="1" applyFill="1" applyBorder="1" applyAlignment="1">
      <alignment horizontal="center"/>
    </xf>
    <xf numFmtId="0" fontId="59" fillId="47" borderId="10" xfId="82" applyFont="1" applyFill="1" applyBorder="1" applyAlignment="1">
      <alignment horizontal="center"/>
    </xf>
    <xf numFmtId="0" fontId="59" fillId="47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bnf.nice.org.uk/" TargetMode="External"/><Relationship Id="rId3" Type="http://schemas.openxmlformats.org/officeDocument/2006/relationships/hyperlink" Target="https://www.ons.gov.uk/peoplepopulationandcommunity/populationandmigration/populationestimates/datasets/populationestimatesforukenglandandwalesscotlandandnorthernireland" TargetMode="External"/><Relationship Id="rId7" Type="http://schemas.openxmlformats.org/officeDocument/2006/relationships/hyperlink" Target="https://www.npca.org.uk/reports/npca-state-of-the-nation-report/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statswales.gov.wales/Catalogue/Population-and-Migration/Population/Estimates/Local-Health-Boards" TargetMode="External"/><Relationship Id="rId1" Type="http://schemas.openxmlformats.org/officeDocument/2006/relationships/hyperlink" Target="http://www.ons.gov.uk/peoplepopulationandcommunity/populationandmigration/populationestimates/datasets/clinicalcommissioninggroupmidyearpopulationestimates" TargetMode="External"/><Relationship Id="rId6" Type="http://schemas.openxmlformats.org/officeDocument/2006/relationships/hyperlink" Target="https://www.npca.org.uk/reports/npca-state-of-the-nation-report/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digital.nhs.uk/data-and-information/publications/statistical/cancer-registration-statistics/england-2021---summary-counts-only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www.nisra.gov.uk/statistics/population/mid-year-population-estimates" TargetMode="External"/><Relationship Id="rId9" Type="http://schemas.openxmlformats.org/officeDocument/2006/relationships/hyperlink" Target="https://bnf.nice.org.u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ublication/2023-25-nhs-payment-scheme/" TargetMode="External"/><Relationship Id="rId2" Type="http://schemas.openxmlformats.org/officeDocument/2006/relationships/hyperlink" Target="https://www.england.nhs.uk/publication/2023-25-nhs-payment-scheme/" TargetMode="External"/><Relationship Id="rId1" Type="http://schemas.openxmlformats.org/officeDocument/2006/relationships/hyperlink" Target="https://www.england.nhs.uk/publication/2023-25-nhs-payment-scheme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5D40-5DDC-4F72-8963-69A24B8CE3F9}">
  <sheetPr>
    <tabColor theme="1" tint="0.14999847407452621"/>
    <pageSetUpPr fitToPage="1"/>
  </sheetPr>
  <dimension ref="B2:U31"/>
  <sheetViews>
    <sheetView showGridLines="0" tabSelected="1" zoomScale="80" zoomScaleNormal="80" zoomScaleSheetLayoutView="80" workbookViewId="0">
      <selection activeCell="H19" sqref="H19"/>
    </sheetView>
  </sheetViews>
  <sheetFormatPr defaultRowHeight="14.5"/>
  <cols>
    <col min="1" max="1" width="1.453125" customWidth="1"/>
    <col min="2" max="2" width="1.81640625" customWidth="1"/>
    <col min="5" max="5" width="13.1796875" customWidth="1"/>
    <col min="13" max="13" width="14.54296875" customWidth="1"/>
    <col min="14" max="14" width="8.7265625" customWidth="1"/>
    <col min="15" max="15" width="1.54296875" customWidth="1"/>
    <col min="16" max="16" width="1.453125" customWidth="1"/>
    <col min="21" max="21" width="31" customWidth="1"/>
  </cols>
  <sheetData>
    <row r="2" spans="2:21">
      <c r="B2" s="17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157"/>
    </row>
    <row r="3" spans="2:21">
      <c r="B3" s="160"/>
      <c r="O3" s="159"/>
    </row>
    <row r="4" spans="2:21">
      <c r="B4" s="160"/>
      <c r="O4" s="159"/>
    </row>
    <row r="5" spans="2:21">
      <c r="B5" s="160"/>
      <c r="O5" s="159"/>
    </row>
    <row r="6" spans="2:21" ht="47.5">
      <c r="B6" s="160"/>
      <c r="O6" s="159"/>
      <c r="S6" s="362"/>
      <c r="U6" s="363"/>
    </row>
    <row r="7" spans="2:21">
      <c r="B7" s="160"/>
      <c r="O7" s="159"/>
    </row>
    <row r="8" spans="2:21">
      <c r="B8" s="160"/>
      <c r="O8" s="159"/>
    </row>
    <row r="9" spans="2:21">
      <c r="B9" s="160"/>
      <c r="O9" s="159"/>
    </row>
    <row r="10" spans="2:21">
      <c r="B10" s="160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59"/>
    </row>
    <row r="11" spans="2:21" ht="31">
      <c r="B11" s="160"/>
      <c r="C11" s="174" t="s">
        <v>0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59"/>
    </row>
    <row r="12" spans="2:21">
      <c r="B12" s="160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59"/>
    </row>
    <row r="13" spans="2:21">
      <c r="B13" s="160"/>
      <c r="O13" s="159"/>
    </row>
    <row r="14" spans="2:21" ht="31">
      <c r="B14" s="160"/>
      <c r="C14" s="176" t="s">
        <v>1</v>
      </c>
      <c r="O14" s="159"/>
    </row>
    <row r="15" spans="2:21" ht="31">
      <c r="B15" s="160"/>
      <c r="C15" s="348" t="s">
        <v>1170</v>
      </c>
      <c r="O15" s="159"/>
    </row>
    <row r="16" spans="2:21" ht="31">
      <c r="B16" s="160"/>
      <c r="C16" s="348" t="s">
        <v>1060</v>
      </c>
      <c r="O16" s="159"/>
    </row>
    <row r="17" spans="2:15" ht="31">
      <c r="B17" s="160"/>
      <c r="C17" s="348"/>
      <c r="O17" s="159"/>
    </row>
    <row r="18" spans="2:15" ht="31">
      <c r="B18" s="160"/>
      <c r="C18" s="348" t="s">
        <v>1193</v>
      </c>
      <c r="D18" s="177"/>
      <c r="O18" s="159"/>
    </row>
    <row r="19" spans="2:15" ht="31">
      <c r="B19" s="160"/>
      <c r="D19" s="177"/>
      <c r="O19" s="159"/>
    </row>
    <row r="20" spans="2:15" ht="31">
      <c r="B20" s="160"/>
      <c r="C20" s="175" t="s">
        <v>1182</v>
      </c>
      <c r="D20" s="177"/>
      <c r="O20" s="159"/>
    </row>
    <row r="21" spans="2:15">
      <c r="B21" s="160"/>
      <c r="O21" s="159"/>
    </row>
    <row r="22" spans="2:15">
      <c r="B22" s="160"/>
      <c r="O22" s="159"/>
    </row>
    <row r="23" spans="2:15">
      <c r="B23" s="160"/>
      <c r="C23" s="149" t="s">
        <v>2</v>
      </c>
      <c r="D23" s="198"/>
      <c r="E23" s="168"/>
      <c r="F23" s="239" t="s">
        <v>1008</v>
      </c>
      <c r="G23" s="198"/>
      <c r="H23" s="198"/>
      <c r="I23" s="198"/>
      <c r="J23" s="198"/>
      <c r="K23" s="198"/>
      <c r="L23" s="198"/>
      <c r="M23" s="168"/>
      <c r="O23" s="159"/>
    </row>
    <row r="24" spans="2:15">
      <c r="B24" s="160"/>
      <c r="C24" s="149" t="s">
        <v>3</v>
      </c>
      <c r="D24" s="198"/>
      <c r="E24" s="168"/>
      <c r="F24" s="239" t="s">
        <v>1194</v>
      </c>
      <c r="G24" s="198"/>
      <c r="H24" s="198"/>
      <c r="I24" s="198"/>
      <c r="J24" s="198"/>
      <c r="K24" s="198"/>
      <c r="L24" s="198"/>
      <c r="M24" s="168"/>
      <c r="O24" s="159"/>
    </row>
    <row r="25" spans="2:15">
      <c r="B25" s="160"/>
      <c r="C25" s="642" t="s">
        <v>4</v>
      </c>
      <c r="D25" s="172"/>
      <c r="E25" s="157"/>
      <c r="F25" s="172" t="s">
        <v>1162</v>
      </c>
      <c r="G25" s="331"/>
      <c r="H25" s="331"/>
      <c r="I25" s="331"/>
      <c r="J25" s="331"/>
      <c r="K25" s="331"/>
      <c r="L25" s="331"/>
      <c r="M25" s="157"/>
      <c r="O25" s="159"/>
    </row>
    <row r="26" spans="2:15">
      <c r="B26" s="160"/>
      <c r="C26" s="642" t="s">
        <v>5</v>
      </c>
      <c r="D26" s="172"/>
      <c r="E26" s="157"/>
      <c r="F26" s="172" t="s">
        <v>1100</v>
      </c>
      <c r="G26" s="331"/>
      <c r="H26" s="331"/>
      <c r="I26" s="331"/>
      <c r="J26" s="331"/>
      <c r="K26" s="331"/>
      <c r="L26" s="331"/>
      <c r="M26" s="157"/>
      <c r="O26" s="159"/>
    </row>
    <row r="27" spans="2:15">
      <c r="B27" s="160"/>
      <c r="C27" s="239" t="s">
        <v>6</v>
      </c>
      <c r="D27" s="198"/>
      <c r="E27" s="168"/>
      <c r="F27" s="239" t="s">
        <v>1061</v>
      </c>
      <c r="G27" s="198"/>
      <c r="H27" s="198"/>
      <c r="I27" s="198"/>
      <c r="J27" s="198"/>
      <c r="K27" s="198"/>
      <c r="L27" s="198"/>
      <c r="M27" s="168"/>
      <c r="O27" s="159"/>
    </row>
    <row r="28" spans="2:15">
      <c r="B28" s="160"/>
      <c r="C28" s="149" t="s">
        <v>7</v>
      </c>
      <c r="D28" s="198"/>
      <c r="E28" s="168"/>
      <c r="F28" s="239" t="s">
        <v>1201</v>
      </c>
      <c r="G28" s="198"/>
      <c r="H28" s="198"/>
      <c r="I28" s="198"/>
      <c r="J28" s="198"/>
      <c r="K28" s="198"/>
      <c r="L28" s="198"/>
      <c r="M28" s="168"/>
      <c r="O28" s="159"/>
    </row>
    <row r="29" spans="2:15">
      <c r="B29" s="160"/>
      <c r="C29" s="149" t="s">
        <v>8</v>
      </c>
      <c r="D29" s="198"/>
      <c r="E29" s="168"/>
      <c r="F29" s="239" t="s">
        <v>1063</v>
      </c>
      <c r="G29" s="198"/>
      <c r="H29" s="198"/>
      <c r="I29" s="198"/>
      <c r="J29" s="198"/>
      <c r="K29" s="198"/>
      <c r="L29" s="198"/>
      <c r="M29" s="168"/>
      <c r="O29" s="159"/>
    </row>
    <row r="30" spans="2:15">
      <c r="B30" s="160"/>
      <c r="C30" s="149" t="s">
        <v>9</v>
      </c>
      <c r="D30" s="198"/>
      <c r="E30" s="168"/>
      <c r="F30" s="239" t="s">
        <v>1062</v>
      </c>
      <c r="G30" s="198"/>
      <c r="H30" s="198"/>
      <c r="I30" s="198"/>
      <c r="J30" s="198"/>
      <c r="K30" s="198"/>
      <c r="L30" s="198"/>
      <c r="M30" s="168"/>
      <c r="O30" s="159"/>
    </row>
    <row r="31" spans="2:15"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3"/>
    </row>
  </sheetData>
  <sheetProtection algorithmName="SHA-512" hashValue="NmIErLrQgKozWMnLt7OQZKFkDc5K2or1yJ3/0mdaXxYWrDzd42f33T4+J+I6eRFeM7Z5Vcj9jRj23BOiGisXYg==" saltValue="rLuzri4LJf4e4305NNa8x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1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3C7-98C1-406F-9F69-218637CCB9DB}">
  <sheetPr>
    <tabColor theme="1" tint="0.14999847407452621"/>
    <pageSetUpPr fitToPage="1"/>
  </sheetPr>
  <dimension ref="B2:Q28"/>
  <sheetViews>
    <sheetView showGridLines="0" zoomScale="80" zoomScaleNormal="80" workbookViewId="0">
      <selection activeCell="R11" sqref="R11"/>
    </sheetView>
  </sheetViews>
  <sheetFormatPr defaultRowHeight="14.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>
      <c r="B2" s="386" t="s">
        <v>10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5"/>
    </row>
    <row r="5" spans="2:17">
      <c r="B5" s="229" t="s">
        <v>1163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230"/>
    </row>
    <row r="6" spans="2:17">
      <c r="B6" s="234" t="s">
        <v>1164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35"/>
    </row>
    <row r="7" spans="2:17">
      <c r="B7" s="232" t="s">
        <v>1165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3"/>
    </row>
    <row r="9" spans="2:17">
      <c r="N9" s="468"/>
      <c r="O9" s="468"/>
      <c r="P9" s="468"/>
    </row>
    <row r="10" spans="2:17">
      <c r="B10" s="229"/>
      <c r="C10" s="407"/>
      <c r="D10" s="407"/>
      <c r="E10" s="407"/>
      <c r="F10" s="407"/>
      <c r="G10" s="407"/>
      <c r="H10" s="230"/>
      <c r="J10" s="229"/>
      <c r="K10" s="407"/>
      <c r="L10" s="407"/>
      <c r="M10" s="407"/>
      <c r="N10" s="227"/>
      <c r="O10" s="227"/>
      <c r="P10" s="227"/>
      <c r="Q10" s="160"/>
    </row>
    <row r="11" spans="2:17" ht="46.5">
      <c r="B11" s="234"/>
      <c r="C11" s="371" t="s">
        <v>11</v>
      </c>
      <c r="D11" s="471"/>
      <c r="E11" s="371" t="s">
        <v>12</v>
      </c>
      <c r="F11" s="471"/>
      <c r="G11" s="467" t="s">
        <v>13</v>
      </c>
      <c r="H11" s="472"/>
      <c r="I11" s="372"/>
      <c r="J11" s="475"/>
      <c r="K11" s="373" t="s">
        <v>14</v>
      </c>
      <c r="L11" s="475"/>
      <c r="M11" s="373" t="s">
        <v>15</v>
      </c>
      <c r="N11" s="471"/>
      <c r="O11" s="373" t="s">
        <v>16</v>
      </c>
      <c r="P11" s="471"/>
      <c r="Q11" s="160"/>
    </row>
    <row r="12" spans="2:17">
      <c r="B12" s="234"/>
      <c r="C12" s="227"/>
      <c r="D12" s="227"/>
      <c r="E12" s="227"/>
      <c r="F12" s="227"/>
      <c r="G12" s="227"/>
      <c r="H12" s="235"/>
      <c r="J12" s="234"/>
      <c r="K12" s="227"/>
      <c r="L12" s="227"/>
      <c r="M12" s="227"/>
      <c r="N12" s="227"/>
      <c r="O12" s="227"/>
      <c r="P12" s="227"/>
      <c r="Q12" s="160"/>
    </row>
    <row r="13" spans="2:17" ht="40" customHeight="1">
      <c r="B13" s="234"/>
      <c r="C13" s="367"/>
      <c r="D13" s="643" t="s">
        <v>17</v>
      </c>
      <c r="E13" s="367"/>
      <c r="F13" s="227"/>
      <c r="G13" s="367" t="s">
        <v>1009</v>
      </c>
      <c r="H13" s="235"/>
      <c r="J13" s="234"/>
      <c r="K13" s="469"/>
      <c r="L13" s="198"/>
      <c r="M13" s="644" t="s">
        <v>18</v>
      </c>
      <c r="N13" s="198"/>
      <c r="O13" s="470"/>
      <c r="P13" s="227"/>
      <c r="Q13" s="160"/>
    </row>
    <row r="14" spans="2:17">
      <c r="B14" s="234"/>
      <c r="C14" s="227"/>
      <c r="D14" s="227"/>
      <c r="E14" s="227"/>
      <c r="F14" s="227"/>
      <c r="G14" s="227"/>
      <c r="H14" s="235"/>
      <c r="J14" s="234"/>
      <c r="K14" s="227"/>
      <c r="L14" s="227"/>
      <c r="M14" s="227"/>
      <c r="N14" s="227"/>
      <c r="O14" s="227"/>
      <c r="P14" s="227"/>
      <c r="Q14" s="160"/>
    </row>
    <row r="15" spans="2:17" ht="222.75" customHeight="1">
      <c r="B15" s="234"/>
      <c r="C15" s="368" t="s">
        <v>19</v>
      </c>
      <c r="D15" s="473"/>
      <c r="E15" s="369" t="s">
        <v>20</v>
      </c>
      <c r="F15" s="473"/>
      <c r="G15" s="367" t="s">
        <v>21</v>
      </c>
      <c r="H15" s="474"/>
      <c r="I15" s="245"/>
      <c r="J15" s="476"/>
      <c r="K15" s="370" t="s">
        <v>22</v>
      </c>
      <c r="L15" s="476"/>
      <c r="M15" s="411" t="s">
        <v>23</v>
      </c>
      <c r="N15" s="473"/>
      <c r="O15" s="411" t="s">
        <v>24</v>
      </c>
      <c r="P15" s="473"/>
      <c r="Q15" s="160"/>
    </row>
    <row r="16" spans="2:17">
      <c r="B16" s="232"/>
      <c r="C16" s="231"/>
      <c r="D16" s="231"/>
      <c r="E16" s="231"/>
      <c r="F16" s="231"/>
      <c r="G16" s="231"/>
      <c r="H16" s="233"/>
      <c r="J16" s="232"/>
      <c r="K16" s="231"/>
      <c r="L16" s="477"/>
      <c r="M16" s="477"/>
      <c r="N16" s="477"/>
      <c r="O16" s="477"/>
      <c r="P16" s="477"/>
      <c r="Q16" s="160"/>
    </row>
    <row r="19" spans="2:16">
      <c r="B19" s="229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230"/>
    </row>
    <row r="20" spans="2:16">
      <c r="B20" s="234" t="s">
        <v>25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35"/>
    </row>
    <row r="21" spans="2:16">
      <c r="B21" s="478" t="s">
        <v>26</v>
      </c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35"/>
    </row>
    <row r="22" spans="2:16">
      <c r="B22" s="479" t="s">
        <v>27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35"/>
    </row>
    <row r="23" spans="2:16">
      <c r="B23" s="480" t="s">
        <v>28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35"/>
    </row>
    <row r="24" spans="2:16">
      <c r="B24" s="479" t="s">
        <v>29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35"/>
    </row>
    <row r="25" spans="2:16">
      <c r="B25" s="479" t="s">
        <v>30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35"/>
    </row>
    <row r="26" spans="2:16">
      <c r="B26" s="234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35"/>
    </row>
    <row r="27" spans="2:16">
      <c r="B27" s="481" t="s">
        <v>31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35"/>
    </row>
    <row r="28" spans="2:16">
      <c r="B28" s="232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3"/>
    </row>
  </sheetData>
  <sheetProtection algorithmName="SHA-512" hashValue="2JKa/tIprfXlGaElKKffW/mWvB8hZJNLjL/jqHXNBONSWtaba3BxHiUKO4hwFSBPBadShqqZ4GxoHUAmJnEYJg==" saltValue="3TwSo+/EqvEeUzxQiSvmwg==" spinCount="100000" sheet="1"/>
  <pageMargins left="0.7" right="0.7" top="0.75" bottom="0.75" header="0.3" footer="0.3"/>
  <pageSetup paperSize="9" scale="4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55" zoomScaleNormal="55" workbookViewId="0">
      <selection activeCell="S9" sqref="S9"/>
    </sheetView>
  </sheetViews>
  <sheetFormatPr defaultColWidth="9.1796875" defaultRowHeight="14"/>
  <cols>
    <col min="1" max="1" width="24.453125" style="11" customWidth="1"/>
    <col min="2" max="2" width="49.453125" style="11" customWidth="1"/>
    <col min="3" max="3" width="63.54296875" style="15" customWidth="1"/>
    <col min="4" max="4" width="20.453125" style="11" customWidth="1"/>
    <col min="5" max="12" width="21" style="11" customWidth="1"/>
    <col min="13" max="13" width="22.81640625" style="11" customWidth="1"/>
    <col min="14" max="14" width="22.54296875" style="11" customWidth="1"/>
    <col min="15" max="15" width="25.81640625" style="11" customWidth="1"/>
    <col min="16" max="16" width="10.81640625" style="11" customWidth="1"/>
    <col min="17" max="17" width="15.1796875" style="12" customWidth="1"/>
    <col min="18" max="18" width="20.1796875" style="12" customWidth="1"/>
    <col min="19" max="42" width="10.81640625" style="12" customWidth="1"/>
    <col min="43" max="50" width="10.81640625" style="13" customWidth="1"/>
    <col min="51" max="106" width="10.81640625" style="1" customWidth="1"/>
    <col min="107" max="193" width="10.81640625" style="11" customWidth="1"/>
    <col min="194" max="194" width="10.453125" style="11" customWidth="1"/>
    <col min="195" max="16384" width="9.1796875" style="11"/>
  </cols>
  <sheetData>
    <row r="1" spans="2:106">
      <c r="B1" s="9" t="s">
        <v>181</v>
      </c>
      <c r="C1" s="102"/>
      <c r="D1" s="22"/>
      <c r="E1" s="10" t="s">
        <v>182</v>
      </c>
      <c r="F1" s="7"/>
      <c r="G1" s="7"/>
    </row>
    <row r="3" spans="2:106">
      <c r="B3" s="92" t="s">
        <v>183</v>
      </c>
      <c r="C3" s="559"/>
      <c r="D3" s="560"/>
      <c r="E3" s="560"/>
      <c r="F3" s="560"/>
      <c r="G3" s="93"/>
    </row>
    <row r="4" spans="2:106">
      <c r="B4" s="94"/>
      <c r="C4" s="95"/>
      <c r="D4" s="7"/>
      <c r="E4" s="7"/>
      <c r="F4" s="7"/>
      <c r="G4" s="96"/>
      <c r="L4" s="9" t="s">
        <v>184</v>
      </c>
      <c r="M4" s="9" t="s">
        <v>184</v>
      </c>
      <c r="N4" s="9" t="s">
        <v>185</v>
      </c>
      <c r="O4" s="9" t="s">
        <v>185</v>
      </c>
      <c r="P4" s="9" t="s">
        <v>186</v>
      </c>
      <c r="R4" s="169" t="s">
        <v>187</v>
      </c>
      <c r="S4" s="169" t="s">
        <v>107</v>
      </c>
      <c r="T4" s="169" t="s">
        <v>188</v>
      </c>
      <c r="V4" s="169" t="s">
        <v>189</v>
      </c>
    </row>
    <row r="5" spans="2:106" ht="28">
      <c r="B5" s="97" t="s">
        <v>190</v>
      </c>
      <c r="C5" s="95"/>
      <c r="D5" s="7"/>
      <c r="E5" s="7"/>
      <c r="F5" s="7"/>
      <c r="G5" s="96"/>
      <c r="L5" s="16" t="s">
        <v>191</v>
      </c>
      <c r="M5" s="16" t="s">
        <v>192</v>
      </c>
      <c r="N5" s="16" t="s">
        <v>193</v>
      </c>
      <c r="O5" s="16" t="s">
        <v>194</v>
      </c>
      <c r="P5" s="19"/>
      <c r="Q5" s="17"/>
      <c r="R5" s="16" t="s">
        <v>194</v>
      </c>
      <c r="S5" s="138" t="s">
        <v>145</v>
      </c>
      <c r="V5" s="139">
        <v>4</v>
      </c>
    </row>
    <row r="6" spans="2:106">
      <c r="B6" s="97" t="s">
        <v>195</v>
      </c>
      <c r="C6" s="95"/>
      <c r="D6" s="7"/>
      <c r="E6" s="7"/>
      <c r="F6" s="7"/>
      <c r="G6" s="96"/>
      <c r="J6" s="134"/>
      <c r="L6" s="21" t="s">
        <v>936</v>
      </c>
      <c r="M6" s="21" t="s">
        <v>196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2" t="s">
        <v>43</v>
      </c>
      <c r="S6" s="138" t="s">
        <v>146</v>
      </c>
      <c r="V6" s="139">
        <v>5</v>
      </c>
    </row>
    <row r="7" spans="2:106">
      <c r="B7" s="94"/>
      <c r="C7" s="95"/>
      <c r="D7" s="7"/>
      <c r="E7" s="7"/>
      <c r="F7" s="7"/>
      <c r="G7" s="96"/>
      <c r="L7" s="21" t="s">
        <v>39</v>
      </c>
      <c r="M7" s="21" t="s">
        <v>197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2" t="s">
        <v>198</v>
      </c>
      <c r="S7" s="406"/>
      <c r="V7" s="139">
        <v>6</v>
      </c>
    </row>
    <row r="8" spans="2:106" ht="19.5" customHeight="1">
      <c r="B8" s="98" t="s">
        <v>199</v>
      </c>
      <c r="C8" s="99"/>
      <c r="D8" s="100"/>
      <c r="E8" s="100"/>
      <c r="F8" s="100"/>
      <c r="G8" s="101"/>
      <c r="L8" s="21" t="s">
        <v>200</v>
      </c>
      <c r="M8" s="21" t="s">
        <v>201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>
      <c r="B9" s="14"/>
      <c r="L9" s="21" t="s">
        <v>202</v>
      </c>
      <c r="M9" s="21" t="s">
        <v>203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204</v>
      </c>
    </row>
    <row r="10" spans="2:106" ht="14.5">
      <c r="B10" s="14"/>
      <c r="K10" s="24"/>
      <c r="L10" s="21" t="s">
        <v>205</v>
      </c>
      <c r="M10" s="21" t="s">
        <v>206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207</v>
      </c>
    </row>
    <row r="11" spans="2:106">
      <c r="B11" s="9" t="s">
        <v>208</v>
      </c>
      <c r="C11" s="24"/>
      <c r="D11" s="24"/>
      <c r="E11" s="24"/>
      <c r="K11" s="24"/>
      <c r="L11" s="111" t="s">
        <v>209</v>
      </c>
      <c r="M11" s="21" t="s">
        <v>210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211</v>
      </c>
    </row>
    <row r="12" spans="2:106" ht="43.5" customHeight="1">
      <c r="B12" s="15"/>
      <c r="D12" s="203" t="s">
        <v>212</v>
      </c>
      <c r="E12" s="203" t="s">
        <v>212</v>
      </c>
      <c r="L12" s="21" t="s">
        <v>213</v>
      </c>
      <c r="M12" s="21" t="s">
        <v>214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215</v>
      </c>
    </row>
    <row r="13" spans="2:106" s="19" customFormat="1" ht="46" customHeight="1">
      <c r="B13" s="204" t="s">
        <v>40</v>
      </c>
      <c r="C13" s="204" t="s">
        <v>216</v>
      </c>
      <c r="D13" s="26" t="s">
        <v>217</v>
      </c>
      <c r="E13" s="26" t="s">
        <v>218</v>
      </c>
      <c r="F13" s="204" t="s">
        <v>219</v>
      </c>
      <c r="G13" s="11"/>
      <c r="H13" s="11"/>
      <c r="I13" s="11"/>
      <c r="K13" s="11"/>
      <c r="L13" s="21" t="s">
        <v>220</v>
      </c>
      <c r="M13" s="21" t="s">
        <v>221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18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>
      <c r="B14" s="205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21895402</v>
      </c>
      <c r="E14" s="91">
        <f>IF(OR(D14="", D14="-"), "",VLOOKUP((CONCATENATE($N7," - ",$B14)),$C$23:$GL$532,3,FALSE))</f>
        <v>23324090</v>
      </c>
      <c r="F14" s="20">
        <f>IFERROR(D14+E14, "")</f>
        <v>45219492</v>
      </c>
      <c r="L14" s="21" t="s">
        <v>222</v>
      </c>
      <c r="M14" s="21" t="s">
        <v>223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224</v>
      </c>
    </row>
    <row r="15" spans="2:106">
      <c r="B15" s="205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45219492</v>
      </c>
      <c r="L15" s="21"/>
      <c r="M15" s="21"/>
      <c r="N15" s="21"/>
      <c r="O15" s="21"/>
      <c r="P15" s="21"/>
      <c r="V15" s="139" t="s">
        <v>225</v>
      </c>
    </row>
    <row r="16" spans="2:106">
      <c r="B16" s="206" t="s">
        <v>226</v>
      </c>
      <c r="C16" s="207">
        <f>IF(C15&gt;0,C14,C15)</f>
        <v>57106398</v>
      </c>
      <c r="D16" s="207">
        <f>IF(D15&gt;0,D14,D15)</f>
        <v>21895402</v>
      </c>
      <c r="E16" s="207">
        <f>IF(E15&gt;0,E14,E15)</f>
        <v>23324090</v>
      </c>
      <c r="F16" s="207">
        <f>SUM(F15)</f>
        <v>45219492</v>
      </c>
      <c r="L16" s="22"/>
      <c r="M16" s="22"/>
      <c r="P16" s="404">
        <f>COUNTIF(P6:P14, TRUE)</f>
        <v>9</v>
      </c>
    </row>
    <row r="17" spans="1:194">
      <c r="Q17" s="23"/>
      <c r="R17" s="23"/>
    </row>
    <row r="18" spans="1:194" ht="45.65" customHeight="1">
      <c r="B18" s="90"/>
      <c r="C18" s="143"/>
      <c r="D18" s="26" t="s">
        <v>212</v>
      </c>
      <c r="E18" s="26" t="s">
        <v>212</v>
      </c>
      <c r="F18" s="90"/>
      <c r="I18" s="90"/>
      <c r="J18" s="90"/>
      <c r="K18" s="24"/>
      <c r="N18" s="24"/>
    </row>
    <row r="19" spans="1:194" ht="23.15" customHeight="1">
      <c r="D19" s="208">
        <v>2</v>
      </c>
      <c r="E19" s="208">
        <v>3</v>
      </c>
      <c r="F19" s="208">
        <v>4</v>
      </c>
      <c r="G19" s="208">
        <v>5</v>
      </c>
      <c r="H19" s="208">
        <v>6</v>
      </c>
      <c r="K19" s="24"/>
    </row>
    <row r="20" spans="1:194" s="1" customFormat="1" ht="48" customHeight="1">
      <c r="A20" s="124" t="s">
        <v>193</v>
      </c>
      <c r="B20" s="123" t="s">
        <v>227</v>
      </c>
      <c r="C20" s="123" t="s">
        <v>228</v>
      </c>
      <c r="D20" s="82" t="s">
        <v>229</v>
      </c>
      <c r="E20" s="82" t="s">
        <v>229</v>
      </c>
      <c r="F20" s="82" t="s">
        <v>230</v>
      </c>
      <c r="G20" s="82" t="s">
        <v>230</v>
      </c>
      <c r="H20" s="82" t="s">
        <v>230</v>
      </c>
      <c r="I20" s="123" t="s">
        <v>229</v>
      </c>
      <c r="J20" s="123" t="s">
        <v>229</v>
      </c>
      <c r="K20" s="123" t="s">
        <v>231</v>
      </c>
      <c r="L20" s="123" t="s">
        <v>231</v>
      </c>
      <c r="M20" s="125" t="s">
        <v>232</v>
      </c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1"/>
      <c r="AO20" s="561"/>
      <c r="AP20" s="561"/>
      <c r="AQ20" s="561"/>
      <c r="AR20" s="561"/>
      <c r="AS20" s="561"/>
      <c r="AT20" s="561"/>
      <c r="AU20" s="561"/>
      <c r="AV20" s="561"/>
      <c r="AW20" s="561"/>
      <c r="AX20" s="561"/>
      <c r="AY20" s="561"/>
      <c r="AZ20" s="561"/>
      <c r="BA20" s="561"/>
      <c r="BB20" s="561"/>
      <c r="BC20" s="561"/>
      <c r="BD20" s="561"/>
      <c r="BE20" s="561"/>
      <c r="BF20" s="561"/>
      <c r="BG20" s="561"/>
      <c r="BH20" s="561"/>
      <c r="BI20" s="561"/>
      <c r="BJ20" s="561"/>
      <c r="BK20" s="561"/>
      <c r="BL20" s="561"/>
      <c r="BM20" s="561"/>
      <c r="BN20" s="561"/>
      <c r="BO20" s="561"/>
      <c r="BP20" s="561"/>
      <c r="BQ20" s="561"/>
      <c r="BR20" s="561"/>
      <c r="BS20" s="561"/>
      <c r="BT20" s="561"/>
      <c r="BU20" s="561"/>
      <c r="BV20" s="561"/>
      <c r="BW20" s="561"/>
      <c r="BX20" s="561"/>
      <c r="BY20" s="561"/>
      <c r="BZ20" s="561"/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561"/>
      <c r="CL20" s="561"/>
      <c r="CM20" s="561"/>
      <c r="CN20" s="561"/>
      <c r="CO20" s="561"/>
      <c r="CP20" s="561"/>
      <c r="CQ20" s="561"/>
      <c r="CR20" s="561"/>
      <c r="CS20" s="561"/>
      <c r="CT20" s="561"/>
      <c r="CU20" s="561"/>
      <c r="CV20" s="561"/>
      <c r="CW20" s="561"/>
      <c r="CX20" s="561"/>
      <c r="CY20" s="126"/>
      <c r="CZ20" s="562" t="s">
        <v>233</v>
      </c>
      <c r="DA20" s="562"/>
      <c r="DB20" s="562"/>
      <c r="DC20" s="562"/>
      <c r="DD20" s="562"/>
      <c r="DE20" s="562"/>
      <c r="DF20" s="562"/>
      <c r="DG20" s="562"/>
      <c r="DH20" s="562"/>
      <c r="DI20" s="562"/>
      <c r="DJ20" s="562"/>
      <c r="DK20" s="562"/>
      <c r="DL20" s="562"/>
      <c r="DM20" s="562"/>
      <c r="DN20" s="562"/>
      <c r="DO20" s="562"/>
      <c r="DP20" s="562"/>
      <c r="DQ20" s="562"/>
      <c r="DR20" s="562"/>
      <c r="DS20" s="562"/>
      <c r="DT20" s="562"/>
      <c r="DU20" s="562"/>
      <c r="DV20" s="562"/>
      <c r="DW20" s="562"/>
      <c r="DX20" s="562"/>
      <c r="DY20" s="562"/>
      <c r="DZ20" s="562"/>
      <c r="EA20" s="562"/>
      <c r="EB20" s="562"/>
      <c r="EC20" s="562"/>
      <c r="ED20" s="562"/>
      <c r="EE20" s="562"/>
      <c r="EF20" s="562"/>
      <c r="EG20" s="562"/>
      <c r="EH20" s="562"/>
      <c r="EI20" s="562"/>
      <c r="EJ20" s="562"/>
      <c r="EK20" s="562"/>
      <c r="EL20" s="562"/>
      <c r="EM20" s="562"/>
      <c r="EN20" s="562"/>
      <c r="EO20" s="562"/>
      <c r="EP20" s="562"/>
      <c r="EQ20" s="562"/>
      <c r="ER20" s="562"/>
      <c r="ES20" s="562"/>
      <c r="ET20" s="562"/>
      <c r="EU20" s="562"/>
      <c r="EV20" s="562"/>
      <c r="EW20" s="562"/>
      <c r="EX20" s="562"/>
      <c r="EY20" s="562"/>
      <c r="EZ20" s="562"/>
      <c r="FA20" s="562"/>
      <c r="FB20" s="562"/>
      <c r="FC20" s="562"/>
      <c r="FD20" s="562"/>
      <c r="FE20" s="562"/>
      <c r="FF20" s="562"/>
      <c r="FG20" s="562"/>
      <c r="FH20" s="562"/>
      <c r="FI20" s="562"/>
      <c r="FJ20" s="562"/>
      <c r="FK20" s="562"/>
      <c r="FL20" s="562"/>
      <c r="FM20" s="562"/>
      <c r="FN20" s="562"/>
      <c r="FO20" s="562"/>
      <c r="FP20" s="562"/>
      <c r="FQ20" s="562"/>
      <c r="FR20" s="562"/>
      <c r="FS20" s="562"/>
      <c r="FT20" s="562"/>
      <c r="FU20" s="562"/>
      <c r="FV20" s="562"/>
      <c r="FW20" s="562"/>
      <c r="FX20" s="562"/>
      <c r="FY20" s="562"/>
      <c r="FZ20" s="562"/>
      <c r="GA20" s="562"/>
      <c r="GB20" s="562"/>
      <c r="GC20" s="562"/>
      <c r="GD20" s="562"/>
      <c r="GE20" s="562"/>
      <c r="GF20" s="562"/>
      <c r="GG20" s="562"/>
      <c r="GH20" s="562"/>
      <c r="GI20" s="562"/>
      <c r="GJ20" s="562"/>
      <c r="GK20" s="562"/>
      <c r="GL20" s="122"/>
    </row>
    <row r="21" spans="1:194" s="8" customFormat="1" ht="28">
      <c r="A21" s="124"/>
      <c r="B21" s="123"/>
      <c r="C21" s="123"/>
      <c r="D21" s="25" t="s">
        <v>217</v>
      </c>
      <c r="E21" s="26" t="s">
        <v>218</v>
      </c>
      <c r="F21" s="82" t="s">
        <v>234</v>
      </c>
      <c r="G21" s="81" t="s">
        <v>232</v>
      </c>
      <c r="H21" s="81" t="s">
        <v>233</v>
      </c>
      <c r="I21" s="82" t="s">
        <v>232</v>
      </c>
      <c r="J21" s="81" t="s">
        <v>233</v>
      </c>
      <c r="K21" s="82" t="s">
        <v>232</v>
      </c>
      <c r="L21" s="27" t="s">
        <v>233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235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235</v>
      </c>
    </row>
    <row r="22" spans="1:194" s="1" customFormat="1">
      <c r="A22" s="30"/>
      <c r="B22" s="72"/>
      <c r="C22" s="60"/>
      <c r="D22" s="78"/>
      <c r="E22" s="78"/>
      <c r="F22" s="563"/>
      <c r="G22" s="563"/>
      <c r="H22" s="78"/>
      <c r="I22" s="78"/>
      <c r="J22" s="78"/>
      <c r="K22" s="563"/>
      <c r="L22" s="78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3"/>
      <c r="AH22" s="563"/>
      <c r="AI22" s="563"/>
      <c r="AJ22" s="563"/>
      <c r="AK22" s="563"/>
      <c r="AL22" s="563"/>
      <c r="AM22" s="563"/>
      <c r="AN22" s="563"/>
      <c r="AO22" s="563"/>
      <c r="AP22" s="563"/>
      <c r="AQ22" s="563"/>
      <c r="AR22" s="563"/>
      <c r="AS22" s="563"/>
      <c r="AT22" s="563"/>
      <c r="AU22" s="563"/>
      <c r="AV22" s="563"/>
      <c r="AW22" s="563"/>
      <c r="AX22" s="563"/>
      <c r="AY22" s="563"/>
      <c r="AZ22" s="563"/>
      <c r="BA22" s="563"/>
      <c r="BB22" s="563"/>
      <c r="BC22" s="563"/>
      <c r="BD22" s="563"/>
      <c r="BE22" s="563"/>
      <c r="BF22" s="563"/>
      <c r="BG22" s="563"/>
      <c r="BH22" s="563"/>
      <c r="BI22" s="563"/>
      <c r="BJ22" s="563"/>
      <c r="BK22" s="563"/>
      <c r="BL22" s="563"/>
      <c r="BM22" s="563"/>
      <c r="BN22" s="563"/>
      <c r="BO22" s="563"/>
      <c r="BP22" s="563"/>
      <c r="BQ22" s="563"/>
      <c r="BR22" s="563"/>
      <c r="BS22" s="563"/>
      <c r="BT22" s="563"/>
      <c r="BU22" s="563"/>
      <c r="BV22" s="563"/>
      <c r="BW22" s="563"/>
      <c r="BX22" s="563"/>
      <c r="BY22" s="563"/>
      <c r="BZ22" s="563"/>
      <c r="CA22" s="563"/>
      <c r="CB22" s="563"/>
      <c r="CC22" s="563"/>
      <c r="CD22" s="563"/>
      <c r="CE22" s="563"/>
      <c r="CF22" s="563"/>
      <c r="CG22" s="563"/>
      <c r="CH22" s="563"/>
      <c r="CI22" s="563"/>
      <c r="CJ22" s="563"/>
      <c r="CK22" s="563"/>
      <c r="CL22" s="563"/>
      <c r="CM22" s="563"/>
      <c r="CN22" s="563"/>
      <c r="CO22" s="563"/>
      <c r="CP22" s="563"/>
      <c r="CQ22" s="563"/>
      <c r="CR22" s="563"/>
      <c r="CS22" s="563"/>
      <c r="CT22" s="563"/>
      <c r="CU22" s="563"/>
      <c r="CV22" s="563"/>
      <c r="CW22" s="563"/>
      <c r="CX22" s="563"/>
      <c r="CY22" s="78"/>
      <c r="CZ22" s="563"/>
      <c r="DA22" s="563"/>
      <c r="DB22" s="563"/>
      <c r="DC22" s="563"/>
      <c r="DD22" s="563"/>
      <c r="DE22" s="563"/>
      <c r="DF22" s="563"/>
      <c r="DG22" s="563"/>
      <c r="DH22" s="563"/>
      <c r="DI22" s="563"/>
      <c r="DJ22" s="563"/>
      <c r="DK22" s="563"/>
      <c r="DL22" s="563"/>
      <c r="DM22" s="563"/>
      <c r="DN22" s="563"/>
      <c r="DO22" s="563"/>
      <c r="DP22" s="563"/>
      <c r="DQ22" s="563"/>
      <c r="DR22" s="563"/>
      <c r="DS22" s="563"/>
      <c r="DT22" s="563"/>
      <c r="DU22" s="563"/>
      <c r="DV22" s="563"/>
      <c r="DW22" s="563"/>
      <c r="DX22" s="563"/>
      <c r="DY22" s="563"/>
      <c r="DZ22" s="563"/>
      <c r="EA22" s="563"/>
      <c r="EB22" s="563"/>
      <c r="EC22" s="563"/>
      <c r="ED22" s="563"/>
      <c r="EE22" s="563"/>
      <c r="EF22" s="563"/>
      <c r="EG22" s="563"/>
      <c r="EH22" s="563"/>
      <c r="EI22" s="563"/>
      <c r="EJ22" s="563"/>
      <c r="EK22" s="563"/>
      <c r="EL22" s="563"/>
      <c r="EM22" s="563"/>
      <c r="EN22" s="563"/>
      <c r="EO22" s="563"/>
      <c r="EP22" s="563"/>
      <c r="EQ22" s="563"/>
      <c r="ER22" s="563"/>
      <c r="ES22" s="563"/>
      <c r="ET22" s="563"/>
      <c r="EU22" s="563"/>
      <c r="EV22" s="563"/>
      <c r="EW22" s="563"/>
      <c r="EX22" s="563"/>
      <c r="EY22" s="563"/>
      <c r="EZ22" s="563"/>
      <c r="FA22" s="563"/>
      <c r="FB22" s="563"/>
      <c r="FC22" s="563"/>
      <c r="FD22" s="563"/>
      <c r="FE22" s="563"/>
      <c r="FF22" s="563"/>
      <c r="FG22" s="563"/>
      <c r="FH22" s="563"/>
      <c r="FI22" s="563"/>
      <c r="FJ22" s="563"/>
      <c r="FK22" s="563"/>
      <c r="FL22" s="563"/>
      <c r="FM22" s="563"/>
      <c r="FN22" s="563"/>
      <c r="FO22" s="563"/>
      <c r="FP22" s="563"/>
      <c r="FQ22" s="563"/>
      <c r="FR22" s="563"/>
      <c r="FS22" s="563"/>
      <c r="FT22" s="563"/>
      <c r="FU22" s="563"/>
      <c r="FV22" s="563"/>
      <c r="FW22" s="563"/>
      <c r="FX22" s="563"/>
      <c r="FY22" s="563"/>
      <c r="FZ22" s="563"/>
      <c r="GA22" s="563"/>
      <c r="GB22" s="563"/>
      <c r="GC22" s="563"/>
      <c r="GD22" s="563"/>
      <c r="GE22" s="563"/>
      <c r="GF22" s="563"/>
      <c r="GG22" s="563"/>
      <c r="GH22" s="563"/>
      <c r="GI22" s="563"/>
      <c r="GJ22" s="563"/>
      <c r="GK22" s="563"/>
      <c r="GL22" s="78"/>
    </row>
    <row r="23" spans="1:194" s="70" customFormat="1" ht="21.75" customHeight="1">
      <c r="A23" s="65" t="s">
        <v>191</v>
      </c>
      <c r="B23" s="66" t="s">
        <v>191</v>
      </c>
      <c r="C23" s="67" t="str">
        <f>CONCATENATE(A23, " - ", B23)</f>
        <v>Per 100,000 population - Per 100,000 population</v>
      </c>
      <c r="D23" s="69">
        <f>ROUND((SUM(D25:D27)/SUM($F$25:$F$27))*100000,0)</f>
        <v>38342</v>
      </c>
      <c r="E23" s="69">
        <f>(SUM(E25:E27)/SUM($F$25:$F$27))*100000</f>
        <v>40832.127768130376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>
      <c r="A25" s="74" t="s">
        <v>39</v>
      </c>
      <c r="B25" s="594" t="s">
        <v>41</v>
      </c>
      <c r="C25" s="75" t="s">
        <v>236</v>
      </c>
      <c r="D25" s="77">
        <f t="shared" ref="D25:E27" si="3">I25</f>
        <v>21895402</v>
      </c>
      <c r="E25" s="77">
        <f t="shared" si="3"/>
        <v>23324090</v>
      </c>
      <c r="F25" s="564">
        <f>G25+H25</f>
        <v>57106398</v>
      </c>
      <c r="G25" s="564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565">
        <f>SUM(M25:AD25)</f>
        <v>6087888</v>
      </c>
      <c r="L25" s="77">
        <f>SUM(CZ25:DQ25)</f>
        <v>5799018</v>
      </c>
      <c r="M25" s="564">
        <v>305120</v>
      </c>
      <c r="N25" s="564">
        <v>303019</v>
      </c>
      <c r="O25" s="564">
        <v>314737</v>
      </c>
      <c r="P25" s="564">
        <v>321299</v>
      </c>
      <c r="Q25" s="564">
        <v>325230</v>
      </c>
      <c r="R25" s="564">
        <v>333023</v>
      </c>
      <c r="S25" s="564">
        <v>343154</v>
      </c>
      <c r="T25" s="564">
        <v>339729</v>
      </c>
      <c r="U25" s="564">
        <v>341966</v>
      </c>
      <c r="V25" s="564">
        <v>351482</v>
      </c>
      <c r="W25" s="564">
        <v>360539</v>
      </c>
      <c r="X25" s="564">
        <v>361688</v>
      </c>
      <c r="Y25" s="564">
        <v>356777</v>
      </c>
      <c r="Z25" s="564">
        <v>354079</v>
      </c>
      <c r="AA25" s="564">
        <v>357199</v>
      </c>
      <c r="AB25" s="564">
        <v>344190</v>
      </c>
      <c r="AC25" s="564">
        <v>336612</v>
      </c>
      <c r="AD25" s="564">
        <v>338045</v>
      </c>
      <c r="AE25" s="564">
        <v>339142</v>
      </c>
      <c r="AF25" s="564">
        <v>339234</v>
      </c>
      <c r="AG25" s="564">
        <v>338398</v>
      </c>
      <c r="AH25" s="564">
        <v>338465</v>
      </c>
      <c r="AI25" s="564">
        <v>345338</v>
      </c>
      <c r="AJ25" s="564">
        <v>358287</v>
      </c>
      <c r="AK25" s="564">
        <v>360304</v>
      </c>
      <c r="AL25" s="564">
        <v>365799</v>
      </c>
      <c r="AM25" s="564">
        <v>360324</v>
      </c>
      <c r="AN25" s="564">
        <v>364086</v>
      </c>
      <c r="AO25" s="564">
        <v>372653</v>
      </c>
      <c r="AP25" s="564">
        <v>372807</v>
      </c>
      <c r="AQ25" s="564">
        <v>383710</v>
      </c>
      <c r="AR25" s="564">
        <v>389563</v>
      </c>
      <c r="AS25" s="564">
        <v>387640</v>
      </c>
      <c r="AT25" s="564">
        <v>384620</v>
      </c>
      <c r="AU25" s="564">
        <v>387905</v>
      </c>
      <c r="AV25" s="564">
        <v>378829</v>
      </c>
      <c r="AW25" s="564">
        <v>378199</v>
      </c>
      <c r="AX25" s="564">
        <v>377186</v>
      </c>
      <c r="AY25" s="564">
        <v>365502</v>
      </c>
      <c r="AZ25" s="564">
        <v>366111</v>
      </c>
      <c r="BA25" s="564">
        <v>365728</v>
      </c>
      <c r="BB25" s="564">
        <v>369097</v>
      </c>
      <c r="BC25" s="564">
        <v>371802</v>
      </c>
      <c r="BD25" s="564">
        <v>357560</v>
      </c>
      <c r="BE25" s="564">
        <v>334069</v>
      </c>
      <c r="BF25" s="564">
        <v>328458</v>
      </c>
      <c r="BG25" s="564">
        <v>335746</v>
      </c>
      <c r="BH25" s="564">
        <v>342585</v>
      </c>
      <c r="BI25" s="564">
        <v>346685</v>
      </c>
      <c r="BJ25" s="564">
        <v>360442</v>
      </c>
      <c r="BK25" s="564">
        <v>373390</v>
      </c>
      <c r="BL25" s="564">
        <v>385375</v>
      </c>
      <c r="BM25" s="564">
        <v>375807</v>
      </c>
      <c r="BN25" s="564">
        <v>383988</v>
      </c>
      <c r="BO25" s="564">
        <v>382566</v>
      </c>
      <c r="BP25" s="564">
        <v>385629</v>
      </c>
      <c r="BQ25" s="564">
        <v>381742</v>
      </c>
      <c r="BR25" s="564">
        <v>381998</v>
      </c>
      <c r="BS25" s="564">
        <v>376164</v>
      </c>
      <c r="BT25" s="564">
        <v>367036</v>
      </c>
      <c r="BU25" s="564">
        <v>357672</v>
      </c>
      <c r="BV25" s="564">
        <v>344928</v>
      </c>
      <c r="BW25" s="564">
        <v>329857</v>
      </c>
      <c r="BX25" s="564">
        <v>319451</v>
      </c>
      <c r="BY25" s="564">
        <v>309724</v>
      </c>
      <c r="BZ25" s="564">
        <v>294558</v>
      </c>
      <c r="CA25" s="564">
        <v>282293</v>
      </c>
      <c r="CB25" s="564">
        <v>268536</v>
      </c>
      <c r="CC25" s="564">
        <v>266443</v>
      </c>
      <c r="CD25" s="564">
        <v>260410</v>
      </c>
      <c r="CE25" s="564">
        <v>249450</v>
      </c>
      <c r="CF25" s="564">
        <v>249080</v>
      </c>
      <c r="CG25" s="564">
        <v>249070</v>
      </c>
      <c r="CH25" s="564">
        <v>252982</v>
      </c>
      <c r="CI25" s="564">
        <v>263625</v>
      </c>
      <c r="CJ25" s="564">
        <v>283090</v>
      </c>
      <c r="CK25" s="564">
        <v>211587</v>
      </c>
      <c r="CL25" s="564">
        <v>200401</v>
      </c>
      <c r="CM25" s="564">
        <v>195036</v>
      </c>
      <c r="CN25" s="564">
        <v>174093</v>
      </c>
      <c r="CO25" s="564">
        <v>149572</v>
      </c>
      <c r="CP25" s="564">
        <v>127665</v>
      </c>
      <c r="CQ25" s="564">
        <v>127183</v>
      </c>
      <c r="CR25" s="564">
        <v>120061</v>
      </c>
      <c r="CS25" s="564">
        <v>109873</v>
      </c>
      <c r="CT25" s="564">
        <v>97456</v>
      </c>
      <c r="CU25" s="564">
        <v>84705</v>
      </c>
      <c r="CV25" s="564">
        <v>73428</v>
      </c>
      <c r="CW25" s="564">
        <v>60864</v>
      </c>
      <c r="CX25" s="564">
        <v>51376</v>
      </c>
      <c r="CY25" s="564">
        <v>170964</v>
      </c>
      <c r="CZ25" s="564">
        <v>291186</v>
      </c>
      <c r="DA25" s="564">
        <v>289546</v>
      </c>
      <c r="DB25" s="564">
        <v>300800</v>
      </c>
      <c r="DC25" s="564">
        <v>305906</v>
      </c>
      <c r="DD25" s="564">
        <v>310539</v>
      </c>
      <c r="DE25" s="564">
        <v>318263</v>
      </c>
      <c r="DF25" s="564">
        <v>326932</v>
      </c>
      <c r="DG25" s="564">
        <v>324633</v>
      </c>
      <c r="DH25" s="564">
        <v>326780</v>
      </c>
      <c r="DI25" s="564">
        <v>334543</v>
      </c>
      <c r="DJ25" s="564">
        <v>344341</v>
      </c>
      <c r="DK25" s="564">
        <v>343967</v>
      </c>
      <c r="DL25" s="564">
        <v>339949</v>
      </c>
      <c r="DM25" s="564">
        <v>337345</v>
      </c>
      <c r="DN25" s="564">
        <v>340474</v>
      </c>
      <c r="DO25" s="564">
        <v>326885</v>
      </c>
      <c r="DP25" s="564">
        <v>319023</v>
      </c>
      <c r="DQ25" s="564">
        <v>317906</v>
      </c>
      <c r="DR25" s="564">
        <v>318297</v>
      </c>
      <c r="DS25" s="564">
        <v>319325</v>
      </c>
      <c r="DT25" s="564">
        <v>325075</v>
      </c>
      <c r="DU25" s="564">
        <v>327194</v>
      </c>
      <c r="DV25" s="564">
        <v>333614</v>
      </c>
      <c r="DW25" s="564">
        <v>350669</v>
      </c>
      <c r="DX25" s="564">
        <v>358581</v>
      </c>
      <c r="DY25" s="564">
        <v>367839</v>
      </c>
      <c r="DZ25" s="564">
        <v>363988</v>
      </c>
      <c r="EA25" s="564">
        <v>374022</v>
      </c>
      <c r="EB25" s="564">
        <v>387522</v>
      </c>
      <c r="EC25" s="564">
        <v>390671</v>
      </c>
      <c r="ED25" s="564">
        <v>404331</v>
      </c>
      <c r="EE25" s="564">
        <v>410921</v>
      </c>
      <c r="EF25" s="564">
        <v>413176</v>
      </c>
      <c r="EG25" s="564">
        <v>411450</v>
      </c>
      <c r="EH25" s="564">
        <v>417983</v>
      </c>
      <c r="EI25" s="564">
        <v>409203</v>
      </c>
      <c r="EJ25" s="564">
        <v>404000</v>
      </c>
      <c r="EK25" s="564">
        <v>401928</v>
      </c>
      <c r="EL25" s="564">
        <v>389436</v>
      </c>
      <c r="EM25" s="564">
        <v>389518</v>
      </c>
      <c r="EN25" s="564">
        <v>386124</v>
      </c>
      <c r="EO25" s="564">
        <v>390735</v>
      </c>
      <c r="EP25" s="564">
        <v>390956</v>
      </c>
      <c r="EQ25" s="564">
        <v>373536</v>
      </c>
      <c r="ER25" s="564">
        <v>346385</v>
      </c>
      <c r="ES25" s="564">
        <v>339293</v>
      </c>
      <c r="ET25" s="564">
        <v>345871</v>
      </c>
      <c r="EU25" s="564">
        <v>353016</v>
      </c>
      <c r="EV25" s="564">
        <v>356906</v>
      </c>
      <c r="EW25" s="564">
        <v>370244</v>
      </c>
      <c r="EX25" s="564">
        <v>384214</v>
      </c>
      <c r="EY25" s="564">
        <v>399644</v>
      </c>
      <c r="EZ25" s="564">
        <v>389031</v>
      </c>
      <c r="FA25" s="564">
        <v>397139</v>
      </c>
      <c r="FB25" s="564">
        <v>395547</v>
      </c>
      <c r="FC25" s="564">
        <v>396676</v>
      </c>
      <c r="FD25" s="564">
        <v>396578</v>
      </c>
      <c r="FE25" s="564">
        <v>396708</v>
      </c>
      <c r="FF25" s="564">
        <v>390539</v>
      </c>
      <c r="FG25" s="564">
        <v>380695</v>
      </c>
      <c r="FH25" s="564">
        <v>371143</v>
      </c>
      <c r="FI25" s="564">
        <v>355407</v>
      </c>
      <c r="FJ25" s="564">
        <v>340408</v>
      </c>
      <c r="FK25" s="564">
        <v>331322</v>
      </c>
      <c r="FL25" s="564">
        <v>321164</v>
      </c>
      <c r="FM25" s="564">
        <v>308551</v>
      </c>
      <c r="FN25" s="564">
        <v>295719</v>
      </c>
      <c r="FO25" s="564">
        <v>284931</v>
      </c>
      <c r="FP25" s="564">
        <v>285437</v>
      </c>
      <c r="FQ25" s="564">
        <v>278929</v>
      </c>
      <c r="FR25" s="564">
        <v>271460</v>
      </c>
      <c r="FS25" s="564">
        <v>271487</v>
      </c>
      <c r="FT25" s="564">
        <v>275610</v>
      </c>
      <c r="FU25" s="564">
        <v>280129</v>
      </c>
      <c r="FV25" s="564">
        <v>294843</v>
      </c>
      <c r="FW25" s="564">
        <v>316380</v>
      </c>
      <c r="FX25" s="564">
        <v>240292</v>
      </c>
      <c r="FY25" s="564">
        <v>230370</v>
      </c>
      <c r="FZ25" s="564">
        <v>225985</v>
      </c>
      <c r="GA25" s="564">
        <v>206546</v>
      </c>
      <c r="GB25" s="564">
        <v>181398</v>
      </c>
      <c r="GC25" s="564">
        <v>159103</v>
      </c>
      <c r="GD25" s="564">
        <v>161482</v>
      </c>
      <c r="GE25" s="564">
        <v>155577</v>
      </c>
      <c r="GF25" s="564">
        <v>145759</v>
      </c>
      <c r="GG25" s="564">
        <v>132931</v>
      </c>
      <c r="GH25" s="564">
        <v>120255</v>
      </c>
      <c r="GI25" s="564">
        <v>107758</v>
      </c>
      <c r="GJ25" s="564">
        <v>93505</v>
      </c>
      <c r="GK25" s="564">
        <v>82264</v>
      </c>
      <c r="GL25" s="564">
        <v>349365</v>
      </c>
    </row>
    <row r="26" spans="1:194" s="8" customFormat="1">
      <c r="A26" s="32" t="s">
        <v>39</v>
      </c>
      <c r="B26" s="595" t="s">
        <v>237</v>
      </c>
      <c r="C26" s="33" t="s">
        <v>238</v>
      </c>
      <c r="D26" s="35">
        <f t="shared" si="3"/>
        <v>1217054</v>
      </c>
      <c r="E26" s="35">
        <f t="shared" si="3"/>
        <v>1294957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>
      <c r="A27" s="38" t="s">
        <v>39</v>
      </c>
      <c r="B27" s="596" t="s">
        <v>239</v>
      </c>
      <c r="C27" s="39" t="s">
        <v>240</v>
      </c>
      <c r="D27" s="41">
        <f t="shared" si="3"/>
        <v>716297</v>
      </c>
      <c r="E27" s="41">
        <f t="shared" si="3"/>
        <v>757541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>
      <c r="A28" s="44"/>
      <c r="B28" s="597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hidden="1">
      <c r="A29" s="83" t="s">
        <v>222</v>
      </c>
      <c r="B29" s="598" t="s">
        <v>241</v>
      </c>
      <c r="C29" s="72" t="str">
        <f t="shared" ref="C29:C92" si="4">CONCATENATE(A29," - ",B29)</f>
        <v xml:space="preserve">England – CCGs - Barnsley </v>
      </c>
      <c r="D29" s="61">
        <f>I29</f>
        <v>95316</v>
      </c>
      <c r="E29" s="61">
        <f>J29</f>
        <v>100485</v>
      </c>
      <c r="F29" s="566">
        <f>G29+H29</f>
        <v>246482</v>
      </c>
      <c r="G29" s="566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567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hidden="1">
      <c r="A30" s="87" t="s">
        <v>222</v>
      </c>
      <c r="B30" s="598" t="s">
        <v>242</v>
      </c>
      <c r="C30" s="30" t="str">
        <f t="shared" si="4"/>
        <v xml:space="preserve">England – CCGs - Basildon and Brentwood </v>
      </c>
      <c r="D30" s="51">
        <f>I30</f>
        <v>98404</v>
      </c>
      <c r="E30" s="51">
        <f>J30</f>
        <v>107487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hidden="1">
      <c r="A31" s="87" t="s">
        <v>222</v>
      </c>
      <c r="B31" s="598" t="s">
        <v>243</v>
      </c>
      <c r="C31" s="30" t="str">
        <f t="shared" si="4"/>
        <v xml:space="preserve">England – CCGs - Bassetlaw </v>
      </c>
      <c r="D31" s="51">
        <f t="shared" ref="D31:E90" si="5">I31</f>
        <v>47388</v>
      </c>
      <c r="E31" s="51">
        <f t="shared" si="5"/>
        <v>49144</v>
      </c>
      <c r="F31" s="52">
        <f t="shared" ref="F31:F94" si="6">G31+H31</f>
        <v>120012</v>
      </c>
      <c r="G31" s="52">
        <f t="shared" ref="G31:G94" si="7">SUM(M31:CY31)</f>
        <v>59485</v>
      </c>
      <c r="H31" s="53">
        <f t="shared" ref="H31:H94" si="8">SUM(CZ31:GL31)</f>
        <v>60527</v>
      </c>
      <c r="I31" s="53">
        <f t="shared" ref="I31:I94" si="9">SUM(AE31:CY31)</f>
        <v>47388</v>
      </c>
      <c r="J31" s="53">
        <f t="shared" ref="J31:J94" si="10">SUM(DR31:GL31)</f>
        <v>49144</v>
      </c>
      <c r="K31" s="50">
        <f t="shared" ref="K31:K94" si="11">SUM(M31:AD31)</f>
        <v>12097</v>
      </c>
      <c r="L31" s="51">
        <f t="shared" ref="L31:L94" si="12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hidden="1">
      <c r="A32" s="87" t="s">
        <v>222</v>
      </c>
      <c r="B32" s="598" t="s">
        <v>244</v>
      </c>
      <c r="C32" s="30" t="str">
        <f t="shared" si="4"/>
        <v xml:space="preserve">England – CCGs - Bath and North East Somerset, Swindon and Wiltshire </v>
      </c>
      <c r="D32" s="51">
        <f t="shared" si="5"/>
        <v>372192</v>
      </c>
      <c r="E32" s="51">
        <f t="shared" si="5"/>
        <v>388592</v>
      </c>
      <c r="F32" s="52">
        <f t="shared" si="6"/>
        <v>953852</v>
      </c>
      <c r="G32" s="52">
        <f t="shared" si="7"/>
        <v>470982</v>
      </c>
      <c r="H32" s="53">
        <f t="shared" si="8"/>
        <v>482870</v>
      </c>
      <c r="I32" s="53">
        <f t="shared" si="9"/>
        <v>372192</v>
      </c>
      <c r="J32" s="53">
        <f t="shared" si="10"/>
        <v>388592</v>
      </c>
      <c r="K32" s="50">
        <f t="shared" si="11"/>
        <v>98790</v>
      </c>
      <c r="L32" s="51">
        <f t="shared" si="12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hidden="1">
      <c r="A33" s="87" t="s">
        <v>222</v>
      </c>
      <c r="B33" s="598" t="s">
        <v>245</v>
      </c>
      <c r="C33" s="30" t="str">
        <f t="shared" si="4"/>
        <v xml:space="preserve">England – CCGs - Bedfordshire, Luton and Milton Keynes </v>
      </c>
      <c r="D33" s="51">
        <f t="shared" si="5"/>
        <v>380018</v>
      </c>
      <c r="E33" s="51">
        <f t="shared" si="5"/>
        <v>395348</v>
      </c>
      <c r="F33" s="52">
        <f t="shared" si="6"/>
        <v>1015380</v>
      </c>
      <c r="G33" s="52">
        <f t="shared" si="7"/>
        <v>503181</v>
      </c>
      <c r="H33" s="53">
        <f t="shared" si="8"/>
        <v>512199</v>
      </c>
      <c r="I33" s="53">
        <f t="shared" si="9"/>
        <v>380018</v>
      </c>
      <c r="J33" s="53">
        <f t="shared" si="10"/>
        <v>395348</v>
      </c>
      <c r="K33" s="50">
        <f t="shared" si="11"/>
        <v>123163</v>
      </c>
      <c r="L33" s="51">
        <f t="shared" si="12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hidden="1">
      <c r="A34" s="87" t="s">
        <v>222</v>
      </c>
      <c r="B34" s="598" t="s">
        <v>246</v>
      </c>
      <c r="C34" s="30" t="str">
        <f t="shared" si="4"/>
        <v xml:space="preserve">England – CCGs - Berkshire West </v>
      </c>
      <c r="D34" s="51">
        <f t="shared" si="5"/>
        <v>198017</v>
      </c>
      <c r="E34" s="51">
        <f t="shared" si="5"/>
        <v>205919</v>
      </c>
      <c r="F34" s="52">
        <f t="shared" si="6"/>
        <v>518002</v>
      </c>
      <c r="G34" s="52">
        <f t="shared" si="7"/>
        <v>256499</v>
      </c>
      <c r="H34" s="53">
        <f t="shared" si="8"/>
        <v>261503</v>
      </c>
      <c r="I34" s="53">
        <f t="shared" si="9"/>
        <v>198017</v>
      </c>
      <c r="J34" s="53">
        <f t="shared" si="10"/>
        <v>205919</v>
      </c>
      <c r="K34" s="50">
        <f t="shared" si="11"/>
        <v>58482</v>
      </c>
      <c r="L34" s="51">
        <f t="shared" si="12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hidden="1">
      <c r="A35" s="87" t="s">
        <v>222</v>
      </c>
      <c r="B35" s="598" t="s">
        <v>247</v>
      </c>
      <c r="C35" s="30" t="str">
        <f t="shared" si="4"/>
        <v xml:space="preserve">England – CCGs - Birmingham and Solihull </v>
      </c>
      <c r="D35" s="51">
        <f t="shared" si="5"/>
        <v>438007</v>
      </c>
      <c r="E35" s="51">
        <f t="shared" si="5"/>
        <v>471299</v>
      </c>
      <c r="F35" s="52">
        <f t="shared" si="6"/>
        <v>1199381</v>
      </c>
      <c r="G35" s="52">
        <f t="shared" si="7"/>
        <v>586025</v>
      </c>
      <c r="H35" s="53">
        <f t="shared" si="8"/>
        <v>613356</v>
      </c>
      <c r="I35" s="53">
        <f t="shared" si="9"/>
        <v>438007</v>
      </c>
      <c r="J35" s="53">
        <f t="shared" si="10"/>
        <v>471299</v>
      </c>
      <c r="K35" s="50">
        <f t="shared" si="11"/>
        <v>148018</v>
      </c>
      <c r="L35" s="51">
        <f t="shared" si="12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hidden="1">
      <c r="A36" s="87" t="s">
        <v>222</v>
      </c>
      <c r="B36" s="598" t="s">
        <v>248</v>
      </c>
      <c r="C36" s="30" t="str">
        <f t="shared" si="4"/>
        <v xml:space="preserve">England – CCGs - Black Country and West Birmingham </v>
      </c>
      <c r="D36" s="51">
        <f t="shared" si="5"/>
        <v>519259</v>
      </c>
      <c r="E36" s="51">
        <f t="shared" si="5"/>
        <v>546163</v>
      </c>
      <c r="F36" s="52">
        <f t="shared" si="6"/>
        <v>1398835</v>
      </c>
      <c r="G36" s="52">
        <f t="shared" si="7"/>
        <v>690615</v>
      </c>
      <c r="H36" s="53">
        <f t="shared" si="8"/>
        <v>708220</v>
      </c>
      <c r="I36" s="53">
        <f t="shared" si="9"/>
        <v>519259</v>
      </c>
      <c r="J36" s="53">
        <f t="shared" si="10"/>
        <v>546163</v>
      </c>
      <c r="K36" s="50">
        <f t="shared" si="11"/>
        <v>171356</v>
      </c>
      <c r="L36" s="51">
        <f t="shared" si="12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hidden="1">
      <c r="A37" s="87" t="s">
        <v>222</v>
      </c>
      <c r="B37" s="598" t="s">
        <v>249</v>
      </c>
      <c r="C37" s="30" t="str">
        <f t="shared" si="4"/>
        <v xml:space="preserve">England – CCGs - Blackburn with Darwen </v>
      </c>
      <c r="D37" s="51">
        <f t="shared" si="5"/>
        <v>57058</v>
      </c>
      <c r="E37" s="51">
        <f t="shared" si="5"/>
        <v>58704</v>
      </c>
      <c r="F37" s="52">
        <f t="shared" si="6"/>
        <v>155762</v>
      </c>
      <c r="G37" s="52">
        <f t="shared" si="7"/>
        <v>77331</v>
      </c>
      <c r="H37" s="53">
        <f t="shared" si="8"/>
        <v>78431</v>
      </c>
      <c r="I37" s="53">
        <f t="shared" si="9"/>
        <v>57058</v>
      </c>
      <c r="J37" s="53">
        <f t="shared" si="10"/>
        <v>58704</v>
      </c>
      <c r="K37" s="50">
        <f t="shared" si="11"/>
        <v>20273</v>
      </c>
      <c r="L37" s="51">
        <f t="shared" si="12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hidden="1">
      <c r="A38" s="87" t="s">
        <v>222</v>
      </c>
      <c r="B38" s="598" t="s">
        <v>250</v>
      </c>
      <c r="C38" s="30" t="str">
        <f t="shared" si="4"/>
        <v xml:space="preserve">England – CCGs - Blackpool </v>
      </c>
      <c r="D38" s="51">
        <f t="shared" si="5"/>
        <v>55562</v>
      </c>
      <c r="E38" s="51">
        <f t="shared" si="5"/>
        <v>57783</v>
      </c>
      <c r="F38" s="52">
        <f t="shared" si="6"/>
        <v>141574</v>
      </c>
      <c r="G38" s="52">
        <f t="shared" si="7"/>
        <v>70014</v>
      </c>
      <c r="H38" s="53">
        <f t="shared" si="8"/>
        <v>71560</v>
      </c>
      <c r="I38" s="53">
        <f t="shared" si="9"/>
        <v>55562</v>
      </c>
      <c r="J38" s="53">
        <f t="shared" si="10"/>
        <v>57783</v>
      </c>
      <c r="K38" s="50">
        <f t="shared" si="11"/>
        <v>14452</v>
      </c>
      <c r="L38" s="51">
        <f t="shared" si="12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hidden="1">
      <c r="A39" s="87" t="s">
        <v>222</v>
      </c>
      <c r="B39" s="598" t="s">
        <v>251</v>
      </c>
      <c r="C39" s="30" t="str">
        <f t="shared" si="4"/>
        <v xml:space="preserve">England – CCGs - Bolton </v>
      </c>
      <c r="D39" s="51">
        <f t="shared" si="5"/>
        <v>110558</v>
      </c>
      <c r="E39" s="51">
        <f t="shared" si="5"/>
        <v>115887</v>
      </c>
      <c r="F39" s="52">
        <f t="shared" si="6"/>
        <v>298903</v>
      </c>
      <c r="G39" s="52">
        <f t="shared" si="7"/>
        <v>147723</v>
      </c>
      <c r="H39" s="53">
        <f t="shared" si="8"/>
        <v>151180</v>
      </c>
      <c r="I39" s="53">
        <f t="shared" si="9"/>
        <v>110558</v>
      </c>
      <c r="J39" s="53">
        <f t="shared" si="10"/>
        <v>115887</v>
      </c>
      <c r="K39" s="50">
        <f t="shared" si="11"/>
        <v>37165</v>
      </c>
      <c r="L39" s="51">
        <f t="shared" si="12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hidden="1">
      <c r="A40" s="87" t="s">
        <v>222</v>
      </c>
      <c r="B40" s="598" t="s">
        <v>252</v>
      </c>
      <c r="C40" s="30" t="str">
        <f t="shared" si="4"/>
        <v xml:space="preserve">England – CCGs - Bradford District and Craven </v>
      </c>
      <c r="D40" s="51">
        <f t="shared" si="5"/>
        <v>220192</v>
      </c>
      <c r="E40" s="51">
        <f t="shared" si="5"/>
        <v>234216</v>
      </c>
      <c r="F40" s="52">
        <f t="shared" si="6"/>
        <v>604251</v>
      </c>
      <c r="G40" s="52">
        <f t="shared" si="7"/>
        <v>296243</v>
      </c>
      <c r="H40" s="53">
        <f t="shared" si="8"/>
        <v>308008</v>
      </c>
      <c r="I40" s="53">
        <f t="shared" si="9"/>
        <v>220192</v>
      </c>
      <c r="J40" s="53">
        <f t="shared" si="10"/>
        <v>234216</v>
      </c>
      <c r="K40" s="50">
        <f t="shared" si="11"/>
        <v>76051</v>
      </c>
      <c r="L40" s="51">
        <f t="shared" si="12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hidden="1">
      <c r="A41" s="87" t="s">
        <v>222</v>
      </c>
      <c r="B41" s="598" t="s">
        <v>253</v>
      </c>
      <c r="C41" s="30" t="str">
        <f t="shared" si="4"/>
        <v xml:space="preserve">England – CCGs - Brighton and Hove </v>
      </c>
      <c r="D41" s="51">
        <f t="shared" si="5"/>
        <v>112188</v>
      </c>
      <c r="E41" s="51">
        <f t="shared" si="5"/>
        <v>118923</v>
      </c>
      <c r="F41" s="52">
        <f t="shared" si="6"/>
        <v>277965</v>
      </c>
      <c r="G41" s="52">
        <f t="shared" si="7"/>
        <v>136030</v>
      </c>
      <c r="H41" s="53">
        <f t="shared" si="8"/>
        <v>141935</v>
      </c>
      <c r="I41" s="53">
        <f t="shared" si="9"/>
        <v>112188</v>
      </c>
      <c r="J41" s="53">
        <f t="shared" si="10"/>
        <v>118923</v>
      </c>
      <c r="K41" s="50">
        <f t="shared" si="11"/>
        <v>23842</v>
      </c>
      <c r="L41" s="51">
        <f t="shared" si="12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hidden="1">
      <c r="A42" s="87" t="s">
        <v>222</v>
      </c>
      <c r="B42" s="598" t="s">
        <v>254</v>
      </c>
      <c r="C42" s="30" t="str">
        <f t="shared" si="4"/>
        <v xml:space="preserve">England – CCGs - Bristol, North Somerset and South Gloucestershire </v>
      </c>
      <c r="D42" s="51">
        <f t="shared" si="5"/>
        <v>390782</v>
      </c>
      <c r="E42" s="51">
        <f t="shared" si="5"/>
        <v>407039</v>
      </c>
      <c r="F42" s="52">
        <f t="shared" si="6"/>
        <v>992934</v>
      </c>
      <c r="G42" s="52">
        <f t="shared" si="7"/>
        <v>490777</v>
      </c>
      <c r="H42" s="53">
        <f t="shared" si="8"/>
        <v>502157</v>
      </c>
      <c r="I42" s="53">
        <f t="shared" si="9"/>
        <v>390782</v>
      </c>
      <c r="J42" s="53">
        <f t="shared" si="10"/>
        <v>407039</v>
      </c>
      <c r="K42" s="50">
        <f t="shared" si="11"/>
        <v>99995</v>
      </c>
      <c r="L42" s="51">
        <f t="shared" si="12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hidden="1">
      <c r="A43" s="87" t="s">
        <v>222</v>
      </c>
      <c r="B43" s="598" t="s">
        <v>255</v>
      </c>
      <c r="C43" s="30" t="str">
        <f t="shared" si="4"/>
        <v xml:space="preserve">England – CCGs - Buckinghamshire </v>
      </c>
      <c r="D43" s="51">
        <f t="shared" si="5"/>
        <v>211021</v>
      </c>
      <c r="E43" s="51">
        <f t="shared" si="5"/>
        <v>225900</v>
      </c>
      <c r="F43" s="52">
        <f t="shared" si="6"/>
        <v>563488</v>
      </c>
      <c r="G43" s="52">
        <f t="shared" si="7"/>
        <v>275644</v>
      </c>
      <c r="H43" s="53">
        <f t="shared" si="8"/>
        <v>287844</v>
      </c>
      <c r="I43" s="53">
        <f t="shared" si="9"/>
        <v>211021</v>
      </c>
      <c r="J43" s="53">
        <f t="shared" si="10"/>
        <v>225900</v>
      </c>
      <c r="K43" s="50">
        <f t="shared" si="11"/>
        <v>64623</v>
      </c>
      <c r="L43" s="51">
        <f t="shared" si="12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hidden="1">
      <c r="A44" s="87" t="s">
        <v>222</v>
      </c>
      <c r="B44" s="598" t="s">
        <v>256</v>
      </c>
      <c r="C44" s="30" t="str">
        <f t="shared" si="4"/>
        <v xml:space="preserve">England – CCGs - Bury </v>
      </c>
      <c r="D44" s="51">
        <f t="shared" si="5"/>
        <v>73049</v>
      </c>
      <c r="E44" s="51">
        <f t="shared" si="5"/>
        <v>77651</v>
      </c>
      <c r="F44" s="52">
        <f t="shared" si="6"/>
        <v>194606</v>
      </c>
      <c r="G44" s="52">
        <f t="shared" si="7"/>
        <v>95665</v>
      </c>
      <c r="H44" s="53">
        <f t="shared" si="8"/>
        <v>98941</v>
      </c>
      <c r="I44" s="53">
        <f t="shared" si="9"/>
        <v>73049</v>
      </c>
      <c r="J44" s="53">
        <f t="shared" si="10"/>
        <v>77651</v>
      </c>
      <c r="K44" s="50">
        <f t="shared" si="11"/>
        <v>22616</v>
      </c>
      <c r="L44" s="51">
        <f t="shared" si="12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hidden="1">
      <c r="A45" s="87" t="s">
        <v>222</v>
      </c>
      <c r="B45" s="598" t="s">
        <v>257</v>
      </c>
      <c r="C45" s="30" t="str">
        <f t="shared" si="4"/>
        <v xml:space="preserve">England – CCGs - Calderdale </v>
      </c>
      <c r="D45" s="51">
        <f t="shared" si="5"/>
        <v>78458</v>
      </c>
      <c r="E45" s="51">
        <f t="shared" si="5"/>
        <v>84126</v>
      </c>
      <c r="F45" s="52">
        <f t="shared" si="6"/>
        <v>207699</v>
      </c>
      <c r="G45" s="52">
        <f t="shared" si="7"/>
        <v>101550</v>
      </c>
      <c r="H45" s="53">
        <f t="shared" si="8"/>
        <v>106149</v>
      </c>
      <c r="I45" s="53">
        <f t="shared" si="9"/>
        <v>78458</v>
      </c>
      <c r="J45" s="53">
        <f t="shared" si="10"/>
        <v>84126</v>
      </c>
      <c r="K45" s="50">
        <f t="shared" si="11"/>
        <v>23092</v>
      </c>
      <c r="L45" s="51">
        <f t="shared" si="12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hidden="1">
      <c r="A46" s="87" t="s">
        <v>222</v>
      </c>
      <c r="B46" s="598" t="s">
        <v>258</v>
      </c>
      <c r="C46" s="30" t="str">
        <f t="shared" si="4"/>
        <v xml:space="preserve">England – CCGs - Cambridgeshire and Peterborough </v>
      </c>
      <c r="D46" s="51">
        <f t="shared" si="5"/>
        <v>364079</v>
      </c>
      <c r="E46" s="51">
        <f t="shared" si="5"/>
        <v>381082</v>
      </c>
      <c r="F46" s="52">
        <f t="shared" si="6"/>
        <v>944517</v>
      </c>
      <c r="G46" s="52">
        <f t="shared" si="7"/>
        <v>466419</v>
      </c>
      <c r="H46" s="53">
        <f t="shared" si="8"/>
        <v>478098</v>
      </c>
      <c r="I46" s="53">
        <f t="shared" si="9"/>
        <v>364079</v>
      </c>
      <c r="J46" s="53">
        <f t="shared" si="10"/>
        <v>381082</v>
      </c>
      <c r="K46" s="50">
        <f t="shared" si="11"/>
        <v>102340</v>
      </c>
      <c r="L46" s="51">
        <f t="shared" si="12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hidden="1">
      <c r="A47" s="87" t="s">
        <v>222</v>
      </c>
      <c r="B47" s="598" t="s">
        <v>259</v>
      </c>
      <c r="C47" s="30" t="str">
        <f t="shared" si="4"/>
        <v xml:space="preserve">England – CCGs - Cannock Chase </v>
      </c>
      <c r="D47" s="51">
        <f t="shared" si="5"/>
        <v>53814</v>
      </c>
      <c r="E47" s="51">
        <f t="shared" si="5"/>
        <v>56470</v>
      </c>
      <c r="F47" s="52">
        <f t="shared" si="6"/>
        <v>137726</v>
      </c>
      <c r="G47" s="52">
        <f t="shared" si="7"/>
        <v>67795</v>
      </c>
      <c r="H47" s="53">
        <f t="shared" si="8"/>
        <v>69931</v>
      </c>
      <c r="I47" s="53">
        <f t="shared" si="9"/>
        <v>53814</v>
      </c>
      <c r="J47" s="53">
        <f t="shared" si="10"/>
        <v>56470</v>
      </c>
      <c r="K47" s="50">
        <f t="shared" si="11"/>
        <v>13981</v>
      </c>
      <c r="L47" s="51">
        <f t="shared" si="12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hidden="1">
      <c r="A48" s="87" t="s">
        <v>222</v>
      </c>
      <c r="B48" s="598" t="s">
        <v>260</v>
      </c>
      <c r="C48" s="30" t="str">
        <f t="shared" si="4"/>
        <v xml:space="preserve">England – CCGs - Castle Point and Rochford </v>
      </c>
      <c r="D48" s="51">
        <f t="shared" si="5"/>
        <v>68069</v>
      </c>
      <c r="E48" s="51">
        <f t="shared" si="5"/>
        <v>74355</v>
      </c>
      <c r="F48" s="52">
        <f t="shared" si="6"/>
        <v>176947</v>
      </c>
      <c r="G48" s="52">
        <f t="shared" si="7"/>
        <v>85739</v>
      </c>
      <c r="H48" s="53">
        <f t="shared" si="8"/>
        <v>91208</v>
      </c>
      <c r="I48" s="53">
        <f t="shared" si="9"/>
        <v>68069</v>
      </c>
      <c r="J48" s="53">
        <f t="shared" si="10"/>
        <v>74355</v>
      </c>
      <c r="K48" s="50">
        <f t="shared" si="11"/>
        <v>17670</v>
      </c>
      <c r="L48" s="51">
        <f t="shared" si="12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hidden="1">
      <c r="A49" s="87" t="s">
        <v>222</v>
      </c>
      <c r="B49" s="598" t="s">
        <v>261</v>
      </c>
      <c r="C49" s="30" t="str">
        <f t="shared" si="4"/>
        <v xml:space="preserve">England – CCGs - Cheshire </v>
      </c>
      <c r="D49" s="51">
        <f t="shared" si="5"/>
        <v>298582</v>
      </c>
      <c r="E49" s="51">
        <f t="shared" si="5"/>
        <v>318975</v>
      </c>
      <c r="F49" s="52">
        <f t="shared" si="6"/>
        <v>768221</v>
      </c>
      <c r="G49" s="52">
        <f t="shared" si="7"/>
        <v>376029</v>
      </c>
      <c r="H49" s="53">
        <f t="shared" si="8"/>
        <v>392192</v>
      </c>
      <c r="I49" s="53">
        <f t="shared" si="9"/>
        <v>298582</v>
      </c>
      <c r="J49" s="53">
        <f t="shared" si="10"/>
        <v>318975</v>
      </c>
      <c r="K49" s="50">
        <f t="shared" si="11"/>
        <v>77447</v>
      </c>
      <c r="L49" s="51">
        <f t="shared" si="12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hidden="1">
      <c r="A50" s="87" t="s">
        <v>222</v>
      </c>
      <c r="B50" s="598" t="s">
        <v>262</v>
      </c>
      <c r="C50" s="30" t="str">
        <f t="shared" si="4"/>
        <v xml:space="preserve">England – CCGs - Chorley and South Ribble </v>
      </c>
      <c r="D50" s="51">
        <f t="shared" si="5"/>
        <v>70741</v>
      </c>
      <c r="E50" s="51">
        <f t="shared" si="5"/>
        <v>73178</v>
      </c>
      <c r="F50" s="52">
        <f t="shared" si="6"/>
        <v>180465</v>
      </c>
      <c r="G50" s="52">
        <f t="shared" si="7"/>
        <v>89548</v>
      </c>
      <c r="H50" s="53">
        <f t="shared" si="8"/>
        <v>90917</v>
      </c>
      <c r="I50" s="53">
        <f t="shared" si="9"/>
        <v>70741</v>
      </c>
      <c r="J50" s="53">
        <f t="shared" si="10"/>
        <v>73178</v>
      </c>
      <c r="K50" s="50">
        <f t="shared" si="11"/>
        <v>18807</v>
      </c>
      <c r="L50" s="51">
        <f t="shared" si="12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hidden="1">
      <c r="A51" s="87" t="s">
        <v>222</v>
      </c>
      <c r="B51" s="598" t="s">
        <v>263</v>
      </c>
      <c r="C51" s="30" t="str">
        <f t="shared" si="4"/>
        <v xml:space="preserve">England – CCGs - County Durham </v>
      </c>
      <c r="D51" s="51">
        <f t="shared" si="5"/>
        <v>206649</v>
      </c>
      <c r="E51" s="51">
        <f t="shared" si="5"/>
        <v>221937</v>
      </c>
      <c r="F51" s="52">
        <f t="shared" si="6"/>
        <v>528127</v>
      </c>
      <c r="G51" s="52">
        <f t="shared" si="7"/>
        <v>257850</v>
      </c>
      <c r="H51" s="53">
        <f t="shared" si="8"/>
        <v>270277</v>
      </c>
      <c r="I51" s="53">
        <f t="shared" si="9"/>
        <v>206649</v>
      </c>
      <c r="J51" s="53">
        <f t="shared" si="10"/>
        <v>221937</v>
      </c>
      <c r="K51" s="50">
        <f t="shared" si="11"/>
        <v>51201</v>
      </c>
      <c r="L51" s="51">
        <f t="shared" si="12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hidden="1">
      <c r="A52" s="87" t="s">
        <v>222</v>
      </c>
      <c r="B52" s="598" t="s">
        <v>264</v>
      </c>
      <c r="C52" s="30" t="str">
        <f t="shared" si="4"/>
        <v xml:space="preserve">England – CCGs - Coventry and Warwickshire </v>
      </c>
      <c r="D52" s="51">
        <f t="shared" si="5"/>
        <v>374777</v>
      </c>
      <c r="E52" s="51">
        <f t="shared" si="5"/>
        <v>386977</v>
      </c>
      <c r="F52" s="52">
        <f t="shared" si="6"/>
        <v>963204</v>
      </c>
      <c r="G52" s="52">
        <f t="shared" si="7"/>
        <v>477693</v>
      </c>
      <c r="H52" s="53">
        <f t="shared" si="8"/>
        <v>485511</v>
      </c>
      <c r="I52" s="53">
        <f t="shared" si="9"/>
        <v>374777</v>
      </c>
      <c r="J52" s="53">
        <f t="shared" si="10"/>
        <v>386977</v>
      </c>
      <c r="K52" s="50">
        <f t="shared" si="11"/>
        <v>102916</v>
      </c>
      <c r="L52" s="51">
        <f t="shared" si="12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hidden="1">
      <c r="A53" s="87" t="s">
        <v>222</v>
      </c>
      <c r="B53" s="598" t="s">
        <v>265</v>
      </c>
      <c r="C53" s="30" t="str">
        <f t="shared" si="4"/>
        <v xml:space="preserve">England – CCGs - Derby and Derbyshire </v>
      </c>
      <c r="D53" s="51">
        <f t="shared" si="5"/>
        <v>403652</v>
      </c>
      <c r="E53" s="51">
        <f t="shared" si="5"/>
        <v>423874</v>
      </c>
      <c r="F53" s="52">
        <f t="shared" si="6"/>
        <v>1033491</v>
      </c>
      <c r="G53" s="52">
        <f t="shared" si="7"/>
        <v>508629</v>
      </c>
      <c r="H53" s="53">
        <f t="shared" si="8"/>
        <v>524862</v>
      </c>
      <c r="I53" s="53">
        <f t="shared" si="9"/>
        <v>403652</v>
      </c>
      <c r="J53" s="53">
        <f t="shared" si="10"/>
        <v>423874</v>
      </c>
      <c r="K53" s="50">
        <f t="shared" si="11"/>
        <v>104977</v>
      </c>
      <c r="L53" s="51">
        <f t="shared" si="12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hidden="1">
      <c r="A54" s="87" t="s">
        <v>222</v>
      </c>
      <c r="B54" s="598" t="s">
        <v>266</v>
      </c>
      <c r="C54" s="30" t="str">
        <f t="shared" si="4"/>
        <v xml:space="preserve">England – CCGs - Devon </v>
      </c>
      <c r="D54" s="51">
        <f t="shared" si="5"/>
        <v>486049</v>
      </c>
      <c r="E54" s="51">
        <f t="shared" si="5"/>
        <v>522875</v>
      </c>
      <c r="F54" s="52">
        <f t="shared" si="6"/>
        <v>1232660</v>
      </c>
      <c r="G54" s="52">
        <f t="shared" si="7"/>
        <v>600962</v>
      </c>
      <c r="H54" s="53">
        <f t="shared" si="8"/>
        <v>631698</v>
      </c>
      <c r="I54" s="53">
        <f t="shared" si="9"/>
        <v>486049</v>
      </c>
      <c r="J54" s="53">
        <f t="shared" si="10"/>
        <v>522875</v>
      </c>
      <c r="K54" s="50">
        <f t="shared" si="11"/>
        <v>114913</v>
      </c>
      <c r="L54" s="51">
        <f t="shared" si="12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hidden="1">
      <c r="A55" s="87" t="s">
        <v>222</v>
      </c>
      <c r="B55" s="598" t="s">
        <v>267</v>
      </c>
      <c r="C55" s="30" t="str">
        <f t="shared" si="4"/>
        <v xml:space="preserve">England – CCGs - Doncaster </v>
      </c>
      <c r="D55" s="51">
        <f t="shared" si="5"/>
        <v>121112</v>
      </c>
      <c r="E55" s="51">
        <f t="shared" si="5"/>
        <v>124796</v>
      </c>
      <c r="F55" s="52">
        <f t="shared" si="6"/>
        <v>311027</v>
      </c>
      <c r="G55" s="52">
        <f t="shared" si="7"/>
        <v>154552</v>
      </c>
      <c r="H55" s="53">
        <f t="shared" si="8"/>
        <v>156475</v>
      </c>
      <c r="I55" s="53">
        <f t="shared" si="9"/>
        <v>121112</v>
      </c>
      <c r="J55" s="53">
        <f t="shared" si="10"/>
        <v>124796</v>
      </c>
      <c r="K55" s="50">
        <f t="shared" si="11"/>
        <v>33440</v>
      </c>
      <c r="L55" s="51">
        <f t="shared" si="12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hidden="1">
      <c r="A56" s="87" t="s">
        <v>222</v>
      </c>
      <c r="B56" s="598" t="s">
        <v>268</v>
      </c>
      <c r="C56" s="30" t="str">
        <f t="shared" si="4"/>
        <v xml:space="preserve">England – CCGs - Dorset </v>
      </c>
      <c r="D56" s="51">
        <f t="shared" si="5"/>
        <v>310533</v>
      </c>
      <c r="E56" s="51">
        <f t="shared" si="5"/>
        <v>334681</v>
      </c>
      <c r="F56" s="52">
        <f t="shared" si="6"/>
        <v>785172</v>
      </c>
      <c r="G56" s="52">
        <f t="shared" si="7"/>
        <v>382244</v>
      </c>
      <c r="H56" s="53">
        <f t="shared" si="8"/>
        <v>402928</v>
      </c>
      <c r="I56" s="53">
        <f t="shared" si="9"/>
        <v>310533</v>
      </c>
      <c r="J56" s="53">
        <f t="shared" si="10"/>
        <v>334681</v>
      </c>
      <c r="K56" s="50">
        <f t="shared" si="11"/>
        <v>71711</v>
      </c>
      <c r="L56" s="51">
        <f t="shared" si="12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hidden="1">
      <c r="A57" s="87" t="s">
        <v>222</v>
      </c>
      <c r="B57" s="598" t="s">
        <v>269</v>
      </c>
      <c r="C57" s="30" t="str">
        <f t="shared" si="4"/>
        <v xml:space="preserve">England – CCGs - East and North Hertfordshire </v>
      </c>
      <c r="D57" s="51">
        <f t="shared" si="5"/>
        <v>216500</v>
      </c>
      <c r="E57" s="51">
        <f t="shared" si="5"/>
        <v>232375</v>
      </c>
      <c r="F57" s="52">
        <f t="shared" si="6"/>
        <v>574319</v>
      </c>
      <c r="G57" s="52">
        <f t="shared" si="7"/>
        <v>280730</v>
      </c>
      <c r="H57" s="53">
        <f t="shared" si="8"/>
        <v>293589</v>
      </c>
      <c r="I57" s="53">
        <f t="shared" si="9"/>
        <v>216500</v>
      </c>
      <c r="J57" s="53">
        <f t="shared" si="10"/>
        <v>232375</v>
      </c>
      <c r="K57" s="50">
        <f t="shared" si="11"/>
        <v>64230</v>
      </c>
      <c r="L57" s="51">
        <f t="shared" si="12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hidden="1">
      <c r="A58" s="87" t="s">
        <v>222</v>
      </c>
      <c r="B58" s="598" t="s">
        <v>270</v>
      </c>
      <c r="C58" s="30" t="str">
        <f t="shared" si="4"/>
        <v xml:space="preserve">England – CCGs - East Lancashire </v>
      </c>
      <c r="D58" s="51">
        <f t="shared" si="5"/>
        <v>150451</v>
      </c>
      <c r="E58" s="51">
        <f t="shared" si="5"/>
        <v>157689</v>
      </c>
      <c r="F58" s="52">
        <f t="shared" si="6"/>
        <v>397081</v>
      </c>
      <c r="G58" s="52">
        <f t="shared" si="7"/>
        <v>195994</v>
      </c>
      <c r="H58" s="53">
        <f t="shared" si="8"/>
        <v>201087</v>
      </c>
      <c r="I58" s="53">
        <f t="shared" si="9"/>
        <v>150451</v>
      </c>
      <c r="J58" s="53">
        <f t="shared" si="10"/>
        <v>157689</v>
      </c>
      <c r="K58" s="50">
        <f t="shared" si="11"/>
        <v>45543</v>
      </c>
      <c r="L58" s="51">
        <f t="shared" si="12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hidden="1">
      <c r="A59" s="87" t="s">
        <v>222</v>
      </c>
      <c r="B59" s="598" t="s">
        <v>271</v>
      </c>
      <c r="C59" s="30" t="str">
        <f t="shared" si="4"/>
        <v xml:space="preserve">England – CCGs - East Leicestershire and Rutland </v>
      </c>
      <c r="D59" s="51">
        <f t="shared" si="5"/>
        <v>136127</v>
      </c>
      <c r="E59" s="51">
        <f t="shared" si="5"/>
        <v>143488</v>
      </c>
      <c r="F59" s="52">
        <f t="shared" si="6"/>
        <v>350329</v>
      </c>
      <c r="G59" s="52">
        <f t="shared" si="7"/>
        <v>172533</v>
      </c>
      <c r="H59" s="53">
        <f t="shared" si="8"/>
        <v>177796</v>
      </c>
      <c r="I59" s="53">
        <f t="shared" si="9"/>
        <v>136127</v>
      </c>
      <c r="J59" s="53">
        <f t="shared" si="10"/>
        <v>143488</v>
      </c>
      <c r="K59" s="50">
        <f t="shared" si="11"/>
        <v>36406</v>
      </c>
      <c r="L59" s="51">
        <f t="shared" si="12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hidden="1">
      <c r="A60" s="87" t="s">
        <v>222</v>
      </c>
      <c r="B60" s="598" t="s">
        <v>272</v>
      </c>
      <c r="C60" s="30" t="str">
        <f t="shared" si="4"/>
        <v xml:space="preserve">England – CCGs - East Riding of Yorkshire </v>
      </c>
      <c r="D60" s="51">
        <f t="shared" si="5"/>
        <v>127859</v>
      </c>
      <c r="E60" s="51">
        <f t="shared" si="5"/>
        <v>136544</v>
      </c>
      <c r="F60" s="52">
        <f t="shared" si="6"/>
        <v>321772</v>
      </c>
      <c r="G60" s="52">
        <f t="shared" si="7"/>
        <v>157610</v>
      </c>
      <c r="H60" s="53">
        <f t="shared" si="8"/>
        <v>164162</v>
      </c>
      <c r="I60" s="53">
        <f t="shared" si="9"/>
        <v>127859</v>
      </c>
      <c r="J60" s="53">
        <f t="shared" si="10"/>
        <v>136544</v>
      </c>
      <c r="K60" s="50">
        <f t="shared" si="11"/>
        <v>29751</v>
      </c>
      <c r="L60" s="51">
        <f t="shared" si="12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hidden="1">
      <c r="A61" s="87" t="s">
        <v>222</v>
      </c>
      <c r="B61" s="598" t="s">
        <v>273</v>
      </c>
      <c r="C61" s="30" t="str">
        <f t="shared" si="4"/>
        <v xml:space="preserve">England – CCGs - East Staffordshire </v>
      </c>
      <c r="D61" s="51">
        <f t="shared" si="5"/>
        <v>53308</v>
      </c>
      <c r="E61" s="51">
        <f t="shared" si="5"/>
        <v>54265</v>
      </c>
      <c r="F61" s="52">
        <f t="shared" si="6"/>
        <v>136641</v>
      </c>
      <c r="G61" s="52">
        <f t="shared" si="7"/>
        <v>68173</v>
      </c>
      <c r="H61" s="53">
        <f t="shared" si="8"/>
        <v>68468</v>
      </c>
      <c r="I61" s="53">
        <f t="shared" si="9"/>
        <v>53308</v>
      </c>
      <c r="J61" s="53">
        <f t="shared" si="10"/>
        <v>54265</v>
      </c>
      <c r="K61" s="50">
        <f t="shared" si="11"/>
        <v>14865</v>
      </c>
      <c r="L61" s="51">
        <f t="shared" si="12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hidden="1">
      <c r="A62" s="87" t="s">
        <v>222</v>
      </c>
      <c r="B62" s="598" t="s">
        <v>274</v>
      </c>
      <c r="C62" s="30" t="str">
        <f t="shared" si="4"/>
        <v xml:space="preserve">England – CCGs - East Sussex </v>
      </c>
      <c r="D62" s="51">
        <f t="shared" si="5"/>
        <v>211669</v>
      </c>
      <c r="E62" s="51">
        <f t="shared" si="5"/>
        <v>236310</v>
      </c>
      <c r="F62" s="52">
        <f t="shared" si="6"/>
        <v>550720</v>
      </c>
      <c r="G62" s="52">
        <f t="shared" si="7"/>
        <v>264509</v>
      </c>
      <c r="H62" s="53">
        <f t="shared" si="8"/>
        <v>286211</v>
      </c>
      <c r="I62" s="53">
        <f t="shared" si="9"/>
        <v>211669</v>
      </c>
      <c r="J62" s="53">
        <f t="shared" si="10"/>
        <v>236310</v>
      </c>
      <c r="K62" s="50">
        <f t="shared" si="11"/>
        <v>52840</v>
      </c>
      <c r="L62" s="51">
        <f t="shared" si="12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hidden="1">
      <c r="A63" s="87" t="s">
        <v>222</v>
      </c>
      <c r="B63" s="598" t="s">
        <v>275</v>
      </c>
      <c r="C63" s="30" t="str">
        <f t="shared" si="4"/>
        <v xml:space="preserve">England – CCGs - Frimley </v>
      </c>
      <c r="D63" s="51">
        <f t="shared" si="5"/>
        <v>291456</v>
      </c>
      <c r="E63" s="51">
        <f t="shared" si="5"/>
        <v>305607</v>
      </c>
      <c r="F63" s="52">
        <f t="shared" si="6"/>
        <v>773481</v>
      </c>
      <c r="G63" s="52">
        <f t="shared" si="7"/>
        <v>382291</v>
      </c>
      <c r="H63" s="53">
        <f t="shared" si="8"/>
        <v>391190</v>
      </c>
      <c r="I63" s="53">
        <f t="shared" si="9"/>
        <v>291456</v>
      </c>
      <c r="J63" s="53">
        <f t="shared" si="10"/>
        <v>305607</v>
      </c>
      <c r="K63" s="50">
        <f t="shared" si="11"/>
        <v>90835</v>
      </c>
      <c r="L63" s="51">
        <f t="shared" si="12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hidden="1">
      <c r="A64" s="87" t="s">
        <v>222</v>
      </c>
      <c r="B64" s="598" t="s">
        <v>276</v>
      </c>
      <c r="C64" s="30" t="str">
        <f t="shared" si="4"/>
        <v xml:space="preserve">England – CCGs - Fylde and Wyre </v>
      </c>
      <c r="D64" s="51">
        <f t="shared" si="5"/>
        <v>79777</v>
      </c>
      <c r="E64" s="51">
        <f t="shared" si="5"/>
        <v>85496</v>
      </c>
      <c r="F64" s="52">
        <f t="shared" si="6"/>
        <v>200205</v>
      </c>
      <c r="G64" s="52">
        <f t="shared" si="7"/>
        <v>97647</v>
      </c>
      <c r="H64" s="53">
        <f t="shared" si="8"/>
        <v>102558</v>
      </c>
      <c r="I64" s="53">
        <f t="shared" si="9"/>
        <v>79777</v>
      </c>
      <c r="J64" s="53">
        <f t="shared" si="10"/>
        <v>85496</v>
      </c>
      <c r="K64" s="50">
        <f t="shared" si="11"/>
        <v>17870</v>
      </c>
      <c r="L64" s="51">
        <f t="shared" si="12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hidden="1">
      <c r="A65" s="87" t="s">
        <v>222</v>
      </c>
      <c r="B65" s="598" t="s">
        <v>277</v>
      </c>
      <c r="C65" s="30" t="str">
        <f t="shared" si="4"/>
        <v xml:space="preserve">England – CCGs - Gloucestershire </v>
      </c>
      <c r="D65" s="51">
        <f t="shared" si="5"/>
        <v>253430</v>
      </c>
      <c r="E65" s="51">
        <f t="shared" si="5"/>
        <v>270225</v>
      </c>
      <c r="F65" s="52">
        <f t="shared" si="6"/>
        <v>652409</v>
      </c>
      <c r="G65" s="52">
        <f t="shared" si="7"/>
        <v>318898</v>
      </c>
      <c r="H65" s="53">
        <f t="shared" si="8"/>
        <v>333511</v>
      </c>
      <c r="I65" s="53">
        <f t="shared" si="9"/>
        <v>253430</v>
      </c>
      <c r="J65" s="53">
        <f t="shared" si="10"/>
        <v>270225</v>
      </c>
      <c r="K65" s="50">
        <f t="shared" si="11"/>
        <v>65468</v>
      </c>
      <c r="L65" s="51">
        <f t="shared" si="12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hidden="1">
      <c r="A66" s="87" t="s">
        <v>222</v>
      </c>
      <c r="B66" s="598" t="s">
        <v>278</v>
      </c>
      <c r="C66" s="30" t="str">
        <f t="shared" si="4"/>
        <v xml:space="preserve">England – CCGs - Greater Preston </v>
      </c>
      <c r="D66" s="51">
        <f t="shared" si="5"/>
        <v>82261</v>
      </c>
      <c r="E66" s="51">
        <f t="shared" si="5"/>
        <v>84615</v>
      </c>
      <c r="F66" s="52">
        <f t="shared" si="6"/>
        <v>211590</v>
      </c>
      <c r="G66" s="52">
        <f t="shared" si="7"/>
        <v>105156</v>
      </c>
      <c r="H66" s="53">
        <f t="shared" si="8"/>
        <v>106434</v>
      </c>
      <c r="I66" s="53">
        <f t="shared" si="9"/>
        <v>82261</v>
      </c>
      <c r="J66" s="53">
        <f t="shared" si="10"/>
        <v>84615</v>
      </c>
      <c r="K66" s="50">
        <f t="shared" si="11"/>
        <v>22895</v>
      </c>
      <c r="L66" s="51">
        <f t="shared" si="12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hidden="1">
      <c r="A67" s="87" t="s">
        <v>222</v>
      </c>
      <c r="B67" s="598" t="s">
        <v>279</v>
      </c>
      <c r="C67" s="30" t="str">
        <f t="shared" si="4"/>
        <v xml:space="preserve">England – CCGs - Halton </v>
      </c>
      <c r="D67" s="51">
        <f t="shared" si="5"/>
        <v>49092</v>
      </c>
      <c r="E67" s="51">
        <f t="shared" si="5"/>
        <v>52326</v>
      </c>
      <c r="F67" s="52">
        <f t="shared" si="6"/>
        <v>128964</v>
      </c>
      <c r="G67" s="52">
        <f t="shared" si="7"/>
        <v>63227</v>
      </c>
      <c r="H67" s="53">
        <f t="shared" si="8"/>
        <v>65737</v>
      </c>
      <c r="I67" s="53">
        <f t="shared" si="9"/>
        <v>49092</v>
      </c>
      <c r="J67" s="53">
        <f t="shared" si="10"/>
        <v>52326</v>
      </c>
      <c r="K67" s="50">
        <f t="shared" si="11"/>
        <v>14135</v>
      </c>
      <c r="L67" s="51">
        <f t="shared" si="12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hidden="1">
      <c r="A68" s="87" t="s">
        <v>222</v>
      </c>
      <c r="B68" s="598" t="s">
        <v>280</v>
      </c>
      <c r="C68" s="30" t="str">
        <f t="shared" si="4"/>
        <v xml:space="preserve">England – CCGs - Hampshire, Southampton and Isle of Wight </v>
      </c>
      <c r="D68" s="51">
        <f t="shared" si="5"/>
        <v>635840</v>
      </c>
      <c r="E68" s="51">
        <f t="shared" si="5"/>
        <v>678433</v>
      </c>
      <c r="F68" s="52">
        <f t="shared" si="6"/>
        <v>1633632</v>
      </c>
      <c r="G68" s="52">
        <f t="shared" si="7"/>
        <v>799558</v>
      </c>
      <c r="H68" s="53">
        <f t="shared" si="8"/>
        <v>834074</v>
      </c>
      <c r="I68" s="53">
        <f t="shared" si="9"/>
        <v>635840</v>
      </c>
      <c r="J68" s="53">
        <f t="shared" si="10"/>
        <v>678433</v>
      </c>
      <c r="K68" s="50">
        <f t="shared" si="11"/>
        <v>163718</v>
      </c>
      <c r="L68" s="51">
        <f t="shared" si="12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hidden="1">
      <c r="A69" s="87" t="s">
        <v>222</v>
      </c>
      <c r="B69" s="598" t="s">
        <v>281</v>
      </c>
      <c r="C69" s="30" t="str">
        <f t="shared" si="4"/>
        <v xml:space="preserve">England – CCGs - Herefordshire and Worcestershire </v>
      </c>
      <c r="D69" s="51">
        <f t="shared" si="5"/>
        <v>311771</v>
      </c>
      <c r="E69" s="51">
        <f t="shared" si="5"/>
        <v>333199</v>
      </c>
      <c r="F69" s="52">
        <f t="shared" si="6"/>
        <v>797935</v>
      </c>
      <c r="G69" s="52">
        <f t="shared" si="7"/>
        <v>390507</v>
      </c>
      <c r="H69" s="53">
        <f t="shared" si="8"/>
        <v>407428</v>
      </c>
      <c r="I69" s="53">
        <f t="shared" si="9"/>
        <v>311771</v>
      </c>
      <c r="J69" s="53">
        <f t="shared" si="10"/>
        <v>333199</v>
      </c>
      <c r="K69" s="50">
        <f t="shared" si="11"/>
        <v>78736</v>
      </c>
      <c r="L69" s="51">
        <f t="shared" si="12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hidden="1">
      <c r="A70" s="87" t="s">
        <v>222</v>
      </c>
      <c r="B70" s="598" t="s">
        <v>282</v>
      </c>
      <c r="C70" s="30" t="str">
        <f t="shared" si="4"/>
        <v xml:space="preserve">England – CCGs - Herts Valleys </v>
      </c>
      <c r="D70" s="51">
        <f t="shared" si="5"/>
        <v>225346</v>
      </c>
      <c r="E70" s="51">
        <f t="shared" si="5"/>
        <v>243317</v>
      </c>
      <c r="F70" s="52">
        <f t="shared" si="6"/>
        <v>609741</v>
      </c>
      <c r="G70" s="52">
        <f t="shared" si="7"/>
        <v>297532</v>
      </c>
      <c r="H70" s="53">
        <f t="shared" si="8"/>
        <v>312209</v>
      </c>
      <c r="I70" s="53">
        <f t="shared" si="9"/>
        <v>225346</v>
      </c>
      <c r="J70" s="53">
        <f t="shared" si="10"/>
        <v>243317</v>
      </c>
      <c r="K70" s="50">
        <f t="shared" si="11"/>
        <v>72186</v>
      </c>
      <c r="L70" s="51">
        <f t="shared" si="12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hidden="1">
      <c r="A71" s="87" t="s">
        <v>222</v>
      </c>
      <c r="B71" s="598" t="s">
        <v>283</v>
      </c>
      <c r="C71" s="30" t="str">
        <f t="shared" si="4"/>
        <v xml:space="preserve">England – CCGs - Heywood, Middleton and Rochdale </v>
      </c>
      <c r="D71" s="51">
        <f t="shared" si="5"/>
        <v>82750</v>
      </c>
      <c r="E71" s="51">
        <f t="shared" si="5"/>
        <v>88568</v>
      </c>
      <c r="F71" s="52">
        <f t="shared" si="6"/>
        <v>226992</v>
      </c>
      <c r="G71" s="52">
        <f t="shared" si="7"/>
        <v>111355</v>
      </c>
      <c r="H71" s="53">
        <f t="shared" si="8"/>
        <v>115637</v>
      </c>
      <c r="I71" s="53">
        <f t="shared" si="9"/>
        <v>82750</v>
      </c>
      <c r="J71" s="53">
        <f t="shared" si="10"/>
        <v>88568</v>
      </c>
      <c r="K71" s="50">
        <f t="shared" si="11"/>
        <v>28605</v>
      </c>
      <c r="L71" s="51">
        <f t="shared" si="12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hidden="1">
      <c r="A72" s="87" t="s">
        <v>222</v>
      </c>
      <c r="B72" s="598" t="s">
        <v>284</v>
      </c>
      <c r="C72" s="30" t="str">
        <f t="shared" si="4"/>
        <v xml:space="preserve">England – CCGs - Hull </v>
      </c>
      <c r="D72" s="51">
        <f t="shared" si="5"/>
        <v>103768</v>
      </c>
      <c r="E72" s="51">
        <f t="shared" si="5"/>
        <v>104915</v>
      </c>
      <c r="F72" s="52">
        <f t="shared" si="6"/>
        <v>268852</v>
      </c>
      <c r="G72" s="52">
        <f t="shared" si="7"/>
        <v>134568</v>
      </c>
      <c r="H72" s="53">
        <f t="shared" si="8"/>
        <v>134284</v>
      </c>
      <c r="I72" s="53">
        <f t="shared" si="9"/>
        <v>103768</v>
      </c>
      <c r="J72" s="53">
        <f t="shared" si="10"/>
        <v>104915</v>
      </c>
      <c r="K72" s="50">
        <f t="shared" si="11"/>
        <v>30800</v>
      </c>
      <c r="L72" s="51">
        <f t="shared" si="12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hidden="1">
      <c r="A73" s="87" t="s">
        <v>222</v>
      </c>
      <c r="B73" s="598" t="s">
        <v>285</v>
      </c>
      <c r="C73" s="30" t="str">
        <f t="shared" si="4"/>
        <v xml:space="preserve">England – CCGs - Ipswich and East Suffolk </v>
      </c>
      <c r="D73" s="51">
        <f t="shared" si="5"/>
        <v>162999</v>
      </c>
      <c r="E73" s="51">
        <f t="shared" si="5"/>
        <v>170803</v>
      </c>
      <c r="F73" s="52">
        <f t="shared" si="6"/>
        <v>414449</v>
      </c>
      <c r="G73" s="52">
        <f t="shared" si="7"/>
        <v>204167</v>
      </c>
      <c r="H73" s="53">
        <f t="shared" si="8"/>
        <v>210282</v>
      </c>
      <c r="I73" s="53">
        <f t="shared" si="9"/>
        <v>162999</v>
      </c>
      <c r="J73" s="53">
        <f t="shared" si="10"/>
        <v>170803</v>
      </c>
      <c r="K73" s="50">
        <f t="shared" si="11"/>
        <v>41168</v>
      </c>
      <c r="L73" s="51">
        <f t="shared" si="12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hidden="1">
      <c r="A74" s="87" t="s">
        <v>222</v>
      </c>
      <c r="B74" s="598" t="s">
        <v>286</v>
      </c>
      <c r="C74" s="30" t="str">
        <f t="shared" si="4"/>
        <v xml:space="preserve">England – CCGs - Kent and Medway </v>
      </c>
      <c r="D74" s="51">
        <f t="shared" si="5"/>
        <v>705391</v>
      </c>
      <c r="E74" s="51">
        <f t="shared" si="5"/>
        <v>762802</v>
      </c>
      <c r="F74" s="52">
        <f t="shared" si="6"/>
        <v>1875893</v>
      </c>
      <c r="G74" s="52">
        <f t="shared" si="7"/>
        <v>914637</v>
      </c>
      <c r="H74" s="53">
        <f t="shared" si="8"/>
        <v>961256</v>
      </c>
      <c r="I74" s="53">
        <f t="shared" si="9"/>
        <v>705391</v>
      </c>
      <c r="J74" s="53">
        <f t="shared" si="10"/>
        <v>762802</v>
      </c>
      <c r="K74" s="50">
        <f t="shared" si="11"/>
        <v>209246</v>
      </c>
      <c r="L74" s="51">
        <f t="shared" si="12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hidden="1">
      <c r="A75" s="87" t="s">
        <v>222</v>
      </c>
      <c r="B75" s="598" t="s">
        <v>287</v>
      </c>
      <c r="C75" s="30" t="str">
        <f t="shared" si="4"/>
        <v xml:space="preserve">England – CCGs - Kernow </v>
      </c>
      <c r="D75" s="51">
        <f t="shared" si="5"/>
        <v>226093</v>
      </c>
      <c r="E75" s="51">
        <f t="shared" si="5"/>
        <v>245842</v>
      </c>
      <c r="F75" s="52">
        <f t="shared" si="6"/>
        <v>577694</v>
      </c>
      <c r="G75" s="52">
        <f t="shared" si="7"/>
        <v>280361</v>
      </c>
      <c r="H75" s="53">
        <f t="shared" si="8"/>
        <v>297333</v>
      </c>
      <c r="I75" s="53">
        <f t="shared" si="9"/>
        <v>226093</v>
      </c>
      <c r="J75" s="53">
        <f t="shared" si="10"/>
        <v>245842</v>
      </c>
      <c r="K75" s="50">
        <f t="shared" si="11"/>
        <v>54268</v>
      </c>
      <c r="L75" s="51">
        <f t="shared" si="12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hidden="1">
      <c r="A76" s="87" t="s">
        <v>222</v>
      </c>
      <c r="B76" s="598" t="s">
        <v>288</v>
      </c>
      <c r="C76" s="30" t="str">
        <f t="shared" si="4"/>
        <v xml:space="preserve">England – CCGs - Kirklees </v>
      </c>
      <c r="D76" s="51">
        <f t="shared" si="5"/>
        <v>164518</v>
      </c>
      <c r="E76" s="51">
        <f t="shared" si="5"/>
        <v>174599</v>
      </c>
      <c r="F76" s="52">
        <f t="shared" si="6"/>
        <v>437593</v>
      </c>
      <c r="G76" s="52">
        <f t="shared" si="7"/>
        <v>215001</v>
      </c>
      <c r="H76" s="53">
        <f t="shared" si="8"/>
        <v>222592</v>
      </c>
      <c r="I76" s="53">
        <f t="shared" si="9"/>
        <v>164518</v>
      </c>
      <c r="J76" s="53">
        <f t="shared" si="10"/>
        <v>174599</v>
      </c>
      <c r="K76" s="50">
        <f t="shared" si="11"/>
        <v>50483</v>
      </c>
      <c r="L76" s="51">
        <f t="shared" si="12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hidden="1">
      <c r="A77" s="87" t="s">
        <v>222</v>
      </c>
      <c r="B77" s="598" t="s">
        <v>289</v>
      </c>
      <c r="C77" s="30" t="str">
        <f t="shared" si="4"/>
        <v xml:space="preserve">England – CCGs - Knowsley </v>
      </c>
      <c r="D77" s="51">
        <f t="shared" si="5"/>
        <v>57340</v>
      </c>
      <c r="E77" s="51">
        <f t="shared" si="5"/>
        <v>64955</v>
      </c>
      <c r="F77" s="52">
        <f t="shared" si="6"/>
        <v>157103</v>
      </c>
      <c r="G77" s="52">
        <f t="shared" si="7"/>
        <v>75222</v>
      </c>
      <c r="H77" s="53">
        <f t="shared" si="8"/>
        <v>81881</v>
      </c>
      <c r="I77" s="53">
        <f t="shared" si="9"/>
        <v>57340</v>
      </c>
      <c r="J77" s="53">
        <f t="shared" si="10"/>
        <v>64955</v>
      </c>
      <c r="K77" s="50">
        <f t="shared" si="11"/>
        <v>17882</v>
      </c>
      <c r="L77" s="51">
        <f t="shared" si="12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hidden="1">
      <c r="A78" s="87" t="s">
        <v>222</v>
      </c>
      <c r="B78" s="598" t="s">
        <v>290</v>
      </c>
      <c r="C78" s="30" t="str">
        <f t="shared" si="4"/>
        <v xml:space="preserve">England – CCGs - Leeds </v>
      </c>
      <c r="D78" s="51">
        <f t="shared" si="5"/>
        <v>313860</v>
      </c>
      <c r="E78" s="51">
        <f t="shared" si="5"/>
        <v>335972</v>
      </c>
      <c r="F78" s="52">
        <f t="shared" si="6"/>
        <v>822483</v>
      </c>
      <c r="G78" s="52">
        <f t="shared" si="7"/>
        <v>402324</v>
      </c>
      <c r="H78" s="53">
        <f t="shared" si="8"/>
        <v>420159</v>
      </c>
      <c r="I78" s="53">
        <f t="shared" si="9"/>
        <v>313860</v>
      </c>
      <c r="J78" s="53">
        <f t="shared" si="10"/>
        <v>335972</v>
      </c>
      <c r="K78" s="50">
        <f t="shared" si="11"/>
        <v>88464</v>
      </c>
      <c r="L78" s="51">
        <f t="shared" si="12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hidden="1">
      <c r="A79" s="87" t="s">
        <v>222</v>
      </c>
      <c r="B79" s="598" t="s">
        <v>291</v>
      </c>
      <c r="C79" s="30" t="str">
        <f t="shared" si="4"/>
        <v xml:space="preserve">England – CCGs - Leicester City </v>
      </c>
      <c r="D79" s="51">
        <f t="shared" si="5"/>
        <v>140844</v>
      </c>
      <c r="E79" s="51">
        <f t="shared" si="5"/>
        <v>144720</v>
      </c>
      <c r="F79" s="52">
        <f t="shared" si="6"/>
        <v>373399</v>
      </c>
      <c r="G79" s="52">
        <f t="shared" si="7"/>
        <v>186254</v>
      </c>
      <c r="H79" s="53">
        <f t="shared" si="8"/>
        <v>187145</v>
      </c>
      <c r="I79" s="53">
        <f t="shared" si="9"/>
        <v>140844</v>
      </c>
      <c r="J79" s="53">
        <f t="shared" si="10"/>
        <v>144720</v>
      </c>
      <c r="K79" s="50">
        <f t="shared" si="11"/>
        <v>45410</v>
      </c>
      <c r="L79" s="51">
        <f t="shared" si="12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hidden="1">
      <c r="A80" s="87" t="s">
        <v>222</v>
      </c>
      <c r="B80" s="598" t="s">
        <v>292</v>
      </c>
      <c r="C80" s="30" t="str">
        <f t="shared" si="4"/>
        <v xml:space="preserve">England – CCGs - Lincolnshire </v>
      </c>
      <c r="D80" s="51">
        <f t="shared" si="5"/>
        <v>305377</v>
      </c>
      <c r="E80" s="51">
        <f t="shared" si="5"/>
        <v>324135</v>
      </c>
      <c r="F80" s="52">
        <f t="shared" si="6"/>
        <v>775524</v>
      </c>
      <c r="G80" s="52">
        <f t="shared" si="7"/>
        <v>380037</v>
      </c>
      <c r="H80" s="53">
        <f t="shared" si="8"/>
        <v>395487</v>
      </c>
      <c r="I80" s="53">
        <f t="shared" si="9"/>
        <v>305377</v>
      </c>
      <c r="J80" s="53">
        <f t="shared" si="10"/>
        <v>324135</v>
      </c>
      <c r="K80" s="50">
        <f t="shared" si="11"/>
        <v>74660</v>
      </c>
      <c r="L80" s="51">
        <f t="shared" si="12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hidden="1">
      <c r="A81" s="87" t="s">
        <v>222</v>
      </c>
      <c r="B81" s="598" t="s">
        <v>293</v>
      </c>
      <c r="C81" s="30" t="str">
        <f t="shared" si="4"/>
        <v xml:space="preserve">England – CCGs - Liverpool </v>
      </c>
      <c r="D81" s="51">
        <f t="shared" si="5"/>
        <v>194715</v>
      </c>
      <c r="E81" s="51">
        <f t="shared" si="5"/>
        <v>207573</v>
      </c>
      <c r="F81" s="52">
        <f t="shared" si="6"/>
        <v>496770</v>
      </c>
      <c r="G81" s="52">
        <f t="shared" si="7"/>
        <v>243137</v>
      </c>
      <c r="H81" s="53">
        <f t="shared" si="8"/>
        <v>253633</v>
      </c>
      <c r="I81" s="53">
        <f t="shared" si="9"/>
        <v>194715</v>
      </c>
      <c r="J81" s="53">
        <f t="shared" si="10"/>
        <v>207573</v>
      </c>
      <c r="K81" s="50">
        <f t="shared" si="11"/>
        <v>48422</v>
      </c>
      <c r="L81" s="51">
        <f t="shared" si="12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hidden="1">
      <c r="A82" s="87" t="s">
        <v>222</v>
      </c>
      <c r="B82" s="598" t="s">
        <v>294</v>
      </c>
      <c r="C82" s="30" t="str">
        <f t="shared" si="4"/>
        <v xml:space="preserve">England – CCGs - Manchester </v>
      </c>
      <c r="D82" s="51">
        <f t="shared" si="5"/>
        <v>217609</v>
      </c>
      <c r="E82" s="51">
        <f t="shared" si="5"/>
        <v>223000</v>
      </c>
      <c r="F82" s="52">
        <f t="shared" si="6"/>
        <v>568996</v>
      </c>
      <c r="G82" s="52">
        <f t="shared" si="7"/>
        <v>282913</v>
      </c>
      <c r="H82" s="53">
        <f t="shared" si="8"/>
        <v>286083</v>
      </c>
      <c r="I82" s="53">
        <f t="shared" si="9"/>
        <v>217609</v>
      </c>
      <c r="J82" s="53">
        <f t="shared" si="10"/>
        <v>223000</v>
      </c>
      <c r="K82" s="50">
        <f t="shared" si="11"/>
        <v>65304</v>
      </c>
      <c r="L82" s="51">
        <f t="shared" si="12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hidden="1">
      <c r="A83" s="87" t="s">
        <v>222</v>
      </c>
      <c r="B83" s="598" t="s">
        <v>295</v>
      </c>
      <c r="C83" s="30" t="str">
        <f t="shared" si="4"/>
        <v xml:space="preserve">England – CCGs - Mid Essex </v>
      </c>
      <c r="D83" s="51">
        <f t="shared" si="5"/>
        <v>156868</v>
      </c>
      <c r="E83" s="51">
        <f t="shared" si="5"/>
        <v>167704</v>
      </c>
      <c r="F83" s="52">
        <f t="shared" si="6"/>
        <v>408561</v>
      </c>
      <c r="G83" s="52">
        <f t="shared" si="7"/>
        <v>199952</v>
      </c>
      <c r="H83" s="53">
        <f t="shared" si="8"/>
        <v>208609</v>
      </c>
      <c r="I83" s="53">
        <f t="shared" si="9"/>
        <v>156868</v>
      </c>
      <c r="J83" s="53">
        <f t="shared" si="10"/>
        <v>167704</v>
      </c>
      <c r="K83" s="50">
        <f t="shared" si="11"/>
        <v>43084</v>
      </c>
      <c r="L83" s="51">
        <f t="shared" si="12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hidden="1">
      <c r="A84" s="87" t="s">
        <v>222</v>
      </c>
      <c r="B84" s="598" t="s">
        <v>296</v>
      </c>
      <c r="C84" s="30" t="str">
        <f t="shared" si="4"/>
        <v xml:space="preserve">England – CCGs - Morecambe Bay </v>
      </c>
      <c r="D84" s="51">
        <f t="shared" si="5"/>
        <v>132762</v>
      </c>
      <c r="E84" s="51">
        <f t="shared" si="5"/>
        <v>139899</v>
      </c>
      <c r="F84" s="52">
        <f t="shared" si="6"/>
        <v>331197</v>
      </c>
      <c r="G84" s="52">
        <f t="shared" si="7"/>
        <v>162689</v>
      </c>
      <c r="H84" s="53">
        <f t="shared" si="8"/>
        <v>168508</v>
      </c>
      <c r="I84" s="53">
        <f t="shared" si="9"/>
        <v>132762</v>
      </c>
      <c r="J84" s="53">
        <f t="shared" si="10"/>
        <v>139899</v>
      </c>
      <c r="K84" s="50">
        <f t="shared" si="11"/>
        <v>29927</v>
      </c>
      <c r="L84" s="51">
        <f t="shared" si="12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hidden="1">
      <c r="A85" s="87" t="s">
        <v>222</v>
      </c>
      <c r="B85" s="598" t="s">
        <v>297</v>
      </c>
      <c r="C85" s="30" t="str">
        <f t="shared" si="4"/>
        <v xml:space="preserve">England – CCGs - Newcastle Gateshead </v>
      </c>
      <c r="D85" s="51">
        <f t="shared" si="5"/>
        <v>199650</v>
      </c>
      <c r="E85" s="51">
        <f t="shared" si="5"/>
        <v>207359</v>
      </c>
      <c r="F85" s="52">
        <f t="shared" si="6"/>
        <v>505287</v>
      </c>
      <c r="G85" s="52">
        <f t="shared" si="7"/>
        <v>249878</v>
      </c>
      <c r="H85" s="53">
        <f t="shared" si="8"/>
        <v>255409</v>
      </c>
      <c r="I85" s="53">
        <f t="shared" si="9"/>
        <v>199650</v>
      </c>
      <c r="J85" s="53">
        <f t="shared" si="10"/>
        <v>207359</v>
      </c>
      <c r="K85" s="50">
        <f t="shared" si="11"/>
        <v>50228</v>
      </c>
      <c r="L85" s="51">
        <f t="shared" si="12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hidden="1">
      <c r="A86" s="87" t="s">
        <v>222</v>
      </c>
      <c r="B86" s="598" t="s">
        <v>298</v>
      </c>
      <c r="C86" s="30" t="str">
        <f t="shared" si="4"/>
        <v xml:space="preserve">England – CCGs - Norfolk and Waveney </v>
      </c>
      <c r="D86" s="51">
        <f t="shared" si="5"/>
        <v>413052</v>
      </c>
      <c r="E86" s="51">
        <f t="shared" si="5"/>
        <v>438783</v>
      </c>
      <c r="F86" s="52">
        <f t="shared" si="6"/>
        <v>1041932</v>
      </c>
      <c r="G86" s="52">
        <f t="shared" si="7"/>
        <v>510572</v>
      </c>
      <c r="H86" s="53">
        <f t="shared" si="8"/>
        <v>531360</v>
      </c>
      <c r="I86" s="53">
        <f t="shared" si="9"/>
        <v>413052</v>
      </c>
      <c r="J86" s="53">
        <f t="shared" si="10"/>
        <v>438783</v>
      </c>
      <c r="K86" s="50">
        <f t="shared" si="11"/>
        <v>97520</v>
      </c>
      <c r="L86" s="51">
        <f t="shared" si="12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hidden="1">
      <c r="A87" s="87" t="s">
        <v>222</v>
      </c>
      <c r="B87" s="598" t="s">
        <v>299</v>
      </c>
      <c r="C87" s="30" t="str">
        <f t="shared" si="4"/>
        <v xml:space="preserve">England – CCGs - North Central London </v>
      </c>
      <c r="D87" s="51">
        <f t="shared" si="5"/>
        <v>525382</v>
      </c>
      <c r="E87" s="51">
        <f t="shared" si="5"/>
        <v>593171</v>
      </c>
      <c r="F87" s="52">
        <f t="shared" si="6"/>
        <v>1416558</v>
      </c>
      <c r="G87" s="52">
        <f t="shared" si="7"/>
        <v>677387</v>
      </c>
      <c r="H87" s="53">
        <f t="shared" si="8"/>
        <v>739171</v>
      </c>
      <c r="I87" s="53">
        <f t="shared" si="9"/>
        <v>525382</v>
      </c>
      <c r="J87" s="53">
        <f t="shared" si="10"/>
        <v>593171</v>
      </c>
      <c r="K87" s="50">
        <f t="shared" si="11"/>
        <v>152005</v>
      </c>
      <c r="L87" s="51">
        <f t="shared" si="12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hidden="1">
      <c r="A88" s="87" t="s">
        <v>222</v>
      </c>
      <c r="B88" s="598" t="s">
        <v>300</v>
      </c>
      <c r="C88" s="30" t="str">
        <f t="shared" si="4"/>
        <v xml:space="preserve">England – CCGs - North Cumbria </v>
      </c>
      <c r="D88" s="51">
        <f t="shared" si="5"/>
        <v>128441</v>
      </c>
      <c r="E88" s="51">
        <f t="shared" si="5"/>
        <v>134791</v>
      </c>
      <c r="F88" s="52">
        <f t="shared" si="6"/>
        <v>322479</v>
      </c>
      <c r="G88" s="52">
        <f t="shared" si="7"/>
        <v>158765</v>
      </c>
      <c r="H88" s="53">
        <f t="shared" si="8"/>
        <v>163714</v>
      </c>
      <c r="I88" s="53">
        <f t="shared" si="9"/>
        <v>128441</v>
      </c>
      <c r="J88" s="53">
        <f t="shared" si="10"/>
        <v>134791</v>
      </c>
      <c r="K88" s="50">
        <f t="shared" si="11"/>
        <v>30324</v>
      </c>
      <c r="L88" s="51">
        <f t="shared" si="12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hidden="1">
      <c r="A89" s="87" t="s">
        <v>222</v>
      </c>
      <c r="B89" s="598" t="s">
        <v>301</v>
      </c>
      <c r="C89" s="30" t="str">
        <f t="shared" si="4"/>
        <v xml:space="preserve">England – CCGs - North East Essex </v>
      </c>
      <c r="D89" s="51">
        <f t="shared" si="5"/>
        <v>133386</v>
      </c>
      <c r="E89" s="51">
        <f t="shared" si="5"/>
        <v>144225</v>
      </c>
      <c r="F89" s="52">
        <f t="shared" si="6"/>
        <v>345845</v>
      </c>
      <c r="G89" s="52">
        <f t="shared" si="7"/>
        <v>168263</v>
      </c>
      <c r="H89" s="53">
        <f t="shared" si="8"/>
        <v>177582</v>
      </c>
      <c r="I89" s="53">
        <f t="shared" si="9"/>
        <v>133386</v>
      </c>
      <c r="J89" s="53">
        <f t="shared" si="10"/>
        <v>144225</v>
      </c>
      <c r="K89" s="50">
        <f t="shared" si="11"/>
        <v>34877</v>
      </c>
      <c r="L89" s="51">
        <f t="shared" si="12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hidden="1">
      <c r="A90" s="87" t="s">
        <v>222</v>
      </c>
      <c r="B90" s="598" t="s">
        <v>302</v>
      </c>
      <c r="C90" s="30" t="str">
        <f t="shared" si="4"/>
        <v xml:space="preserve">England – CCGs - North East Lincolnshire </v>
      </c>
      <c r="D90" s="51">
        <f t="shared" si="5"/>
        <v>60371</v>
      </c>
      <c r="E90" s="51">
        <f t="shared" si="5"/>
        <v>64235</v>
      </c>
      <c r="F90" s="52">
        <f t="shared" si="6"/>
        <v>157754</v>
      </c>
      <c r="G90" s="52">
        <f t="shared" si="7"/>
        <v>77352</v>
      </c>
      <c r="H90" s="53">
        <f t="shared" si="8"/>
        <v>80402</v>
      </c>
      <c r="I90" s="53">
        <f t="shared" si="9"/>
        <v>60371</v>
      </c>
      <c r="J90" s="53">
        <f t="shared" si="10"/>
        <v>64235</v>
      </c>
      <c r="K90" s="50">
        <f t="shared" si="11"/>
        <v>16981</v>
      </c>
      <c r="L90" s="51">
        <f t="shared" si="12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hidden="1">
      <c r="A91" s="87" t="s">
        <v>222</v>
      </c>
      <c r="B91" s="598" t="s">
        <v>303</v>
      </c>
      <c r="C91" s="30" t="str">
        <f t="shared" si="4"/>
        <v xml:space="preserve">England – CCGs - North East London </v>
      </c>
      <c r="D91" s="51">
        <f t="shared" ref="D91:E134" si="13">I91</f>
        <v>760944</v>
      </c>
      <c r="E91" s="51">
        <f t="shared" si="13"/>
        <v>800228</v>
      </c>
      <c r="F91" s="52">
        <f t="shared" si="6"/>
        <v>2028265</v>
      </c>
      <c r="G91" s="52">
        <f t="shared" si="7"/>
        <v>998819</v>
      </c>
      <c r="H91" s="53">
        <f t="shared" si="8"/>
        <v>1029446</v>
      </c>
      <c r="I91" s="53">
        <f t="shared" si="9"/>
        <v>760944</v>
      </c>
      <c r="J91" s="53">
        <f t="shared" si="10"/>
        <v>800228</v>
      </c>
      <c r="K91" s="50">
        <f t="shared" si="11"/>
        <v>237875</v>
      </c>
      <c r="L91" s="51">
        <f t="shared" si="12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hidden="1">
      <c r="A92" s="87" t="s">
        <v>222</v>
      </c>
      <c r="B92" s="598" t="s">
        <v>304</v>
      </c>
      <c r="C92" s="30" t="str">
        <f t="shared" si="4"/>
        <v xml:space="preserve">England – CCGs - North Lincolnshire </v>
      </c>
      <c r="D92" s="51">
        <f t="shared" si="13"/>
        <v>66371</v>
      </c>
      <c r="E92" s="51">
        <f t="shared" si="13"/>
        <v>69310</v>
      </c>
      <c r="F92" s="52">
        <f t="shared" si="6"/>
        <v>170042</v>
      </c>
      <c r="G92" s="52">
        <f t="shared" si="7"/>
        <v>83843</v>
      </c>
      <c r="H92" s="53">
        <f t="shared" si="8"/>
        <v>86199</v>
      </c>
      <c r="I92" s="53">
        <f t="shared" si="9"/>
        <v>66371</v>
      </c>
      <c r="J92" s="53">
        <f t="shared" si="10"/>
        <v>69310</v>
      </c>
      <c r="K92" s="50">
        <f t="shared" si="11"/>
        <v>17472</v>
      </c>
      <c r="L92" s="51">
        <f t="shared" si="12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hidden="1">
      <c r="A93" s="87" t="s">
        <v>222</v>
      </c>
      <c r="B93" s="598" t="s">
        <v>305</v>
      </c>
      <c r="C93" s="30" t="str">
        <f t="shared" ref="C93:C134" si="14">CONCATENATE(A93," - ",B93)</f>
        <v xml:space="preserve">England – CCGs - North Staffordshire </v>
      </c>
      <c r="D93" s="51">
        <f t="shared" si="13"/>
        <v>84689</v>
      </c>
      <c r="E93" s="51">
        <f t="shared" si="13"/>
        <v>89801</v>
      </c>
      <c r="F93" s="52">
        <f t="shared" si="6"/>
        <v>213148</v>
      </c>
      <c r="G93" s="52">
        <f t="shared" si="7"/>
        <v>104607</v>
      </c>
      <c r="H93" s="53">
        <f t="shared" si="8"/>
        <v>108541</v>
      </c>
      <c r="I93" s="53">
        <f t="shared" si="9"/>
        <v>84689</v>
      </c>
      <c r="J93" s="53">
        <f t="shared" si="10"/>
        <v>89801</v>
      </c>
      <c r="K93" s="50">
        <f t="shared" si="11"/>
        <v>19918</v>
      </c>
      <c r="L93" s="51">
        <f t="shared" si="12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hidden="1">
      <c r="A94" s="87" t="s">
        <v>222</v>
      </c>
      <c r="B94" s="598" t="s">
        <v>306</v>
      </c>
      <c r="C94" s="30" t="str">
        <f t="shared" si="14"/>
        <v xml:space="preserve">England – CCGs - North Tyneside </v>
      </c>
      <c r="D94" s="51">
        <f t="shared" si="13"/>
        <v>80464</v>
      </c>
      <c r="E94" s="51">
        <f t="shared" si="13"/>
        <v>87929</v>
      </c>
      <c r="F94" s="52">
        <f t="shared" si="6"/>
        <v>210487</v>
      </c>
      <c r="G94" s="52">
        <f t="shared" si="7"/>
        <v>102303</v>
      </c>
      <c r="H94" s="53">
        <f t="shared" si="8"/>
        <v>108184</v>
      </c>
      <c r="I94" s="53">
        <f t="shared" si="9"/>
        <v>80464</v>
      </c>
      <c r="J94" s="53">
        <f t="shared" si="10"/>
        <v>87929</v>
      </c>
      <c r="K94" s="50">
        <f t="shared" si="11"/>
        <v>21839</v>
      </c>
      <c r="L94" s="51">
        <f t="shared" si="12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hidden="1">
      <c r="A95" s="87" t="s">
        <v>222</v>
      </c>
      <c r="B95" s="598" t="s">
        <v>307</v>
      </c>
      <c r="C95" s="30" t="str">
        <f t="shared" si="14"/>
        <v xml:space="preserve">England – CCGs - North West London </v>
      </c>
      <c r="D95" s="51">
        <f t="shared" si="13"/>
        <v>811699</v>
      </c>
      <c r="E95" s="51">
        <f t="shared" si="13"/>
        <v>867923</v>
      </c>
      <c r="F95" s="52">
        <f t="shared" ref="F95:F134" si="15">G95+H95</f>
        <v>2116269</v>
      </c>
      <c r="G95" s="52">
        <f t="shared" ref="G95:G134" si="16">SUM(M95:CY95)</f>
        <v>1035418</v>
      </c>
      <c r="H95" s="53">
        <f t="shared" ref="H95:H134" si="17">SUM(CZ95:GL95)</f>
        <v>1080851</v>
      </c>
      <c r="I95" s="53">
        <f t="shared" ref="I95:I134" si="18">SUM(AE95:CY95)</f>
        <v>811699</v>
      </c>
      <c r="J95" s="53">
        <f t="shared" ref="J95:J134" si="19">SUM(DR95:GL95)</f>
        <v>867923</v>
      </c>
      <c r="K95" s="50">
        <f t="shared" ref="K95:K134" si="20">SUM(M95:AD95)</f>
        <v>223719</v>
      </c>
      <c r="L95" s="51">
        <f t="shared" ref="L95:L134" si="21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hidden="1">
      <c r="A96" s="87" t="s">
        <v>222</v>
      </c>
      <c r="B96" s="598" t="s">
        <v>308</v>
      </c>
      <c r="C96" s="30" t="str">
        <f t="shared" si="14"/>
        <v xml:space="preserve">England – CCGs - North Yorkshire </v>
      </c>
      <c r="D96" s="51">
        <f t="shared" si="13"/>
        <v>170980</v>
      </c>
      <c r="E96" s="51">
        <f t="shared" si="13"/>
        <v>180877</v>
      </c>
      <c r="F96" s="52">
        <f t="shared" si="15"/>
        <v>430179</v>
      </c>
      <c r="G96" s="52">
        <f t="shared" si="16"/>
        <v>211387</v>
      </c>
      <c r="H96" s="53">
        <f t="shared" si="17"/>
        <v>218792</v>
      </c>
      <c r="I96" s="53">
        <f t="shared" si="18"/>
        <v>170980</v>
      </c>
      <c r="J96" s="53">
        <f t="shared" si="19"/>
        <v>180877</v>
      </c>
      <c r="K96" s="50">
        <f t="shared" si="20"/>
        <v>40407</v>
      </c>
      <c r="L96" s="51">
        <f t="shared" si="21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hidden="1">
      <c r="A97" s="87" t="s">
        <v>222</v>
      </c>
      <c r="B97" s="598" t="s">
        <v>309</v>
      </c>
      <c r="C97" s="30" t="str">
        <f t="shared" si="14"/>
        <v xml:space="preserve">England – CCGs - Northamptonshire </v>
      </c>
      <c r="D97" s="51">
        <f t="shared" si="13"/>
        <v>296036</v>
      </c>
      <c r="E97" s="51">
        <f t="shared" si="13"/>
        <v>309301</v>
      </c>
      <c r="F97" s="52">
        <f t="shared" si="15"/>
        <v>775246</v>
      </c>
      <c r="G97" s="52">
        <f t="shared" si="16"/>
        <v>382651</v>
      </c>
      <c r="H97" s="53">
        <f t="shared" si="17"/>
        <v>392595</v>
      </c>
      <c r="I97" s="53">
        <f t="shared" si="18"/>
        <v>296036</v>
      </c>
      <c r="J97" s="53">
        <f t="shared" si="19"/>
        <v>309301</v>
      </c>
      <c r="K97" s="50">
        <f t="shared" si="20"/>
        <v>86615</v>
      </c>
      <c r="L97" s="51">
        <f t="shared" si="21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hidden="1">
      <c r="A98" s="87" t="s">
        <v>222</v>
      </c>
      <c r="B98" s="598" t="s">
        <v>310</v>
      </c>
      <c r="C98" s="30" t="str">
        <f t="shared" si="14"/>
        <v xml:space="preserve">England – CCGs - Northumberland </v>
      </c>
      <c r="D98" s="51">
        <f t="shared" si="13"/>
        <v>128234</v>
      </c>
      <c r="E98" s="51">
        <f t="shared" si="13"/>
        <v>137538</v>
      </c>
      <c r="F98" s="52">
        <f t="shared" si="15"/>
        <v>324362</v>
      </c>
      <c r="G98" s="52">
        <f t="shared" si="16"/>
        <v>158454</v>
      </c>
      <c r="H98" s="53">
        <f t="shared" si="17"/>
        <v>165908</v>
      </c>
      <c r="I98" s="53">
        <f t="shared" si="18"/>
        <v>128234</v>
      </c>
      <c r="J98" s="53">
        <f t="shared" si="19"/>
        <v>137538</v>
      </c>
      <c r="K98" s="50">
        <f t="shared" si="20"/>
        <v>30220</v>
      </c>
      <c r="L98" s="51">
        <f t="shared" si="21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hidden="1">
      <c r="A99" s="87" t="s">
        <v>222</v>
      </c>
      <c r="B99" s="598" t="s">
        <v>311</v>
      </c>
      <c r="C99" s="30" t="str">
        <f t="shared" si="14"/>
        <v xml:space="preserve">England – CCGs - Nottingham and Nottinghamshire </v>
      </c>
      <c r="D99" s="51">
        <f t="shared" si="13"/>
        <v>404579</v>
      </c>
      <c r="E99" s="51">
        <f t="shared" si="13"/>
        <v>429003</v>
      </c>
      <c r="F99" s="52">
        <f t="shared" si="15"/>
        <v>1043323</v>
      </c>
      <c r="G99" s="52">
        <f t="shared" si="16"/>
        <v>511972</v>
      </c>
      <c r="H99" s="53">
        <f t="shared" si="17"/>
        <v>531351</v>
      </c>
      <c r="I99" s="53">
        <f t="shared" si="18"/>
        <v>404579</v>
      </c>
      <c r="J99" s="53">
        <f t="shared" si="19"/>
        <v>429003</v>
      </c>
      <c r="K99" s="50">
        <f t="shared" si="20"/>
        <v>107393</v>
      </c>
      <c r="L99" s="51">
        <f t="shared" si="21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hidden="1">
      <c r="A100" s="87" t="s">
        <v>222</v>
      </c>
      <c r="B100" s="598" t="s">
        <v>312</v>
      </c>
      <c r="C100" s="30" t="str">
        <f t="shared" si="14"/>
        <v xml:space="preserve">England – CCGs - Oldham </v>
      </c>
      <c r="D100" s="51">
        <f t="shared" si="13"/>
        <v>87601</v>
      </c>
      <c r="E100" s="51">
        <f t="shared" si="13"/>
        <v>93872</v>
      </c>
      <c r="F100" s="52">
        <f t="shared" si="15"/>
        <v>243912</v>
      </c>
      <c r="G100" s="52">
        <f t="shared" si="16"/>
        <v>119371</v>
      </c>
      <c r="H100" s="53">
        <f t="shared" si="17"/>
        <v>124541</v>
      </c>
      <c r="I100" s="53">
        <f t="shared" si="18"/>
        <v>87601</v>
      </c>
      <c r="J100" s="53">
        <f t="shared" si="19"/>
        <v>93872</v>
      </c>
      <c r="K100" s="50">
        <f t="shared" si="20"/>
        <v>31770</v>
      </c>
      <c r="L100" s="51">
        <f t="shared" si="21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hidden="1">
      <c r="A101" s="87" t="s">
        <v>222</v>
      </c>
      <c r="B101" s="598" t="s">
        <v>313</v>
      </c>
      <c r="C101" s="30" t="str">
        <f t="shared" si="14"/>
        <v xml:space="preserve">England – CCGs - Oxfordshire </v>
      </c>
      <c r="D101" s="51">
        <f t="shared" si="13"/>
        <v>281211</v>
      </c>
      <c r="E101" s="51">
        <f t="shared" si="13"/>
        <v>294623</v>
      </c>
      <c r="F101" s="52">
        <f t="shared" si="15"/>
        <v>721245</v>
      </c>
      <c r="G101" s="52">
        <f t="shared" si="16"/>
        <v>356252</v>
      </c>
      <c r="H101" s="53">
        <f t="shared" si="17"/>
        <v>364993</v>
      </c>
      <c r="I101" s="53">
        <f t="shared" si="18"/>
        <v>281211</v>
      </c>
      <c r="J101" s="53">
        <f t="shared" si="19"/>
        <v>294623</v>
      </c>
      <c r="K101" s="50">
        <f t="shared" si="20"/>
        <v>75041</v>
      </c>
      <c r="L101" s="51">
        <f t="shared" si="21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hidden="1">
      <c r="A102" s="87" t="s">
        <v>222</v>
      </c>
      <c r="B102" s="598" t="s">
        <v>314</v>
      </c>
      <c r="C102" s="30" t="str">
        <f t="shared" si="14"/>
        <v xml:space="preserve">England – CCGs - Portsmouth </v>
      </c>
      <c r="D102" s="51">
        <f t="shared" si="13"/>
        <v>82264</v>
      </c>
      <c r="E102" s="51">
        <f t="shared" si="13"/>
        <v>84108</v>
      </c>
      <c r="F102" s="52">
        <f t="shared" si="15"/>
        <v>208420</v>
      </c>
      <c r="G102" s="52">
        <f t="shared" si="16"/>
        <v>103763</v>
      </c>
      <c r="H102" s="53">
        <f t="shared" si="17"/>
        <v>104657</v>
      </c>
      <c r="I102" s="53">
        <f t="shared" si="18"/>
        <v>82264</v>
      </c>
      <c r="J102" s="53">
        <f t="shared" si="19"/>
        <v>84108</v>
      </c>
      <c r="K102" s="50">
        <f t="shared" si="20"/>
        <v>21499</v>
      </c>
      <c r="L102" s="51">
        <f t="shared" si="21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hidden="1">
      <c r="A103" s="87" t="s">
        <v>222</v>
      </c>
      <c r="B103" s="598" t="s">
        <v>315</v>
      </c>
      <c r="C103" s="30" t="str">
        <f t="shared" si="14"/>
        <v xml:space="preserve">England – CCGs - Rotherham </v>
      </c>
      <c r="D103" s="51">
        <f t="shared" si="13"/>
        <v>102546</v>
      </c>
      <c r="E103" s="51">
        <f t="shared" si="13"/>
        <v>108578</v>
      </c>
      <c r="F103" s="52">
        <f t="shared" si="15"/>
        <v>268354</v>
      </c>
      <c r="G103" s="52">
        <f t="shared" si="16"/>
        <v>131784</v>
      </c>
      <c r="H103" s="53">
        <f t="shared" si="17"/>
        <v>136570</v>
      </c>
      <c r="I103" s="53">
        <f t="shared" si="18"/>
        <v>102546</v>
      </c>
      <c r="J103" s="53">
        <f t="shared" si="19"/>
        <v>108578</v>
      </c>
      <c r="K103" s="50">
        <f t="shared" si="20"/>
        <v>29238</v>
      </c>
      <c r="L103" s="51">
        <f t="shared" si="21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hidden="1">
      <c r="A104" s="87" t="s">
        <v>222</v>
      </c>
      <c r="B104" s="598" t="s">
        <v>316</v>
      </c>
      <c r="C104" s="30" t="str">
        <f t="shared" si="14"/>
        <v xml:space="preserve">England – CCGs - Salford </v>
      </c>
      <c r="D104" s="51">
        <f t="shared" si="13"/>
        <v>108861</v>
      </c>
      <c r="E104" s="51">
        <f t="shared" si="13"/>
        <v>108908</v>
      </c>
      <c r="F104" s="52">
        <f t="shared" si="15"/>
        <v>278064</v>
      </c>
      <c r="G104" s="52">
        <f t="shared" si="16"/>
        <v>139829</v>
      </c>
      <c r="H104" s="53">
        <f t="shared" si="17"/>
        <v>138235</v>
      </c>
      <c r="I104" s="53">
        <f t="shared" si="18"/>
        <v>108861</v>
      </c>
      <c r="J104" s="53">
        <f t="shared" si="19"/>
        <v>108908</v>
      </c>
      <c r="K104" s="50">
        <f t="shared" si="20"/>
        <v>30968</v>
      </c>
      <c r="L104" s="51">
        <f t="shared" si="21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hidden="1">
      <c r="A105" s="87" t="s">
        <v>222</v>
      </c>
      <c r="B105" s="598" t="s">
        <v>317</v>
      </c>
      <c r="C105" s="30" t="str">
        <f t="shared" si="14"/>
        <v xml:space="preserve">England – CCGs - Sheffield </v>
      </c>
      <c r="D105" s="51">
        <f t="shared" si="13"/>
        <v>221985</v>
      </c>
      <c r="E105" s="51">
        <f t="shared" si="13"/>
        <v>230539</v>
      </c>
      <c r="F105" s="52">
        <f t="shared" si="15"/>
        <v>566242</v>
      </c>
      <c r="G105" s="52">
        <f t="shared" si="16"/>
        <v>280173</v>
      </c>
      <c r="H105" s="53">
        <f t="shared" si="17"/>
        <v>286069</v>
      </c>
      <c r="I105" s="53">
        <f t="shared" si="18"/>
        <v>221985</v>
      </c>
      <c r="J105" s="53">
        <f t="shared" si="19"/>
        <v>230539</v>
      </c>
      <c r="K105" s="50">
        <f t="shared" si="20"/>
        <v>58188</v>
      </c>
      <c r="L105" s="51">
        <f t="shared" si="21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hidden="1">
      <c r="A106" s="87" t="s">
        <v>222</v>
      </c>
      <c r="B106" s="598" t="s">
        <v>318</v>
      </c>
      <c r="C106" s="30" t="str">
        <f t="shared" si="14"/>
        <v xml:space="preserve">England – CCGs - Shropshire, Telford and Wrekin </v>
      </c>
      <c r="D106" s="51">
        <f t="shared" si="13"/>
        <v>202333</v>
      </c>
      <c r="E106" s="51">
        <f t="shared" si="13"/>
        <v>212592</v>
      </c>
      <c r="F106" s="52">
        <f t="shared" si="15"/>
        <v>516049</v>
      </c>
      <c r="G106" s="52">
        <f t="shared" si="16"/>
        <v>254197</v>
      </c>
      <c r="H106" s="53">
        <f t="shared" si="17"/>
        <v>261852</v>
      </c>
      <c r="I106" s="53">
        <f t="shared" si="18"/>
        <v>202333</v>
      </c>
      <c r="J106" s="53">
        <f t="shared" si="19"/>
        <v>212592</v>
      </c>
      <c r="K106" s="50">
        <f t="shared" si="20"/>
        <v>51864</v>
      </c>
      <c r="L106" s="51">
        <f t="shared" si="21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hidden="1">
      <c r="A107" s="87" t="s">
        <v>222</v>
      </c>
      <c r="B107" s="598" t="s">
        <v>319</v>
      </c>
      <c r="C107" s="30" t="str">
        <f t="shared" si="14"/>
        <v xml:space="preserve">England – CCGs - Somerset </v>
      </c>
      <c r="D107" s="51">
        <f t="shared" si="13"/>
        <v>225653</v>
      </c>
      <c r="E107" s="51">
        <f t="shared" si="13"/>
        <v>240687</v>
      </c>
      <c r="F107" s="52">
        <f t="shared" si="15"/>
        <v>576852</v>
      </c>
      <c r="G107" s="52">
        <f t="shared" si="16"/>
        <v>282176</v>
      </c>
      <c r="H107" s="53">
        <f t="shared" si="17"/>
        <v>294676</v>
      </c>
      <c r="I107" s="53">
        <f t="shared" si="18"/>
        <v>225653</v>
      </c>
      <c r="J107" s="53">
        <f t="shared" si="19"/>
        <v>240687</v>
      </c>
      <c r="K107" s="50">
        <f t="shared" si="20"/>
        <v>56523</v>
      </c>
      <c r="L107" s="51">
        <f t="shared" si="21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hidden="1">
      <c r="A108" s="87" t="s">
        <v>222</v>
      </c>
      <c r="B108" s="598" t="s">
        <v>320</v>
      </c>
      <c r="C108" s="30" t="str">
        <f t="shared" si="14"/>
        <v xml:space="preserve">England – CCGs - South East London </v>
      </c>
      <c r="D108" s="51">
        <f t="shared" si="13"/>
        <v>677404</v>
      </c>
      <c r="E108" s="51">
        <f t="shared" si="13"/>
        <v>749378</v>
      </c>
      <c r="F108" s="52">
        <f t="shared" si="15"/>
        <v>1795871</v>
      </c>
      <c r="G108" s="52">
        <f t="shared" si="16"/>
        <v>865549</v>
      </c>
      <c r="H108" s="53">
        <f t="shared" si="17"/>
        <v>930322</v>
      </c>
      <c r="I108" s="53">
        <f t="shared" si="18"/>
        <v>677404</v>
      </c>
      <c r="J108" s="53">
        <f t="shared" si="19"/>
        <v>749378</v>
      </c>
      <c r="K108" s="50">
        <f t="shared" si="20"/>
        <v>188145</v>
      </c>
      <c r="L108" s="51">
        <f t="shared" si="21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hidden="1">
      <c r="A109" s="87" t="s">
        <v>222</v>
      </c>
      <c r="B109" s="598" t="s">
        <v>321</v>
      </c>
      <c r="C109" s="30" t="str">
        <f t="shared" si="14"/>
        <v xml:space="preserve">England – CCGs - South East Staffordshire and Seisdon Peninsula </v>
      </c>
      <c r="D109" s="51">
        <f t="shared" si="13"/>
        <v>92288</v>
      </c>
      <c r="E109" s="51">
        <f t="shared" si="13"/>
        <v>94976</v>
      </c>
      <c r="F109" s="52">
        <f t="shared" si="15"/>
        <v>231486</v>
      </c>
      <c r="G109" s="52">
        <f t="shared" si="16"/>
        <v>114941</v>
      </c>
      <c r="H109" s="53">
        <f t="shared" si="17"/>
        <v>116545</v>
      </c>
      <c r="I109" s="53">
        <f t="shared" si="18"/>
        <v>92288</v>
      </c>
      <c r="J109" s="53">
        <f t="shared" si="19"/>
        <v>94976</v>
      </c>
      <c r="K109" s="50">
        <f t="shared" si="20"/>
        <v>22653</v>
      </c>
      <c r="L109" s="51">
        <f t="shared" si="21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hidden="1">
      <c r="A110" s="87" t="s">
        <v>222</v>
      </c>
      <c r="B110" s="598" t="s">
        <v>322</v>
      </c>
      <c r="C110" s="30" t="str">
        <f t="shared" si="14"/>
        <v xml:space="preserve">England – CCGs - South Sefton </v>
      </c>
      <c r="D110" s="51">
        <f t="shared" si="13"/>
        <v>62707</v>
      </c>
      <c r="E110" s="51">
        <f t="shared" si="13"/>
        <v>68552</v>
      </c>
      <c r="F110" s="52">
        <f t="shared" si="15"/>
        <v>163768</v>
      </c>
      <c r="G110" s="52">
        <f t="shared" si="16"/>
        <v>79420</v>
      </c>
      <c r="H110" s="53">
        <f t="shared" si="17"/>
        <v>84348</v>
      </c>
      <c r="I110" s="53">
        <f t="shared" si="18"/>
        <v>62707</v>
      </c>
      <c r="J110" s="53">
        <f t="shared" si="19"/>
        <v>68552</v>
      </c>
      <c r="K110" s="50">
        <f t="shared" si="20"/>
        <v>16713</v>
      </c>
      <c r="L110" s="51">
        <f t="shared" si="21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hidden="1">
      <c r="A111" s="87" t="s">
        <v>222</v>
      </c>
      <c r="B111" s="598" t="s">
        <v>323</v>
      </c>
      <c r="C111" s="30" t="str">
        <f t="shared" si="14"/>
        <v xml:space="preserve">England – CCGs - South Tyneside </v>
      </c>
      <c r="D111" s="51">
        <f t="shared" si="13"/>
        <v>56904</v>
      </c>
      <c r="E111" s="51">
        <f t="shared" si="13"/>
        <v>61816</v>
      </c>
      <c r="F111" s="52">
        <f t="shared" si="15"/>
        <v>148667</v>
      </c>
      <c r="G111" s="52">
        <f t="shared" si="16"/>
        <v>72355</v>
      </c>
      <c r="H111" s="53">
        <f t="shared" si="17"/>
        <v>76312</v>
      </c>
      <c r="I111" s="53">
        <f t="shared" si="18"/>
        <v>56904</v>
      </c>
      <c r="J111" s="53">
        <f t="shared" si="19"/>
        <v>61816</v>
      </c>
      <c r="K111" s="50">
        <f t="shared" si="20"/>
        <v>15451</v>
      </c>
      <c r="L111" s="51">
        <f t="shared" si="21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hidden="1">
      <c r="A112" s="87" t="s">
        <v>222</v>
      </c>
      <c r="B112" s="598" t="s">
        <v>324</v>
      </c>
      <c r="C112" s="30" t="str">
        <f t="shared" si="14"/>
        <v xml:space="preserve">England – CCGs - South West London </v>
      </c>
      <c r="D112" s="51">
        <f t="shared" si="13"/>
        <v>558793</v>
      </c>
      <c r="E112" s="51">
        <f t="shared" si="13"/>
        <v>624396</v>
      </c>
      <c r="F112" s="52">
        <f t="shared" si="15"/>
        <v>1509217</v>
      </c>
      <c r="G112" s="52">
        <f t="shared" si="16"/>
        <v>725443</v>
      </c>
      <c r="H112" s="53">
        <f t="shared" si="17"/>
        <v>783774</v>
      </c>
      <c r="I112" s="53">
        <f t="shared" si="18"/>
        <v>558793</v>
      </c>
      <c r="J112" s="53">
        <f t="shared" si="19"/>
        <v>624396</v>
      </c>
      <c r="K112" s="50">
        <f t="shared" si="20"/>
        <v>166650</v>
      </c>
      <c r="L112" s="51">
        <f t="shared" si="21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hidden="1">
      <c r="A113" s="87" t="s">
        <v>222</v>
      </c>
      <c r="B113" s="598" t="s">
        <v>325</v>
      </c>
      <c r="C113" s="30" t="str">
        <f t="shared" si="14"/>
        <v xml:space="preserve">England – CCGs - Southend </v>
      </c>
      <c r="D113" s="51">
        <f t="shared" si="13"/>
        <v>68646</v>
      </c>
      <c r="E113" s="51">
        <f t="shared" si="13"/>
        <v>73948</v>
      </c>
      <c r="F113" s="52">
        <f t="shared" si="15"/>
        <v>180915</v>
      </c>
      <c r="G113" s="52">
        <f t="shared" si="16"/>
        <v>88198</v>
      </c>
      <c r="H113" s="53">
        <f t="shared" si="17"/>
        <v>92717</v>
      </c>
      <c r="I113" s="53">
        <f t="shared" si="18"/>
        <v>68646</v>
      </c>
      <c r="J113" s="53">
        <f t="shared" si="19"/>
        <v>73948</v>
      </c>
      <c r="K113" s="50">
        <f t="shared" si="20"/>
        <v>19552</v>
      </c>
      <c r="L113" s="51">
        <f t="shared" si="21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hidden="1">
      <c r="A114" s="87" t="s">
        <v>222</v>
      </c>
      <c r="B114" s="598" t="s">
        <v>326</v>
      </c>
      <c r="C114" s="30" t="str">
        <f t="shared" si="14"/>
        <v xml:space="preserve">England – CCGs - Southport and Formby </v>
      </c>
      <c r="D114" s="51">
        <f t="shared" si="13"/>
        <v>46142</v>
      </c>
      <c r="E114" s="51">
        <f t="shared" si="13"/>
        <v>50191</v>
      </c>
      <c r="F114" s="52">
        <f t="shared" si="15"/>
        <v>117259</v>
      </c>
      <c r="G114" s="52">
        <f t="shared" si="16"/>
        <v>56893</v>
      </c>
      <c r="H114" s="53">
        <f t="shared" si="17"/>
        <v>60366</v>
      </c>
      <c r="I114" s="53">
        <f t="shared" si="18"/>
        <v>46142</v>
      </c>
      <c r="J114" s="53">
        <f t="shared" si="19"/>
        <v>50191</v>
      </c>
      <c r="K114" s="50">
        <f t="shared" si="20"/>
        <v>10751</v>
      </c>
      <c r="L114" s="51">
        <f t="shared" si="21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hidden="1">
      <c r="A115" s="87" t="s">
        <v>222</v>
      </c>
      <c r="B115" s="598" t="s">
        <v>327</v>
      </c>
      <c r="C115" s="30" t="str">
        <f t="shared" si="14"/>
        <v xml:space="preserve">England – CCGs - St Helens </v>
      </c>
      <c r="D115" s="51">
        <f t="shared" si="13"/>
        <v>71708</v>
      </c>
      <c r="E115" s="51">
        <f t="shared" si="13"/>
        <v>76120</v>
      </c>
      <c r="F115" s="52">
        <f t="shared" si="15"/>
        <v>184728</v>
      </c>
      <c r="G115" s="52">
        <f t="shared" si="16"/>
        <v>90663</v>
      </c>
      <c r="H115" s="53">
        <f t="shared" si="17"/>
        <v>94065</v>
      </c>
      <c r="I115" s="53">
        <f t="shared" si="18"/>
        <v>71708</v>
      </c>
      <c r="J115" s="53">
        <f t="shared" si="19"/>
        <v>76120</v>
      </c>
      <c r="K115" s="50">
        <f t="shared" si="20"/>
        <v>18955</v>
      </c>
      <c r="L115" s="51">
        <f t="shared" si="21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hidden="1">
      <c r="A116" s="87" t="s">
        <v>222</v>
      </c>
      <c r="B116" s="598" t="s">
        <v>328</v>
      </c>
      <c r="C116" s="30" t="str">
        <f t="shared" si="14"/>
        <v xml:space="preserve">England – CCGs - Stafford and Surrounds </v>
      </c>
      <c r="D116" s="51">
        <f t="shared" si="13"/>
        <v>63125</v>
      </c>
      <c r="E116" s="51">
        <f t="shared" si="13"/>
        <v>66058</v>
      </c>
      <c r="F116" s="52">
        <f t="shared" si="15"/>
        <v>159235</v>
      </c>
      <c r="G116" s="52">
        <f t="shared" si="16"/>
        <v>78425</v>
      </c>
      <c r="H116" s="53">
        <f t="shared" si="17"/>
        <v>80810</v>
      </c>
      <c r="I116" s="53">
        <f t="shared" si="18"/>
        <v>63125</v>
      </c>
      <c r="J116" s="53">
        <f t="shared" si="19"/>
        <v>66058</v>
      </c>
      <c r="K116" s="50">
        <f t="shared" si="20"/>
        <v>15300</v>
      </c>
      <c r="L116" s="51">
        <f t="shared" si="21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hidden="1">
      <c r="A117" s="87" t="s">
        <v>222</v>
      </c>
      <c r="B117" s="598" t="s">
        <v>329</v>
      </c>
      <c r="C117" s="30" t="str">
        <f t="shared" si="14"/>
        <v xml:space="preserve">England – CCGs - Stockport </v>
      </c>
      <c r="D117" s="51">
        <f t="shared" si="13"/>
        <v>112123</v>
      </c>
      <c r="E117" s="51">
        <f t="shared" si="13"/>
        <v>121529</v>
      </c>
      <c r="F117" s="52">
        <f t="shared" si="15"/>
        <v>297107</v>
      </c>
      <c r="G117" s="52">
        <f t="shared" si="16"/>
        <v>144724</v>
      </c>
      <c r="H117" s="53">
        <f t="shared" si="17"/>
        <v>152383</v>
      </c>
      <c r="I117" s="53">
        <f t="shared" si="18"/>
        <v>112123</v>
      </c>
      <c r="J117" s="53">
        <f t="shared" si="19"/>
        <v>121529</v>
      </c>
      <c r="K117" s="50">
        <f t="shared" si="20"/>
        <v>32601</v>
      </c>
      <c r="L117" s="51">
        <f t="shared" si="21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hidden="1">
      <c r="A118" s="87" t="s">
        <v>222</v>
      </c>
      <c r="B118" s="598" t="s">
        <v>330</v>
      </c>
      <c r="C118" s="30" t="str">
        <f t="shared" si="14"/>
        <v xml:space="preserve">England – CCGs - Stoke on Trent </v>
      </c>
      <c r="D118" s="51">
        <f t="shared" si="13"/>
        <v>102841</v>
      </c>
      <c r="E118" s="51">
        <f t="shared" si="13"/>
        <v>104656</v>
      </c>
      <c r="F118" s="52">
        <f t="shared" si="15"/>
        <v>268013</v>
      </c>
      <c r="G118" s="52">
        <f t="shared" si="16"/>
        <v>133508</v>
      </c>
      <c r="H118" s="53">
        <f t="shared" si="17"/>
        <v>134505</v>
      </c>
      <c r="I118" s="53">
        <f t="shared" si="18"/>
        <v>102841</v>
      </c>
      <c r="J118" s="53">
        <f t="shared" si="19"/>
        <v>104656</v>
      </c>
      <c r="K118" s="50">
        <f t="shared" si="20"/>
        <v>30667</v>
      </c>
      <c r="L118" s="51">
        <f t="shared" si="21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hidden="1">
      <c r="A119" s="87" t="s">
        <v>222</v>
      </c>
      <c r="B119" s="598" t="s">
        <v>331</v>
      </c>
      <c r="C119" s="30" t="str">
        <f t="shared" si="14"/>
        <v xml:space="preserve">England – CCGs - Sunderland </v>
      </c>
      <c r="D119" s="51">
        <f t="shared" si="13"/>
        <v>106856</v>
      </c>
      <c r="E119" s="51">
        <f t="shared" si="13"/>
        <v>115417</v>
      </c>
      <c r="F119" s="52">
        <f t="shared" si="15"/>
        <v>277354</v>
      </c>
      <c r="G119" s="52">
        <f t="shared" si="16"/>
        <v>135038</v>
      </c>
      <c r="H119" s="53">
        <f t="shared" si="17"/>
        <v>142316</v>
      </c>
      <c r="I119" s="53">
        <f t="shared" si="18"/>
        <v>106856</v>
      </c>
      <c r="J119" s="53">
        <f t="shared" si="19"/>
        <v>115417</v>
      </c>
      <c r="K119" s="50">
        <f t="shared" si="20"/>
        <v>28182</v>
      </c>
      <c r="L119" s="51">
        <f t="shared" si="21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hidden="1">
      <c r="A120" s="87" t="s">
        <v>222</v>
      </c>
      <c r="B120" s="598" t="s">
        <v>332</v>
      </c>
      <c r="C120" s="30" t="str">
        <f t="shared" si="14"/>
        <v xml:space="preserve">England – CCGs - Surrey Heartlands </v>
      </c>
      <c r="D120" s="51">
        <f t="shared" si="13"/>
        <v>401515</v>
      </c>
      <c r="E120" s="51">
        <f t="shared" si="13"/>
        <v>431954</v>
      </c>
      <c r="F120" s="52">
        <f t="shared" si="15"/>
        <v>1065363</v>
      </c>
      <c r="G120" s="52">
        <f t="shared" si="16"/>
        <v>519878</v>
      </c>
      <c r="H120" s="53">
        <f t="shared" si="17"/>
        <v>545485</v>
      </c>
      <c r="I120" s="53">
        <f t="shared" si="18"/>
        <v>401515</v>
      </c>
      <c r="J120" s="53">
        <f t="shared" si="19"/>
        <v>431954</v>
      </c>
      <c r="K120" s="50">
        <f t="shared" si="20"/>
        <v>118363</v>
      </c>
      <c r="L120" s="51">
        <f t="shared" si="21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hidden="1">
      <c r="A121" s="87" t="s">
        <v>222</v>
      </c>
      <c r="B121" s="598" t="s">
        <v>333</v>
      </c>
      <c r="C121" s="30" t="str">
        <f t="shared" si="14"/>
        <v xml:space="preserve">England – CCGs - Tameside and Glossop </v>
      </c>
      <c r="D121" s="51">
        <f t="shared" si="13"/>
        <v>100701</v>
      </c>
      <c r="E121" s="51">
        <f t="shared" si="13"/>
        <v>107305</v>
      </c>
      <c r="F121" s="52">
        <f t="shared" si="15"/>
        <v>266216</v>
      </c>
      <c r="G121" s="52">
        <f t="shared" si="16"/>
        <v>130586</v>
      </c>
      <c r="H121" s="53">
        <f t="shared" si="17"/>
        <v>135630</v>
      </c>
      <c r="I121" s="53">
        <f t="shared" si="18"/>
        <v>100701</v>
      </c>
      <c r="J121" s="53">
        <f t="shared" si="19"/>
        <v>107305</v>
      </c>
      <c r="K121" s="50">
        <f t="shared" si="20"/>
        <v>29885</v>
      </c>
      <c r="L121" s="51">
        <f t="shared" si="21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hidden="1">
      <c r="A122" s="87" t="s">
        <v>222</v>
      </c>
      <c r="B122" s="598" t="s">
        <v>334</v>
      </c>
      <c r="C122" s="30" t="str">
        <f t="shared" si="14"/>
        <v xml:space="preserve">England – CCGs - Tees Valley </v>
      </c>
      <c r="D122" s="51">
        <f t="shared" si="13"/>
        <v>262723</v>
      </c>
      <c r="E122" s="51">
        <f t="shared" si="13"/>
        <v>278313</v>
      </c>
      <c r="F122" s="52">
        <f t="shared" si="15"/>
        <v>688756</v>
      </c>
      <c r="G122" s="52">
        <f t="shared" si="16"/>
        <v>338264</v>
      </c>
      <c r="H122" s="53">
        <f t="shared" si="17"/>
        <v>350492</v>
      </c>
      <c r="I122" s="53">
        <f t="shared" si="18"/>
        <v>262723</v>
      </c>
      <c r="J122" s="53">
        <f t="shared" si="19"/>
        <v>278313</v>
      </c>
      <c r="K122" s="50">
        <f t="shared" si="20"/>
        <v>75541</v>
      </c>
      <c r="L122" s="51">
        <f t="shared" si="21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hidden="1">
      <c r="A123" s="87" t="s">
        <v>222</v>
      </c>
      <c r="B123" s="598" t="s">
        <v>335</v>
      </c>
      <c r="C123" s="30" t="str">
        <f t="shared" si="14"/>
        <v xml:space="preserve">England – CCGs - Thurrock </v>
      </c>
      <c r="D123" s="51">
        <f t="shared" si="13"/>
        <v>63582</v>
      </c>
      <c r="E123" s="51">
        <f t="shared" si="13"/>
        <v>68415</v>
      </c>
      <c r="F123" s="52">
        <f t="shared" si="15"/>
        <v>176877</v>
      </c>
      <c r="G123" s="52">
        <f t="shared" si="16"/>
        <v>86665</v>
      </c>
      <c r="H123" s="53">
        <f t="shared" si="17"/>
        <v>90212</v>
      </c>
      <c r="I123" s="53">
        <f t="shared" si="18"/>
        <v>63582</v>
      </c>
      <c r="J123" s="53">
        <f t="shared" si="19"/>
        <v>68415</v>
      </c>
      <c r="K123" s="50">
        <f t="shared" si="20"/>
        <v>23083</v>
      </c>
      <c r="L123" s="51">
        <f t="shared" si="21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hidden="1">
      <c r="A124" s="87" t="s">
        <v>222</v>
      </c>
      <c r="B124" s="598" t="s">
        <v>336</v>
      </c>
      <c r="C124" s="30" t="str">
        <f t="shared" si="14"/>
        <v xml:space="preserve">England – CCGs - Trafford </v>
      </c>
      <c r="D124" s="51">
        <f t="shared" si="13"/>
        <v>86869</v>
      </c>
      <c r="E124" s="51">
        <f t="shared" si="13"/>
        <v>94098</v>
      </c>
      <c r="F124" s="52">
        <f t="shared" si="15"/>
        <v>236301</v>
      </c>
      <c r="G124" s="52">
        <f t="shared" si="16"/>
        <v>115249</v>
      </c>
      <c r="H124" s="53">
        <f t="shared" si="17"/>
        <v>121052</v>
      </c>
      <c r="I124" s="53">
        <f t="shared" si="18"/>
        <v>86869</v>
      </c>
      <c r="J124" s="53">
        <f t="shared" si="19"/>
        <v>94098</v>
      </c>
      <c r="K124" s="50">
        <f t="shared" si="20"/>
        <v>28380</v>
      </c>
      <c r="L124" s="51">
        <f t="shared" si="21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hidden="1">
      <c r="A125" s="87" t="s">
        <v>222</v>
      </c>
      <c r="B125" s="598" t="s">
        <v>337</v>
      </c>
      <c r="C125" s="30" t="str">
        <f t="shared" si="14"/>
        <v xml:space="preserve">England – CCGs - Vale of York </v>
      </c>
      <c r="D125" s="51">
        <f t="shared" si="13"/>
        <v>143110</v>
      </c>
      <c r="E125" s="51">
        <f t="shared" si="13"/>
        <v>156416</v>
      </c>
      <c r="F125" s="52">
        <f t="shared" si="15"/>
        <v>364606</v>
      </c>
      <c r="G125" s="52">
        <f t="shared" si="16"/>
        <v>176409</v>
      </c>
      <c r="H125" s="53">
        <f t="shared" si="17"/>
        <v>188197</v>
      </c>
      <c r="I125" s="53">
        <f t="shared" si="18"/>
        <v>143110</v>
      </c>
      <c r="J125" s="53">
        <f t="shared" si="19"/>
        <v>156416</v>
      </c>
      <c r="K125" s="50">
        <f t="shared" si="20"/>
        <v>33299</v>
      </c>
      <c r="L125" s="51">
        <f t="shared" si="21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hidden="1">
      <c r="A126" s="87" t="s">
        <v>222</v>
      </c>
      <c r="B126" s="598" t="s">
        <v>338</v>
      </c>
      <c r="C126" s="30" t="str">
        <f t="shared" si="14"/>
        <v xml:space="preserve">England – CCGs - Wakefield </v>
      </c>
      <c r="D126" s="51">
        <f t="shared" si="13"/>
        <v>137621</v>
      </c>
      <c r="E126" s="51">
        <f t="shared" si="13"/>
        <v>145330</v>
      </c>
      <c r="F126" s="52">
        <f t="shared" si="15"/>
        <v>357729</v>
      </c>
      <c r="G126" s="52">
        <f t="shared" si="16"/>
        <v>176034</v>
      </c>
      <c r="H126" s="53">
        <f t="shared" si="17"/>
        <v>181695</v>
      </c>
      <c r="I126" s="53">
        <f t="shared" si="18"/>
        <v>137621</v>
      </c>
      <c r="J126" s="53">
        <f t="shared" si="19"/>
        <v>145330</v>
      </c>
      <c r="K126" s="50">
        <f t="shared" si="20"/>
        <v>38413</v>
      </c>
      <c r="L126" s="51">
        <f t="shared" si="21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hidden="1">
      <c r="A127" s="87" t="s">
        <v>222</v>
      </c>
      <c r="B127" s="598" t="s">
        <v>339</v>
      </c>
      <c r="C127" s="30" t="str">
        <f t="shared" si="14"/>
        <v xml:space="preserve">England – CCGs - Warrington </v>
      </c>
      <c r="D127" s="51">
        <f t="shared" si="13"/>
        <v>82284</v>
      </c>
      <c r="E127" s="51">
        <f t="shared" si="13"/>
        <v>85828</v>
      </c>
      <c r="F127" s="52">
        <f t="shared" si="15"/>
        <v>211580</v>
      </c>
      <c r="G127" s="52">
        <f t="shared" si="16"/>
        <v>104613</v>
      </c>
      <c r="H127" s="53">
        <f t="shared" si="17"/>
        <v>106967</v>
      </c>
      <c r="I127" s="53">
        <f t="shared" si="18"/>
        <v>82284</v>
      </c>
      <c r="J127" s="53">
        <f t="shared" si="19"/>
        <v>85828</v>
      </c>
      <c r="K127" s="50">
        <f t="shared" si="20"/>
        <v>22329</v>
      </c>
      <c r="L127" s="51">
        <f t="shared" si="21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hidden="1">
      <c r="A128" s="87" t="s">
        <v>222</v>
      </c>
      <c r="B128" s="598" t="s">
        <v>340</v>
      </c>
      <c r="C128" s="30" t="str">
        <f t="shared" si="14"/>
        <v xml:space="preserve">England – CCGs - West Essex </v>
      </c>
      <c r="D128" s="51">
        <f t="shared" si="13"/>
        <v>120034</v>
      </c>
      <c r="E128" s="51">
        <f t="shared" si="13"/>
        <v>130657</v>
      </c>
      <c r="F128" s="52">
        <f t="shared" si="15"/>
        <v>321976</v>
      </c>
      <c r="G128" s="52">
        <f t="shared" si="16"/>
        <v>156557</v>
      </c>
      <c r="H128" s="53">
        <f t="shared" si="17"/>
        <v>165419</v>
      </c>
      <c r="I128" s="53">
        <f t="shared" si="18"/>
        <v>120034</v>
      </c>
      <c r="J128" s="53">
        <f t="shared" si="19"/>
        <v>130657</v>
      </c>
      <c r="K128" s="50">
        <f t="shared" si="20"/>
        <v>36523</v>
      </c>
      <c r="L128" s="51">
        <f t="shared" si="21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hidden="1">
      <c r="A129" s="87" t="s">
        <v>222</v>
      </c>
      <c r="B129" s="598" t="s">
        <v>341</v>
      </c>
      <c r="C129" s="30" t="str">
        <f t="shared" si="14"/>
        <v xml:space="preserve">England – CCGs - West Lancashire </v>
      </c>
      <c r="D129" s="51">
        <f t="shared" si="13"/>
        <v>45960</v>
      </c>
      <c r="E129" s="51">
        <f t="shared" si="13"/>
        <v>51265</v>
      </c>
      <c r="F129" s="52">
        <f t="shared" si="15"/>
        <v>119367</v>
      </c>
      <c r="G129" s="52">
        <f t="shared" si="16"/>
        <v>57283</v>
      </c>
      <c r="H129" s="53">
        <f t="shared" si="17"/>
        <v>62084</v>
      </c>
      <c r="I129" s="53">
        <f t="shared" si="18"/>
        <v>45960</v>
      </c>
      <c r="J129" s="53">
        <f t="shared" si="19"/>
        <v>51265</v>
      </c>
      <c r="K129" s="50">
        <f t="shared" si="20"/>
        <v>11323</v>
      </c>
      <c r="L129" s="51">
        <f t="shared" si="21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hidden="1">
      <c r="A130" s="87" t="s">
        <v>222</v>
      </c>
      <c r="B130" s="598" t="s">
        <v>342</v>
      </c>
      <c r="C130" s="30" t="str">
        <f t="shared" si="14"/>
        <v xml:space="preserve">England – CCGs - West Leicestershire </v>
      </c>
      <c r="D130" s="51">
        <f t="shared" si="13"/>
        <v>163839</v>
      </c>
      <c r="E130" s="51">
        <f t="shared" si="13"/>
        <v>168979</v>
      </c>
      <c r="F130" s="52">
        <f t="shared" si="15"/>
        <v>412977</v>
      </c>
      <c r="G130" s="52">
        <f t="shared" si="16"/>
        <v>205194</v>
      </c>
      <c r="H130" s="53">
        <f t="shared" si="17"/>
        <v>207783</v>
      </c>
      <c r="I130" s="53">
        <f t="shared" si="18"/>
        <v>163839</v>
      </c>
      <c r="J130" s="53">
        <f t="shared" si="19"/>
        <v>168979</v>
      </c>
      <c r="K130" s="50">
        <f t="shared" si="20"/>
        <v>41355</v>
      </c>
      <c r="L130" s="51">
        <f t="shared" si="21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hidden="1">
      <c r="A131" s="87" t="s">
        <v>222</v>
      </c>
      <c r="B131" s="598" t="s">
        <v>343</v>
      </c>
      <c r="C131" s="30" t="str">
        <f t="shared" si="14"/>
        <v xml:space="preserve">England – CCGs - West Suffolk </v>
      </c>
      <c r="D131" s="51">
        <f t="shared" si="13"/>
        <v>93865</v>
      </c>
      <c r="E131" s="51">
        <f t="shared" si="13"/>
        <v>97308</v>
      </c>
      <c r="F131" s="52">
        <f t="shared" si="15"/>
        <v>237473</v>
      </c>
      <c r="G131" s="52">
        <f t="shared" si="16"/>
        <v>117832</v>
      </c>
      <c r="H131" s="53">
        <f t="shared" si="17"/>
        <v>119641</v>
      </c>
      <c r="I131" s="53">
        <f t="shared" si="18"/>
        <v>93865</v>
      </c>
      <c r="J131" s="53">
        <f t="shared" si="19"/>
        <v>97308</v>
      </c>
      <c r="K131" s="50">
        <f t="shared" si="20"/>
        <v>23967</v>
      </c>
      <c r="L131" s="51">
        <f t="shared" si="21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hidden="1">
      <c r="A132" s="87" t="s">
        <v>222</v>
      </c>
      <c r="B132" s="598" t="s">
        <v>344</v>
      </c>
      <c r="C132" s="30" t="str">
        <f t="shared" si="14"/>
        <v xml:space="preserve">England – CCGs - West Sussex </v>
      </c>
      <c r="D132" s="51">
        <f t="shared" si="13"/>
        <v>339620</v>
      </c>
      <c r="E132" s="51">
        <f t="shared" si="13"/>
        <v>370138</v>
      </c>
      <c r="F132" s="52">
        <f t="shared" si="15"/>
        <v>885492</v>
      </c>
      <c r="G132" s="52">
        <f t="shared" si="16"/>
        <v>429875</v>
      </c>
      <c r="H132" s="53">
        <f t="shared" si="17"/>
        <v>455617</v>
      </c>
      <c r="I132" s="53">
        <f t="shared" si="18"/>
        <v>339620</v>
      </c>
      <c r="J132" s="53">
        <f t="shared" si="19"/>
        <v>370138</v>
      </c>
      <c r="K132" s="50">
        <f t="shared" si="20"/>
        <v>90255</v>
      </c>
      <c r="L132" s="51">
        <f t="shared" si="21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hidden="1">
      <c r="A133" s="87" t="s">
        <v>222</v>
      </c>
      <c r="B133" s="598" t="s">
        <v>345</v>
      </c>
      <c r="C133" s="30" t="str">
        <f t="shared" si="14"/>
        <v xml:space="preserve">England – CCGs - Wigan Borough </v>
      </c>
      <c r="D133" s="51">
        <f t="shared" si="13"/>
        <v>129821</v>
      </c>
      <c r="E133" s="51">
        <f t="shared" si="13"/>
        <v>134943</v>
      </c>
      <c r="F133" s="52">
        <f t="shared" si="15"/>
        <v>334110</v>
      </c>
      <c r="G133" s="52">
        <f t="shared" si="16"/>
        <v>165612</v>
      </c>
      <c r="H133" s="53">
        <f t="shared" si="17"/>
        <v>168498</v>
      </c>
      <c r="I133" s="53">
        <f t="shared" si="18"/>
        <v>129821</v>
      </c>
      <c r="J133" s="53">
        <f t="shared" si="19"/>
        <v>134943</v>
      </c>
      <c r="K133" s="50">
        <f t="shared" si="20"/>
        <v>35791</v>
      </c>
      <c r="L133" s="51">
        <f t="shared" si="21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hidden="1">
      <c r="A134" s="87" t="s">
        <v>222</v>
      </c>
      <c r="B134" s="598" t="s">
        <v>346</v>
      </c>
      <c r="C134" s="30" t="str">
        <f t="shared" si="14"/>
        <v xml:space="preserve">England – CCGs - Wirral </v>
      </c>
      <c r="D134" s="51">
        <f t="shared" si="13"/>
        <v>122282</v>
      </c>
      <c r="E134" s="51">
        <f t="shared" si="13"/>
        <v>134481</v>
      </c>
      <c r="F134" s="52">
        <f t="shared" si="15"/>
        <v>322453</v>
      </c>
      <c r="G134" s="52">
        <f t="shared" si="16"/>
        <v>156079</v>
      </c>
      <c r="H134" s="53">
        <f t="shared" si="17"/>
        <v>166374</v>
      </c>
      <c r="I134" s="53">
        <f t="shared" si="18"/>
        <v>122282</v>
      </c>
      <c r="J134" s="53">
        <f t="shared" si="19"/>
        <v>134481</v>
      </c>
      <c r="K134" s="50">
        <f t="shared" si="20"/>
        <v>33797</v>
      </c>
      <c r="L134" s="51">
        <f t="shared" si="21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idden="1">
      <c r="A135" s="113"/>
      <c r="B135" s="599"/>
      <c r="C135" s="113"/>
      <c r="D135" s="115">
        <f t="shared" ref="D135:L135" si="22">SUM(D29:D134)</f>
        <v>21895402</v>
      </c>
      <c r="E135" s="136">
        <f t="shared" si="22"/>
        <v>23324090</v>
      </c>
      <c r="F135" s="115">
        <f t="shared" si="22"/>
        <v>57106398</v>
      </c>
      <c r="G135" s="136">
        <f t="shared" si="22"/>
        <v>27983290</v>
      </c>
      <c r="H135" s="136">
        <f t="shared" si="22"/>
        <v>29123108</v>
      </c>
      <c r="I135" s="136">
        <f t="shared" si="22"/>
        <v>21895402</v>
      </c>
      <c r="J135" s="136">
        <f t="shared" si="22"/>
        <v>23324090</v>
      </c>
      <c r="K135" s="136">
        <f t="shared" si="22"/>
        <v>6087888</v>
      </c>
      <c r="L135" s="136">
        <f t="shared" si="22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hidden="1">
      <c r="A136" s="54" t="s">
        <v>202</v>
      </c>
      <c r="B136" s="600" t="s">
        <v>347</v>
      </c>
      <c r="C136" s="30" t="str">
        <f t="shared" ref="C136:C142" si="23">CONCATENATE(A136," - ",B136)</f>
        <v xml:space="preserve">Wales – Health Boards - Aneurin Bevan University Health Board </v>
      </c>
      <c r="D136" s="51">
        <f t="shared" ref="D136:E142" si="24">I136</f>
        <v>227112</v>
      </c>
      <c r="E136" s="51">
        <f t="shared" si="24"/>
        <v>242057</v>
      </c>
      <c r="F136" s="52">
        <f t="shared" ref="F136:F142" si="25">G136+H136</f>
        <v>591396</v>
      </c>
      <c r="G136" s="52">
        <f t="shared" ref="G136:G142" si="26">SUM(M136:CY136)</f>
        <v>289759</v>
      </c>
      <c r="H136" s="53">
        <f t="shared" ref="H136:H142" si="27">SUM(CZ136:GL136)</f>
        <v>301637</v>
      </c>
      <c r="I136" s="53">
        <f t="shared" ref="I136:I142" si="28">SUM(AE136:CY136)</f>
        <v>227112</v>
      </c>
      <c r="J136" s="53">
        <f t="shared" ref="J136:J142" si="29">SUM(DR136:GL136)</f>
        <v>242057</v>
      </c>
      <c r="K136" s="50">
        <f t="shared" ref="K136:K142" si="30">SUM(M136:AD136)</f>
        <v>62647</v>
      </c>
      <c r="L136" s="51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hidden="1">
      <c r="A137" s="54" t="s">
        <v>202</v>
      </c>
      <c r="B137" s="601" t="s">
        <v>348</v>
      </c>
      <c r="C137" s="30" t="str">
        <f t="shared" si="23"/>
        <v xml:space="preserve">Wales – Health Boards - Betsi Cadwaladr University Health Board </v>
      </c>
      <c r="D137" s="51">
        <f t="shared" si="24"/>
        <v>268446</v>
      </c>
      <c r="E137" s="51">
        <f t="shared" si="24"/>
        <v>286121</v>
      </c>
      <c r="F137" s="52">
        <f t="shared" si="25"/>
        <v>688201</v>
      </c>
      <c r="G137" s="52">
        <f t="shared" si="26"/>
        <v>337029</v>
      </c>
      <c r="H137" s="53">
        <f t="shared" si="27"/>
        <v>351172</v>
      </c>
      <c r="I137" s="53">
        <f t="shared" si="28"/>
        <v>268446</v>
      </c>
      <c r="J137" s="53">
        <f t="shared" si="29"/>
        <v>286121</v>
      </c>
      <c r="K137" s="50">
        <f t="shared" si="30"/>
        <v>68583</v>
      </c>
      <c r="L137" s="51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hidden="1">
      <c r="A138" s="54" t="s">
        <v>202</v>
      </c>
      <c r="B138" s="601" t="s">
        <v>349</v>
      </c>
      <c r="C138" s="30" t="str">
        <f t="shared" si="23"/>
        <v xml:space="preserve">Wales – Health Boards - Cardiff and Vale University Health Board </v>
      </c>
      <c r="D138" s="51">
        <f t="shared" si="24"/>
        <v>194209</v>
      </c>
      <c r="E138" s="51">
        <f t="shared" si="24"/>
        <v>208417</v>
      </c>
      <c r="F138" s="52">
        <f t="shared" si="25"/>
        <v>505581</v>
      </c>
      <c r="G138" s="52">
        <f t="shared" si="26"/>
        <v>246725</v>
      </c>
      <c r="H138" s="53">
        <f t="shared" si="27"/>
        <v>258856</v>
      </c>
      <c r="I138" s="53">
        <f t="shared" si="28"/>
        <v>194209</v>
      </c>
      <c r="J138" s="53">
        <f t="shared" si="29"/>
        <v>208417</v>
      </c>
      <c r="K138" s="50">
        <f t="shared" si="30"/>
        <v>52516</v>
      </c>
      <c r="L138" s="51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hidden="1">
      <c r="A139" s="54" t="s">
        <v>202</v>
      </c>
      <c r="B139" s="601" t="s">
        <v>350</v>
      </c>
      <c r="C139" s="30" t="str">
        <f t="shared" si="23"/>
        <v xml:space="preserve">Wales – Health Boards - Cwm Taf Morgannwg University Health Board </v>
      </c>
      <c r="D139" s="51">
        <f t="shared" si="24"/>
        <v>171617</v>
      </c>
      <c r="E139" s="51">
        <f t="shared" si="24"/>
        <v>181544</v>
      </c>
      <c r="F139" s="52">
        <f t="shared" si="25"/>
        <v>444037</v>
      </c>
      <c r="G139" s="52">
        <f t="shared" si="26"/>
        <v>218245</v>
      </c>
      <c r="H139" s="53">
        <f t="shared" si="27"/>
        <v>225792</v>
      </c>
      <c r="I139" s="53">
        <f t="shared" si="28"/>
        <v>171617</v>
      </c>
      <c r="J139" s="53">
        <f t="shared" si="29"/>
        <v>181544</v>
      </c>
      <c r="K139" s="50">
        <f t="shared" si="30"/>
        <v>46628</v>
      </c>
      <c r="L139" s="51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hidden="1">
      <c r="A140" s="54" t="s">
        <v>202</v>
      </c>
      <c r="B140" s="601" t="s">
        <v>351</v>
      </c>
      <c r="C140" s="30" t="str">
        <f t="shared" si="23"/>
        <v xml:space="preserve">Wales – Health Boards - Hywel Dda University Health Board </v>
      </c>
      <c r="D140" s="51">
        <f t="shared" si="24"/>
        <v>151075</v>
      </c>
      <c r="E140" s="51">
        <f t="shared" si="24"/>
        <v>162263</v>
      </c>
      <c r="F140" s="52">
        <f t="shared" si="25"/>
        <v>385094</v>
      </c>
      <c r="G140" s="52">
        <f t="shared" si="26"/>
        <v>187853</v>
      </c>
      <c r="H140" s="53">
        <f t="shared" si="27"/>
        <v>197241</v>
      </c>
      <c r="I140" s="53">
        <f t="shared" si="28"/>
        <v>151075</v>
      </c>
      <c r="J140" s="53">
        <f t="shared" si="29"/>
        <v>162263</v>
      </c>
      <c r="K140" s="50">
        <f t="shared" si="30"/>
        <v>36778</v>
      </c>
      <c r="L140" s="51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hidden="1">
      <c r="A141" s="54" t="s">
        <v>202</v>
      </c>
      <c r="B141" s="601" t="s">
        <v>352</v>
      </c>
      <c r="C141" s="30" t="str">
        <f t="shared" si="23"/>
        <v xml:space="preserve">Wales – Health Boards - Powys Teaching Health Board </v>
      </c>
      <c r="D141" s="51">
        <f t="shared" si="24"/>
        <v>53985</v>
      </c>
      <c r="E141" s="51">
        <f t="shared" si="24"/>
        <v>56355</v>
      </c>
      <c r="F141" s="52">
        <f t="shared" si="25"/>
        <v>133891</v>
      </c>
      <c r="G141" s="52">
        <f t="shared" si="26"/>
        <v>66153</v>
      </c>
      <c r="H141" s="53">
        <f t="shared" si="27"/>
        <v>67738</v>
      </c>
      <c r="I141" s="53">
        <f t="shared" si="28"/>
        <v>53985</v>
      </c>
      <c r="J141" s="53">
        <f t="shared" si="29"/>
        <v>56355</v>
      </c>
      <c r="K141" s="50">
        <f t="shared" si="30"/>
        <v>12168</v>
      </c>
      <c r="L141" s="51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hidden="1">
      <c r="A142" s="55" t="s">
        <v>202</v>
      </c>
      <c r="B142" s="602" t="s">
        <v>353</v>
      </c>
      <c r="C142" s="44" t="str">
        <f t="shared" si="23"/>
        <v xml:space="preserve">Wales – Health Boards - Swansea Bay University Health Board </v>
      </c>
      <c r="D142" s="57">
        <f t="shared" si="24"/>
        <v>150610</v>
      </c>
      <c r="E142" s="57">
        <f t="shared" si="24"/>
        <v>158200</v>
      </c>
      <c r="F142" s="48">
        <f t="shared" si="25"/>
        <v>383440</v>
      </c>
      <c r="G142" s="48">
        <f t="shared" si="26"/>
        <v>189120</v>
      </c>
      <c r="H142" s="49">
        <f t="shared" si="27"/>
        <v>194320</v>
      </c>
      <c r="I142" s="49">
        <f t="shared" si="28"/>
        <v>150610</v>
      </c>
      <c r="J142" s="49">
        <f t="shared" si="29"/>
        <v>158200</v>
      </c>
      <c r="K142" s="56">
        <f t="shared" si="30"/>
        <v>38510</v>
      </c>
      <c r="L142" s="57">
        <f t="shared" si="31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idden="1">
      <c r="A143" s="117"/>
      <c r="B143" s="603"/>
      <c r="C143" s="117"/>
      <c r="D143" s="41">
        <f>SUM(D136:D142)</f>
        <v>1217054</v>
      </c>
      <c r="E143" s="41">
        <f t="shared" ref="E143:L143" si="32">SUM(E136:E142)</f>
        <v>1294957</v>
      </c>
      <c r="F143" s="41">
        <f t="shared" si="32"/>
        <v>3131640</v>
      </c>
      <c r="G143" s="41">
        <f t="shared" si="32"/>
        <v>1534884</v>
      </c>
      <c r="H143" s="41">
        <f t="shared" si="32"/>
        <v>1596756</v>
      </c>
      <c r="I143" s="41">
        <f t="shared" si="32"/>
        <v>1217054</v>
      </c>
      <c r="J143" s="41">
        <f t="shared" si="32"/>
        <v>1294957</v>
      </c>
      <c r="K143" s="41">
        <f t="shared" si="32"/>
        <v>317830</v>
      </c>
      <c r="L143" s="41">
        <f t="shared" si="32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hidden="1">
      <c r="A144" s="59" t="s">
        <v>205</v>
      </c>
      <c r="B144" s="600" t="s">
        <v>354</v>
      </c>
      <c r="C144" s="72" t="str">
        <f>CONCATENATE(A144," - ",B144)</f>
        <v>NI – Health and Social Care Trusts - Belfast Health and Social Care Trust</v>
      </c>
      <c r="D144" s="61">
        <f t="shared" ref="D144:E148" si="33">I144</f>
        <v>138553.97738288154</v>
      </c>
      <c r="E144" s="61">
        <f t="shared" si="33"/>
        <v>149546.65719477332</v>
      </c>
      <c r="F144" s="566">
        <f>G144+H144</f>
        <v>364103.61922965694</v>
      </c>
      <c r="G144" s="566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567">
        <f>SUM(M144:AD144)</f>
        <v>38954.196552201036</v>
      </c>
      <c r="L144" s="61">
        <f>SUM(CZ144:DQ144)</f>
        <v>37048.788099800979</v>
      </c>
      <c r="M144" s="567">
        <v>2017.8952120383037</v>
      </c>
      <c r="N144" s="567">
        <v>2031.4154300095463</v>
      </c>
      <c r="O144" s="567">
        <v>2025.5722779004586</v>
      </c>
      <c r="P144" s="567">
        <v>2036.6363244919048</v>
      </c>
      <c r="Q144" s="567">
        <v>2174.8657606103957</v>
      </c>
      <c r="R144" s="567">
        <v>2139.1275684252282</v>
      </c>
      <c r="S144" s="567">
        <v>2269.8788621098379</v>
      </c>
      <c r="T144" s="567">
        <v>2199.8731034482757</v>
      </c>
      <c r="U144" s="567">
        <v>2214.1918960244648</v>
      </c>
      <c r="V144" s="567">
        <v>2323.0202012443356</v>
      </c>
      <c r="W144" s="567">
        <v>2319.2258355916892</v>
      </c>
      <c r="X144" s="567">
        <v>2302.9974595842955</v>
      </c>
      <c r="Y144" s="567">
        <v>2256.5049293083684</v>
      </c>
      <c r="Z144" s="567">
        <v>2212.0418107754977</v>
      </c>
      <c r="AA144" s="567">
        <v>2229.1199141767324</v>
      </c>
      <c r="AB144" s="567">
        <v>2134.8894582108355</v>
      </c>
      <c r="AC144" s="567">
        <v>2012.6591474539725</v>
      </c>
      <c r="AD144" s="567">
        <v>2054.2813607968933</v>
      </c>
      <c r="AE144" s="567">
        <v>2265.0450211864404</v>
      </c>
      <c r="AF144" s="567">
        <v>2804.7232134687529</v>
      </c>
      <c r="AG144" s="567">
        <v>2878.6458486407055</v>
      </c>
      <c r="AH144" s="567">
        <v>2648.2416475163518</v>
      </c>
      <c r="AI144" s="567">
        <v>2812.8031562871206</v>
      </c>
      <c r="AJ144" s="567">
        <v>2819.1729711141679</v>
      </c>
      <c r="AK144" s="567">
        <v>2731.7522704339053</v>
      </c>
      <c r="AL144" s="567">
        <v>2754.8174718956493</v>
      </c>
      <c r="AM144" s="567">
        <v>2792.2450211225105</v>
      </c>
      <c r="AN144" s="567">
        <v>2709.9772329246935</v>
      </c>
      <c r="AO144" s="567">
        <v>2693.0545391183132</v>
      </c>
      <c r="AP144" s="567">
        <v>2739.741847362131</v>
      </c>
      <c r="AQ144" s="567">
        <v>2738.9105892047796</v>
      </c>
      <c r="AR144" s="567">
        <v>2711.0666008067833</v>
      </c>
      <c r="AS144" s="567">
        <v>2782.8070289619263</v>
      </c>
      <c r="AT144" s="567">
        <v>2691.3420944220152</v>
      </c>
      <c r="AU144" s="567">
        <v>2575.2371291098634</v>
      </c>
      <c r="AV144" s="567">
        <v>2616.3572226656024</v>
      </c>
      <c r="AW144" s="567">
        <v>2585.9089460686691</v>
      </c>
      <c r="AX144" s="567">
        <v>2533.264568094025</v>
      </c>
      <c r="AY144" s="567">
        <v>2413.1614349775782</v>
      </c>
      <c r="AZ144" s="567">
        <v>2431.4496314496314</v>
      </c>
      <c r="BA144" s="567">
        <v>2293.8903732491299</v>
      </c>
      <c r="BB144" s="567">
        <v>2344.819097470061</v>
      </c>
      <c r="BC144" s="567">
        <v>2403.7633319021038</v>
      </c>
      <c r="BD144" s="567">
        <v>2239.8626248466794</v>
      </c>
      <c r="BE144" s="567">
        <v>2047.4737312365976</v>
      </c>
      <c r="BF144" s="567">
        <v>2052.8353243075835</v>
      </c>
      <c r="BG144" s="567">
        <v>1984.3233076189651</v>
      </c>
      <c r="BH144" s="567">
        <v>1967.3126347206103</v>
      </c>
      <c r="BI144" s="567">
        <v>1977.5348837209303</v>
      </c>
      <c r="BJ144" s="567">
        <v>2084.857469993683</v>
      </c>
      <c r="BK144" s="567">
        <v>2131.2999446158715</v>
      </c>
      <c r="BL144" s="567">
        <v>2143.6819436775263</v>
      </c>
      <c r="BM144" s="567">
        <v>2073.8563380281689</v>
      </c>
      <c r="BN144" s="567">
        <v>2300.7910402197972</v>
      </c>
      <c r="BO144" s="567">
        <v>2326.6164287385909</v>
      </c>
      <c r="BP144" s="567">
        <v>2307.9060786106033</v>
      </c>
      <c r="BQ144" s="567">
        <v>2344.6145362640732</v>
      </c>
      <c r="BR144" s="567">
        <v>2368.012116504854</v>
      </c>
      <c r="BS144" s="567">
        <v>2252.978437722139</v>
      </c>
      <c r="BT144" s="567">
        <v>2241.3179516972359</v>
      </c>
      <c r="BU144" s="567">
        <v>2297.6054466954502</v>
      </c>
      <c r="BV144" s="567">
        <v>2198.0522088353414</v>
      </c>
      <c r="BW144" s="567">
        <v>2021.5031326614003</v>
      </c>
      <c r="BX144" s="567">
        <v>2002.5265144540601</v>
      </c>
      <c r="BY144" s="567">
        <v>1890.3538506703198</v>
      </c>
      <c r="BZ144" s="567">
        <v>1822.7951142631994</v>
      </c>
      <c r="CA144" s="567">
        <v>1687.8206664564279</v>
      </c>
      <c r="CB144" s="567">
        <v>1588.8602704443015</v>
      </c>
      <c r="CC144" s="567">
        <v>1552.3684032476319</v>
      </c>
      <c r="CD144" s="567">
        <v>1527.1244533743056</v>
      </c>
      <c r="CE144" s="567">
        <v>1273.9034871433603</v>
      </c>
      <c r="CF144" s="567">
        <v>1290.2680573978055</v>
      </c>
      <c r="CG144" s="567">
        <v>1292.323121170439</v>
      </c>
      <c r="CH144" s="567">
        <v>1203.3575933400607</v>
      </c>
      <c r="CI144" s="567">
        <v>1137.5975561687032</v>
      </c>
      <c r="CJ144" s="567">
        <v>1181.2559576345984</v>
      </c>
      <c r="CK144" s="567">
        <v>1033.272138554217</v>
      </c>
      <c r="CL144" s="567">
        <v>966.99722735674675</v>
      </c>
      <c r="CM144" s="567">
        <v>986.02355350742448</v>
      </c>
      <c r="CN144" s="567">
        <v>974.00968523002427</v>
      </c>
      <c r="CO144" s="567">
        <v>796.9</v>
      </c>
      <c r="CP144" s="567">
        <v>696.19117288466236</v>
      </c>
      <c r="CQ144" s="567">
        <v>621.99595857539782</v>
      </c>
      <c r="CR144" s="567">
        <v>600.77992957746471</v>
      </c>
      <c r="CS144" s="567">
        <v>583.85111740635818</v>
      </c>
      <c r="CT144" s="567">
        <v>522.79582712369597</v>
      </c>
      <c r="CU144" s="567">
        <v>452.41860465116281</v>
      </c>
      <c r="CV144" s="567">
        <v>372.84571129707109</v>
      </c>
      <c r="CW144" s="567">
        <v>312.34061135371184</v>
      </c>
      <c r="CX144" s="567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hidden="1">
      <c r="A145" s="59" t="s">
        <v>205</v>
      </c>
      <c r="B145" s="601" t="s">
        <v>355</v>
      </c>
      <c r="C145" s="30" t="str">
        <f>CONCATENATE(A145," - ",B145)</f>
        <v>NI – Health and Social Care Trusts - Northern Health and Social Care Trust</v>
      </c>
      <c r="D145" s="51">
        <f t="shared" si="33"/>
        <v>181512.11865928606</v>
      </c>
      <c r="E145" s="51">
        <f t="shared" si="33"/>
        <v>191954.1231478526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hidden="1">
      <c r="A146" s="59" t="s">
        <v>205</v>
      </c>
      <c r="B146" s="601" t="s">
        <v>356</v>
      </c>
      <c r="C146" s="30" t="str">
        <f>CONCATENATE(A146," - ",B146)</f>
        <v>NI – Health and Social Care Trusts - South Eastern Health and Social Care Trust</v>
      </c>
      <c r="D146" s="51">
        <f t="shared" si="33"/>
        <v>138403.58339795683</v>
      </c>
      <c r="E146" s="51">
        <f t="shared" si="33"/>
        <v>149112.49217820168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hidden="1">
      <c r="A147" s="59" t="s">
        <v>205</v>
      </c>
      <c r="B147" s="601" t="s">
        <v>357</v>
      </c>
      <c r="C147" s="30" t="str">
        <f>CONCATENATE(A147," - ",B147)</f>
        <v>NI – Health and Social Care Trusts - Southern Health and Social Care Trust</v>
      </c>
      <c r="D147" s="51">
        <f t="shared" si="33"/>
        <v>144801.8678593364</v>
      </c>
      <c r="E147" s="51">
        <f t="shared" si="33"/>
        <v>148938.65272541274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hidden="1">
      <c r="A148" s="63" t="s">
        <v>205</v>
      </c>
      <c r="B148" s="602" t="s">
        <v>358</v>
      </c>
      <c r="C148" s="44" t="str">
        <f>CONCATENATE(A148," - ",B148)</f>
        <v>NI – Health and Social Care Trusts - Western Health and Social Care Trust</v>
      </c>
      <c r="D148" s="57">
        <f t="shared" si="33"/>
        <v>113025.45270053911</v>
      </c>
      <c r="E148" s="57">
        <f t="shared" si="33"/>
        <v>117989.07475375976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idden="1">
      <c r="A149" s="117"/>
      <c r="B149" s="603"/>
      <c r="C149" s="117"/>
      <c r="D149" s="41">
        <f>SUM(D144:D148)</f>
        <v>716297</v>
      </c>
      <c r="E149" s="41">
        <f t="shared" ref="E149:L149" si="34">SUM(E144:E148)</f>
        <v>757541.00000000012</v>
      </c>
      <c r="F149" s="41">
        <f t="shared" si="34"/>
        <v>1910543</v>
      </c>
      <c r="G149" s="41">
        <f t="shared" si="34"/>
        <v>939947</v>
      </c>
      <c r="H149" s="41">
        <f t="shared" si="34"/>
        <v>970596.00000000012</v>
      </c>
      <c r="I149" s="41">
        <f t="shared" si="34"/>
        <v>716297</v>
      </c>
      <c r="J149" s="41">
        <f t="shared" si="34"/>
        <v>757541.00000000012</v>
      </c>
      <c r="K149" s="41">
        <f t="shared" si="34"/>
        <v>223649.99999999997</v>
      </c>
      <c r="L149" s="41">
        <f t="shared" si="34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hidden="1">
      <c r="A150" s="73" t="s">
        <v>200</v>
      </c>
      <c r="B150" s="604" t="s">
        <v>359</v>
      </c>
      <c r="C150" s="72" t="str">
        <f>CONCATENATE(A150," - ",B150)</f>
        <v>NHSE regions - East of England</v>
      </c>
      <c r="D150" s="61">
        <f t="shared" ref="D150:E156" si="35">I150</f>
        <v>2447757</v>
      </c>
      <c r="E150" s="61">
        <f t="shared" si="35"/>
        <v>2602371</v>
      </c>
      <c r="F150" s="566">
        <f t="shared" ref="F150:F156" si="36">G150+H150</f>
        <v>6398497</v>
      </c>
      <c r="G150" s="566">
        <f t="shared" ref="G150:G156" si="37">SUM(M150:CY150)</f>
        <v>3138914</v>
      </c>
      <c r="H150" s="62">
        <f t="shared" ref="H150:H156" si="38">SUM(CZ150:GL150)</f>
        <v>3259583</v>
      </c>
      <c r="I150" s="62">
        <f t="shared" ref="I150:I156" si="39">SUM(AE150:CY150)</f>
        <v>2447757</v>
      </c>
      <c r="J150" s="62">
        <f t="shared" ref="J150:J156" si="40">SUM(DR150:GL150)</f>
        <v>2602371</v>
      </c>
      <c r="K150" s="567">
        <f t="shared" ref="K150:K156" si="41">SUM(M150:AD150)</f>
        <v>691157</v>
      </c>
      <c r="L150" s="61">
        <f t="shared" ref="L150:L156" si="42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hidden="1">
      <c r="A151" s="64" t="s">
        <v>200</v>
      </c>
      <c r="B151" s="604" t="s">
        <v>360</v>
      </c>
      <c r="C151" s="30" t="str">
        <f>CONCATENATE(A151," - ",B151)</f>
        <v>NHSE regions - London</v>
      </c>
      <c r="D151" s="51">
        <f t="shared" si="35"/>
        <v>3334222</v>
      </c>
      <c r="E151" s="51">
        <f t="shared" si="35"/>
        <v>3635096</v>
      </c>
      <c r="F151" s="52">
        <f t="shared" si="36"/>
        <v>8866180</v>
      </c>
      <c r="G151" s="52">
        <f t="shared" si="37"/>
        <v>4302616</v>
      </c>
      <c r="H151" s="53">
        <f t="shared" si="38"/>
        <v>4563564</v>
      </c>
      <c r="I151" s="53">
        <f t="shared" si="39"/>
        <v>3334222</v>
      </c>
      <c r="J151" s="53">
        <f t="shared" si="40"/>
        <v>3635096</v>
      </c>
      <c r="K151" s="50">
        <f t="shared" si="41"/>
        <v>968394</v>
      </c>
      <c r="L151" s="51">
        <f t="shared" si="42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hidden="1">
      <c r="A152" s="64" t="s">
        <v>200</v>
      </c>
      <c r="B152" s="604" t="s">
        <v>361</v>
      </c>
      <c r="C152" s="30" t="str">
        <f t="shared" ref="C152:C199" si="43">CONCATENATE(A152," - ",B152)</f>
        <v>NHSE regions - Midlands</v>
      </c>
      <c r="D152" s="51">
        <f t="shared" si="35"/>
        <v>4213518</v>
      </c>
      <c r="E152" s="51">
        <f t="shared" si="35"/>
        <v>4430007</v>
      </c>
      <c r="F152" s="52">
        <f t="shared" si="36"/>
        <v>10956592</v>
      </c>
      <c r="G152" s="52">
        <f t="shared" si="37"/>
        <v>5398034</v>
      </c>
      <c r="H152" s="53">
        <f t="shared" si="38"/>
        <v>5558558</v>
      </c>
      <c r="I152" s="53">
        <f t="shared" si="39"/>
        <v>4213518</v>
      </c>
      <c r="J152" s="53">
        <f t="shared" si="40"/>
        <v>4430007</v>
      </c>
      <c r="K152" s="50">
        <f t="shared" si="41"/>
        <v>1184516</v>
      </c>
      <c r="L152" s="51">
        <f t="shared" si="42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hidden="1">
      <c r="A153" s="64" t="s">
        <v>200</v>
      </c>
      <c r="B153" s="604" t="s">
        <v>362</v>
      </c>
      <c r="C153" s="30" t="str">
        <f t="shared" si="43"/>
        <v>NHSE regions - North East and Yorkshire</v>
      </c>
      <c r="D153" s="51">
        <f t="shared" si="35"/>
        <v>3172076</v>
      </c>
      <c r="E153" s="51">
        <f t="shared" si="35"/>
        <v>3363922</v>
      </c>
      <c r="F153" s="52">
        <f t="shared" si="36"/>
        <v>8224302</v>
      </c>
      <c r="G153" s="52">
        <f t="shared" si="37"/>
        <v>4037235</v>
      </c>
      <c r="H153" s="53">
        <f t="shared" si="38"/>
        <v>4187067</v>
      </c>
      <c r="I153" s="53">
        <f t="shared" si="39"/>
        <v>3172076</v>
      </c>
      <c r="J153" s="53">
        <f t="shared" si="40"/>
        <v>3363922</v>
      </c>
      <c r="K153" s="50">
        <f t="shared" si="41"/>
        <v>865159</v>
      </c>
      <c r="L153" s="51">
        <f t="shared" si="42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hidden="1">
      <c r="A154" s="64" t="s">
        <v>200</v>
      </c>
      <c r="B154" s="604" t="s">
        <v>363</v>
      </c>
      <c r="C154" s="30" t="str">
        <f t="shared" si="43"/>
        <v>NHSE regions - North West</v>
      </c>
      <c r="D154" s="51">
        <f t="shared" si="35"/>
        <v>2882326</v>
      </c>
      <c r="E154" s="51">
        <f t="shared" si="35"/>
        <v>3051558</v>
      </c>
      <c r="F154" s="52">
        <f t="shared" si="36"/>
        <v>7516113</v>
      </c>
      <c r="G154" s="52">
        <f t="shared" si="37"/>
        <v>3693400</v>
      </c>
      <c r="H154" s="53">
        <f t="shared" si="38"/>
        <v>3822713</v>
      </c>
      <c r="I154" s="53">
        <f t="shared" si="39"/>
        <v>2882326</v>
      </c>
      <c r="J154" s="53">
        <f t="shared" si="40"/>
        <v>3051558</v>
      </c>
      <c r="K154" s="50">
        <f t="shared" si="41"/>
        <v>811074</v>
      </c>
      <c r="L154" s="51">
        <f t="shared" si="42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hidden="1">
      <c r="A155" s="64" t="s">
        <v>200</v>
      </c>
      <c r="B155" s="604" t="s">
        <v>364</v>
      </c>
      <c r="C155" s="30" t="str">
        <f t="shared" si="43"/>
        <v>NHSE regions - South East</v>
      </c>
      <c r="D155" s="51">
        <f t="shared" si="35"/>
        <v>3583214</v>
      </c>
      <c r="E155" s="51">
        <f t="shared" si="35"/>
        <v>3833734</v>
      </c>
      <c r="F155" s="52">
        <f t="shared" si="36"/>
        <v>9379833</v>
      </c>
      <c r="G155" s="52">
        <f t="shared" si="37"/>
        <v>4590013</v>
      </c>
      <c r="H155" s="53">
        <f t="shared" si="38"/>
        <v>4789820</v>
      </c>
      <c r="I155" s="53">
        <f t="shared" si="39"/>
        <v>3583214</v>
      </c>
      <c r="J155" s="53">
        <f t="shared" si="40"/>
        <v>3833734</v>
      </c>
      <c r="K155" s="50">
        <f t="shared" si="41"/>
        <v>1006799</v>
      </c>
      <c r="L155" s="51">
        <f t="shared" si="42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>
      <c r="A156" s="140" t="s">
        <v>200</v>
      </c>
      <c r="B156" s="604" t="s">
        <v>365</v>
      </c>
      <c r="C156" s="30" t="str">
        <f t="shared" si="43"/>
        <v>NHSE regions - South West</v>
      </c>
      <c r="D156" s="51">
        <f t="shared" si="35"/>
        <v>2262289</v>
      </c>
      <c r="E156" s="51">
        <f t="shared" si="35"/>
        <v>2407402</v>
      </c>
      <c r="F156" s="52">
        <f t="shared" si="36"/>
        <v>5764881</v>
      </c>
      <c r="G156" s="52">
        <f t="shared" si="37"/>
        <v>2823078</v>
      </c>
      <c r="H156" s="53">
        <f t="shared" si="38"/>
        <v>2941803</v>
      </c>
      <c r="I156" s="53">
        <f t="shared" si="39"/>
        <v>2262289</v>
      </c>
      <c r="J156" s="53">
        <f t="shared" si="40"/>
        <v>2407402</v>
      </c>
      <c r="K156" s="50">
        <f t="shared" si="41"/>
        <v>560789</v>
      </c>
      <c r="L156" s="51">
        <f t="shared" si="42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>
      <c r="A157" s="118"/>
      <c r="B157" s="605"/>
      <c r="C157" s="113"/>
      <c r="D157" s="119">
        <f>SUM(D150:D156)</f>
        <v>21895402</v>
      </c>
      <c r="E157" s="119">
        <f>SUM(E150:E156)</f>
        <v>23324090</v>
      </c>
      <c r="F157" s="119">
        <f>SUM(F150:F156)</f>
        <v>57106398</v>
      </c>
      <c r="G157" s="119">
        <f t="shared" ref="G157:L157" si="44">SUM(G150:G156)</f>
        <v>27983290</v>
      </c>
      <c r="H157" s="119">
        <f t="shared" si="44"/>
        <v>29123108</v>
      </c>
      <c r="I157" s="119">
        <f t="shared" si="44"/>
        <v>21895402</v>
      </c>
      <c r="J157" s="119">
        <f t="shared" si="44"/>
        <v>23324090</v>
      </c>
      <c r="K157" s="119">
        <f t="shared" si="44"/>
        <v>6087888</v>
      </c>
      <c r="L157" s="119">
        <f t="shared" si="44"/>
        <v>5799018</v>
      </c>
      <c r="M157" s="119"/>
      <c r="N157" s="565"/>
      <c r="O157" s="565"/>
      <c r="P157" s="565"/>
      <c r="Q157" s="565"/>
      <c r="R157" s="565"/>
      <c r="S157" s="565"/>
      <c r="T157" s="565"/>
      <c r="U157" s="565"/>
      <c r="V157" s="565"/>
      <c r="W157" s="565"/>
      <c r="X157" s="565"/>
      <c r="Y157" s="565"/>
      <c r="Z157" s="565"/>
      <c r="AA157" s="565"/>
      <c r="AB157" s="565"/>
      <c r="AC157" s="565"/>
      <c r="AD157" s="565"/>
      <c r="AE157" s="565"/>
      <c r="AF157" s="565"/>
      <c r="AG157" s="565"/>
      <c r="AH157" s="565"/>
      <c r="AI157" s="565"/>
      <c r="AJ157" s="565"/>
      <c r="AK157" s="565"/>
      <c r="AL157" s="565"/>
      <c r="AM157" s="565"/>
      <c r="AN157" s="565"/>
      <c r="AO157" s="565"/>
      <c r="AP157" s="565"/>
      <c r="AQ157" s="565"/>
      <c r="AR157" s="565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5"/>
      <c r="CR157" s="565"/>
      <c r="CS157" s="565"/>
      <c r="CT157" s="565"/>
      <c r="CU157" s="565"/>
      <c r="CV157" s="565"/>
      <c r="CW157" s="565"/>
      <c r="CX157" s="565"/>
      <c r="CY157" s="77"/>
      <c r="CZ157" s="119"/>
      <c r="DA157" s="565"/>
      <c r="DB157" s="565"/>
      <c r="DC157" s="565"/>
      <c r="DD157" s="565"/>
      <c r="DE157" s="565"/>
      <c r="DF157" s="565"/>
      <c r="DG157" s="565"/>
      <c r="DH157" s="565"/>
      <c r="DI157" s="565"/>
      <c r="DJ157" s="565"/>
      <c r="DK157" s="565"/>
      <c r="DL157" s="565"/>
      <c r="DM157" s="565"/>
      <c r="DN157" s="565"/>
      <c r="DO157" s="565"/>
      <c r="DP157" s="565"/>
      <c r="DQ157" s="565"/>
      <c r="DR157" s="565"/>
      <c r="DS157" s="565"/>
      <c r="DT157" s="565"/>
      <c r="DU157" s="565"/>
      <c r="DV157" s="565"/>
      <c r="DW157" s="565"/>
      <c r="DX157" s="565"/>
      <c r="DY157" s="565"/>
      <c r="DZ157" s="565"/>
      <c r="EA157" s="565"/>
      <c r="EB157" s="565"/>
      <c r="EC157" s="565"/>
      <c r="ED157" s="565"/>
      <c r="EE157" s="565"/>
      <c r="EF157" s="565"/>
      <c r="EG157" s="565"/>
      <c r="EH157" s="565"/>
      <c r="EI157" s="565"/>
      <c r="EJ157" s="565"/>
      <c r="EK157" s="565"/>
      <c r="EL157" s="565"/>
      <c r="EM157" s="565"/>
      <c r="EN157" s="565"/>
      <c r="EO157" s="565"/>
      <c r="EP157" s="565"/>
      <c r="EQ157" s="565"/>
      <c r="ER157" s="565"/>
      <c r="ES157" s="565"/>
      <c r="ET157" s="565"/>
      <c r="EU157" s="565"/>
      <c r="EV157" s="565"/>
      <c r="EW157" s="565"/>
      <c r="EX157" s="565"/>
      <c r="EY157" s="565"/>
      <c r="EZ157" s="565"/>
      <c r="FA157" s="565"/>
      <c r="FB157" s="565"/>
      <c r="FC157" s="565"/>
      <c r="FD157" s="565"/>
      <c r="FE157" s="565"/>
      <c r="FF157" s="565"/>
      <c r="FG157" s="565"/>
      <c r="FH157" s="565"/>
      <c r="FI157" s="565"/>
      <c r="FJ157" s="565"/>
      <c r="FK157" s="565"/>
      <c r="FL157" s="565"/>
      <c r="FM157" s="565"/>
      <c r="FN157" s="565"/>
      <c r="FO157" s="565"/>
      <c r="FP157" s="565"/>
      <c r="FQ157" s="565"/>
      <c r="FR157" s="565"/>
      <c r="FS157" s="565"/>
      <c r="FT157" s="565"/>
      <c r="FU157" s="565"/>
      <c r="FV157" s="565"/>
      <c r="FW157" s="565"/>
      <c r="FX157" s="565"/>
      <c r="FY157" s="565"/>
      <c r="FZ157" s="565"/>
      <c r="GA157" s="565"/>
      <c r="GB157" s="565"/>
      <c r="GC157" s="565"/>
      <c r="GD157" s="565"/>
      <c r="GE157" s="565"/>
      <c r="GF157" s="565"/>
      <c r="GG157" s="565"/>
      <c r="GH157" s="565"/>
      <c r="GI157" s="565"/>
      <c r="GJ157" s="565"/>
      <c r="GK157" s="565"/>
      <c r="GL157" s="77"/>
    </row>
    <row r="158" spans="1:194" s="1" customFormat="1">
      <c r="A158" s="108" t="s">
        <v>936</v>
      </c>
      <c r="B158" s="606" t="s">
        <v>937</v>
      </c>
      <c r="C158" s="568" t="str">
        <f t="shared" si="43"/>
        <v>England ICB - NHS Bath and North East Somerset, Swindon and Wiltshire Integrated Care Board</v>
      </c>
      <c r="D158" s="79">
        <f t="shared" ref="D158:E163" si="45">I158</f>
        <v>372192</v>
      </c>
      <c r="E158" s="79">
        <f t="shared" si="45"/>
        <v>388592</v>
      </c>
      <c r="F158" s="109">
        <f t="shared" ref="F158:F163" si="46">G158+H158</f>
        <v>953852</v>
      </c>
      <c r="G158" s="566">
        <f t="shared" ref="G158:G163" si="47">SUM(M158:CY158)</f>
        <v>470982</v>
      </c>
      <c r="H158" s="62">
        <f t="shared" ref="H158:H163" si="48">SUM(CZ158:GL158)</f>
        <v>482870</v>
      </c>
      <c r="I158" s="566">
        <f t="shared" ref="I158:I163" si="49">SUM(AE158:CY158)</f>
        <v>372192</v>
      </c>
      <c r="J158" s="104">
        <f t="shared" ref="J158:J163" si="50">SUM(DR158:GL158)</f>
        <v>388592</v>
      </c>
      <c r="K158" s="106">
        <f t="shared" ref="K158:K163" si="51">SUM(M158:AD158)</f>
        <v>98790</v>
      </c>
      <c r="L158" s="61">
        <f t="shared" ref="L158:L163" si="52">SUM(CZ158:DQ158)</f>
        <v>94278</v>
      </c>
      <c r="M158" s="106">
        <v>4647</v>
      </c>
      <c r="N158" s="567">
        <v>4706</v>
      </c>
      <c r="O158" s="567">
        <v>4907</v>
      </c>
      <c r="P158" s="567">
        <v>5108</v>
      </c>
      <c r="Q158" s="567">
        <v>5293</v>
      </c>
      <c r="R158" s="567">
        <v>5287</v>
      </c>
      <c r="S158" s="567">
        <v>5628</v>
      </c>
      <c r="T158" s="567">
        <v>5623</v>
      </c>
      <c r="U158" s="567">
        <v>5617</v>
      </c>
      <c r="V158" s="567">
        <v>5799</v>
      </c>
      <c r="W158" s="567">
        <v>6160</v>
      </c>
      <c r="X158" s="567">
        <v>6033</v>
      </c>
      <c r="Y158" s="567">
        <v>5955</v>
      </c>
      <c r="Z158" s="567">
        <v>5803</v>
      </c>
      <c r="AA158" s="567">
        <v>5710</v>
      </c>
      <c r="AB158" s="567">
        <v>5605</v>
      </c>
      <c r="AC158" s="567">
        <v>5496</v>
      </c>
      <c r="AD158" s="567">
        <v>5413</v>
      </c>
      <c r="AE158" s="567">
        <v>5967</v>
      </c>
      <c r="AF158" s="567">
        <v>6678</v>
      </c>
      <c r="AG158" s="567">
        <v>6216</v>
      </c>
      <c r="AH158" s="567">
        <v>5569</v>
      </c>
      <c r="AI158" s="567">
        <v>5932</v>
      </c>
      <c r="AJ158" s="567">
        <v>5961</v>
      </c>
      <c r="AK158" s="567">
        <v>5644</v>
      </c>
      <c r="AL158" s="567">
        <v>5569</v>
      </c>
      <c r="AM158" s="567">
        <v>5603</v>
      </c>
      <c r="AN158" s="567">
        <v>5436</v>
      </c>
      <c r="AO158" s="567">
        <v>5723</v>
      </c>
      <c r="AP158" s="567">
        <v>5509</v>
      </c>
      <c r="AQ158" s="567">
        <v>5906</v>
      </c>
      <c r="AR158" s="567">
        <v>5926</v>
      </c>
      <c r="AS158" s="567">
        <v>5999</v>
      </c>
      <c r="AT158" s="567">
        <v>5968</v>
      </c>
      <c r="AU158" s="567">
        <v>6124</v>
      </c>
      <c r="AV158" s="567">
        <v>6089</v>
      </c>
      <c r="AW158" s="567">
        <v>6037</v>
      </c>
      <c r="AX158" s="567">
        <v>5950</v>
      </c>
      <c r="AY158" s="567">
        <v>6029</v>
      </c>
      <c r="AZ158" s="567">
        <v>5880</v>
      </c>
      <c r="BA158" s="567">
        <v>5821</v>
      </c>
      <c r="BB158" s="567">
        <v>5960</v>
      </c>
      <c r="BC158" s="567">
        <v>6033</v>
      </c>
      <c r="BD158" s="567">
        <v>5922</v>
      </c>
      <c r="BE158" s="567">
        <v>5375</v>
      </c>
      <c r="BF158" s="567">
        <v>5274</v>
      </c>
      <c r="BG158" s="567">
        <v>5437</v>
      </c>
      <c r="BH158" s="567">
        <v>5820</v>
      </c>
      <c r="BI158" s="567">
        <v>5866</v>
      </c>
      <c r="BJ158" s="567">
        <v>6432</v>
      </c>
      <c r="BK158" s="567">
        <v>6631</v>
      </c>
      <c r="BL158" s="567">
        <v>6700</v>
      </c>
      <c r="BM158" s="567">
        <v>6536</v>
      </c>
      <c r="BN158" s="567">
        <v>6527</v>
      </c>
      <c r="BO158" s="567">
        <v>6586</v>
      </c>
      <c r="BP158" s="567">
        <v>6746</v>
      </c>
      <c r="BQ158" s="567">
        <v>6723</v>
      </c>
      <c r="BR158" s="567">
        <v>6887</v>
      </c>
      <c r="BS158" s="567">
        <v>6661</v>
      </c>
      <c r="BT158" s="567">
        <v>6550</v>
      </c>
      <c r="BU158" s="567">
        <v>6440</v>
      </c>
      <c r="BV158" s="567">
        <v>6192</v>
      </c>
      <c r="BW158" s="567">
        <v>5977</v>
      </c>
      <c r="BX158" s="567">
        <v>5691</v>
      </c>
      <c r="BY158" s="567">
        <v>5371</v>
      </c>
      <c r="BZ158" s="567">
        <v>5135</v>
      </c>
      <c r="CA158" s="567">
        <v>4863</v>
      </c>
      <c r="CB158" s="567">
        <v>4730</v>
      </c>
      <c r="CC158" s="567">
        <v>4797</v>
      </c>
      <c r="CD158" s="567">
        <v>4544</v>
      </c>
      <c r="CE158" s="567">
        <v>4485</v>
      </c>
      <c r="CF158" s="567">
        <v>4422</v>
      </c>
      <c r="CG158" s="567">
        <v>4421</v>
      </c>
      <c r="CH158" s="567">
        <v>4529</v>
      </c>
      <c r="CI158" s="567">
        <v>4861</v>
      </c>
      <c r="CJ158" s="567">
        <v>5197</v>
      </c>
      <c r="CK158" s="567">
        <v>3865</v>
      </c>
      <c r="CL158" s="567">
        <v>3773</v>
      </c>
      <c r="CM158" s="567">
        <v>3497</v>
      </c>
      <c r="CN158" s="567">
        <v>3141</v>
      </c>
      <c r="CO158" s="567">
        <v>2804</v>
      </c>
      <c r="CP158" s="567">
        <v>2380</v>
      </c>
      <c r="CQ158" s="567">
        <v>2335</v>
      </c>
      <c r="CR158" s="567">
        <v>2209</v>
      </c>
      <c r="CS158" s="567">
        <v>2008</v>
      </c>
      <c r="CT158" s="567">
        <v>1804</v>
      </c>
      <c r="CU158" s="567">
        <v>1625</v>
      </c>
      <c r="CV158" s="567">
        <v>1368</v>
      </c>
      <c r="CW158" s="567">
        <v>1144</v>
      </c>
      <c r="CX158" s="567">
        <v>1023</v>
      </c>
      <c r="CY158" s="61">
        <v>3359</v>
      </c>
      <c r="CZ158" s="106">
        <v>4395</v>
      </c>
      <c r="DA158" s="567">
        <v>4569</v>
      </c>
      <c r="DB158" s="567">
        <v>4724</v>
      </c>
      <c r="DC158" s="567">
        <v>4830</v>
      </c>
      <c r="DD158" s="567">
        <v>5033</v>
      </c>
      <c r="DE158" s="567">
        <v>5193</v>
      </c>
      <c r="DF158" s="567">
        <v>5362</v>
      </c>
      <c r="DG158" s="567">
        <v>5295</v>
      </c>
      <c r="DH158" s="567">
        <v>5344</v>
      </c>
      <c r="DI158" s="567">
        <v>5565</v>
      </c>
      <c r="DJ158" s="567">
        <v>5551</v>
      </c>
      <c r="DK158" s="567">
        <v>5719</v>
      </c>
      <c r="DL158" s="567">
        <v>5546</v>
      </c>
      <c r="DM158" s="567">
        <v>5549</v>
      </c>
      <c r="DN158" s="567">
        <v>5624</v>
      </c>
      <c r="DO158" s="567">
        <v>5574</v>
      </c>
      <c r="DP158" s="567">
        <v>5184</v>
      </c>
      <c r="DQ158" s="567">
        <v>5221</v>
      </c>
      <c r="DR158" s="567">
        <v>5415</v>
      </c>
      <c r="DS158" s="567">
        <v>5600</v>
      </c>
      <c r="DT158" s="567">
        <v>5189</v>
      </c>
      <c r="DU158" s="567">
        <v>4912</v>
      </c>
      <c r="DV158" s="567">
        <v>5426</v>
      </c>
      <c r="DW158" s="567">
        <v>5137</v>
      </c>
      <c r="DX158" s="567">
        <v>5128</v>
      </c>
      <c r="DY158" s="567">
        <v>5294</v>
      </c>
      <c r="DZ158" s="567">
        <v>5013</v>
      </c>
      <c r="EA158" s="567">
        <v>5302</v>
      </c>
      <c r="EB158" s="567">
        <v>5698</v>
      </c>
      <c r="EC158" s="567">
        <v>5815</v>
      </c>
      <c r="ED158" s="567">
        <v>5939</v>
      </c>
      <c r="EE158" s="567">
        <v>6272</v>
      </c>
      <c r="EF158" s="567">
        <v>6263</v>
      </c>
      <c r="EG158" s="567">
        <v>6313</v>
      </c>
      <c r="EH158" s="567">
        <v>6318</v>
      </c>
      <c r="EI158" s="567">
        <v>6535</v>
      </c>
      <c r="EJ158" s="567">
        <v>6131</v>
      </c>
      <c r="EK158" s="567">
        <v>6244</v>
      </c>
      <c r="EL158" s="567">
        <v>6165</v>
      </c>
      <c r="EM158" s="567">
        <v>5942</v>
      </c>
      <c r="EN158" s="567">
        <v>6211</v>
      </c>
      <c r="EO158" s="567">
        <v>6218</v>
      </c>
      <c r="EP158" s="567">
        <v>6104</v>
      </c>
      <c r="EQ158" s="567">
        <v>5799</v>
      </c>
      <c r="ER158" s="567">
        <v>5574</v>
      </c>
      <c r="ES158" s="567">
        <v>5586</v>
      </c>
      <c r="ET158" s="567">
        <v>5770</v>
      </c>
      <c r="EU158" s="567">
        <v>5831</v>
      </c>
      <c r="EV158" s="567">
        <v>6251</v>
      </c>
      <c r="EW158" s="567">
        <v>6563</v>
      </c>
      <c r="EX158" s="567">
        <v>6923</v>
      </c>
      <c r="EY158" s="567">
        <v>6736</v>
      </c>
      <c r="EZ158" s="567">
        <v>6661</v>
      </c>
      <c r="FA158" s="567">
        <v>6860</v>
      </c>
      <c r="FB158" s="567">
        <v>6795</v>
      </c>
      <c r="FC158" s="567">
        <v>7093</v>
      </c>
      <c r="FD158" s="567">
        <v>7056</v>
      </c>
      <c r="FE158" s="567">
        <v>6890</v>
      </c>
      <c r="FF158" s="567">
        <v>6926</v>
      </c>
      <c r="FG158" s="567">
        <v>6551</v>
      </c>
      <c r="FH158" s="567">
        <v>6513</v>
      </c>
      <c r="FI158" s="567">
        <v>6413</v>
      </c>
      <c r="FJ158" s="567">
        <v>5897</v>
      </c>
      <c r="FK158" s="567">
        <v>5838</v>
      </c>
      <c r="FL158" s="567">
        <v>5643</v>
      </c>
      <c r="FM158" s="567">
        <v>5384</v>
      </c>
      <c r="FN158" s="567">
        <v>5189</v>
      </c>
      <c r="FO158" s="567">
        <v>5034</v>
      </c>
      <c r="FP158" s="567">
        <v>5088</v>
      </c>
      <c r="FQ158" s="567">
        <v>5112</v>
      </c>
      <c r="FR158" s="567">
        <v>4845</v>
      </c>
      <c r="FS158" s="567">
        <v>4831</v>
      </c>
      <c r="FT158" s="567">
        <v>4917</v>
      </c>
      <c r="FU158" s="567">
        <v>5074</v>
      </c>
      <c r="FV158" s="567">
        <v>5409</v>
      </c>
      <c r="FW158" s="567">
        <v>5546</v>
      </c>
      <c r="FX158" s="567">
        <v>4375</v>
      </c>
      <c r="FY158" s="567">
        <v>4296</v>
      </c>
      <c r="FZ158" s="567">
        <v>4189</v>
      </c>
      <c r="GA158" s="567">
        <v>3718</v>
      </c>
      <c r="GB158" s="567">
        <v>3306</v>
      </c>
      <c r="GC158" s="567">
        <v>2846</v>
      </c>
      <c r="GD158" s="567">
        <v>2931</v>
      </c>
      <c r="GE158" s="567">
        <v>2828</v>
      </c>
      <c r="GF158" s="567">
        <v>2632</v>
      </c>
      <c r="GG158" s="567">
        <v>2327</v>
      </c>
      <c r="GH158" s="567">
        <v>2137</v>
      </c>
      <c r="GI158" s="567">
        <v>1982</v>
      </c>
      <c r="GJ158" s="567">
        <v>1693</v>
      </c>
      <c r="GK158" s="567">
        <v>1476</v>
      </c>
      <c r="GL158" s="61">
        <v>6674</v>
      </c>
    </row>
    <row r="159" spans="1:194" s="1" customFormat="1">
      <c r="A159" s="110" t="s">
        <v>936</v>
      </c>
      <c r="B159" s="607" t="s">
        <v>938</v>
      </c>
      <c r="C159" s="137" t="str">
        <f t="shared" si="43"/>
        <v>England ICB - NHS Bedfordshire, Luton and Milton Keynes Integrated Care Board</v>
      </c>
      <c r="D159" s="80">
        <f t="shared" si="45"/>
        <v>380018</v>
      </c>
      <c r="E159" s="80">
        <f t="shared" si="45"/>
        <v>395348</v>
      </c>
      <c r="F159" s="103">
        <f t="shared" si="46"/>
        <v>1015380</v>
      </c>
      <c r="G159" s="52">
        <f t="shared" si="47"/>
        <v>503181</v>
      </c>
      <c r="H159" s="53">
        <f t="shared" si="48"/>
        <v>512199</v>
      </c>
      <c r="I159" s="52">
        <f t="shared" si="49"/>
        <v>380018</v>
      </c>
      <c r="J159" s="105">
        <f t="shared" si="50"/>
        <v>395348</v>
      </c>
      <c r="K159" s="107">
        <f t="shared" si="51"/>
        <v>123163</v>
      </c>
      <c r="L159" s="51">
        <f t="shared" si="52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>
      <c r="A160" s="110" t="s">
        <v>936</v>
      </c>
      <c r="B160" s="607" t="s">
        <v>939</v>
      </c>
      <c r="C160" s="137" t="str">
        <f t="shared" si="43"/>
        <v>England ICB - NHS Birmingham and Solihull Integrated Care Board</v>
      </c>
      <c r="D160" s="80">
        <f t="shared" si="45"/>
        <v>503372</v>
      </c>
      <c r="E160" s="80">
        <f t="shared" si="45"/>
        <v>536150</v>
      </c>
      <c r="F160" s="103">
        <f t="shared" si="46"/>
        <v>1375281</v>
      </c>
      <c r="G160" s="52">
        <f t="shared" si="47"/>
        <v>674927</v>
      </c>
      <c r="H160" s="53">
        <f t="shared" si="48"/>
        <v>700354</v>
      </c>
      <c r="I160" s="52">
        <f t="shared" si="49"/>
        <v>503372</v>
      </c>
      <c r="J160" s="105">
        <f t="shared" si="50"/>
        <v>536150</v>
      </c>
      <c r="K160" s="107">
        <f t="shared" si="51"/>
        <v>171555</v>
      </c>
      <c r="L160" s="51">
        <f t="shared" si="52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>
      <c r="A161" s="110" t="s">
        <v>936</v>
      </c>
      <c r="B161" s="607" t="s">
        <v>940</v>
      </c>
      <c r="C161" s="137" t="str">
        <f t="shared" si="43"/>
        <v>England ICB - NHS Black Country Integrated Care Board</v>
      </c>
      <c r="D161" s="80">
        <f t="shared" si="45"/>
        <v>453894</v>
      </c>
      <c r="E161" s="80">
        <f t="shared" si="45"/>
        <v>481312</v>
      </c>
      <c r="F161" s="103">
        <f t="shared" si="46"/>
        <v>1222935</v>
      </c>
      <c r="G161" s="52">
        <f t="shared" si="47"/>
        <v>601713</v>
      </c>
      <c r="H161" s="53">
        <f t="shared" si="48"/>
        <v>621222</v>
      </c>
      <c r="I161" s="52">
        <f t="shared" si="49"/>
        <v>453894</v>
      </c>
      <c r="J161" s="105">
        <f t="shared" si="50"/>
        <v>481312</v>
      </c>
      <c r="K161" s="107">
        <f t="shared" si="51"/>
        <v>147819</v>
      </c>
      <c r="L161" s="51">
        <f t="shared" si="52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>
      <c r="A162" s="110" t="s">
        <v>936</v>
      </c>
      <c r="B162" s="607" t="s">
        <v>941</v>
      </c>
      <c r="C162" s="137" t="str">
        <f t="shared" si="43"/>
        <v>England ICB - NHS Bristol, North Somerset and South Gloucestershire Integrated Care Board</v>
      </c>
      <c r="D162" s="80">
        <f t="shared" si="45"/>
        <v>390782</v>
      </c>
      <c r="E162" s="80">
        <f t="shared" si="45"/>
        <v>407039</v>
      </c>
      <c r="F162" s="103">
        <f t="shared" si="46"/>
        <v>992934</v>
      </c>
      <c r="G162" s="52">
        <f t="shared" si="47"/>
        <v>490777</v>
      </c>
      <c r="H162" s="53">
        <f t="shared" si="48"/>
        <v>502157</v>
      </c>
      <c r="I162" s="52">
        <f t="shared" si="49"/>
        <v>390782</v>
      </c>
      <c r="J162" s="105">
        <f t="shared" si="50"/>
        <v>407039</v>
      </c>
      <c r="K162" s="107">
        <f t="shared" si="51"/>
        <v>99995</v>
      </c>
      <c r="L162" s="51">
        <f t="shared" si="52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>
      <c r="A163" s="110" t="s">
        <v>936</v>
      </c>
      <c r="B163" s="607" t="s">
        <v>942</v>
      </c>
      <c r="C163" s="137" t="str">
        <f t="shared" si="43"/>
        <v>England ICB - NHS Buckinghamshire, Oxfordshire and Berkshire West Integrated Care Board</v>
      </c>
      <c r="D163" s="80">
        <f t="shared" si="45"/>
        <v>690249</v>
      </c>
      <c r="E163" s="80">
        <f t="shared" si="45"/>
        <v>726442</v>
      </c>
      <c r="F163" s="103">
        <f t="shared" si="46"/>
        <v>1802735</v>
      </c>
      <c r="G163" s="52">
        <f t="shared" si="47"/>
        <v>888395</v>
      </c>
      <c r="H163" s="53">
        <f t="shared" si="48"/>
        <v>914340</v>
      </c>
      <c r="I163" s="52">
        <f t="shared" si="49"/>
        <v>690249</v>
      </c>
      <c r="J163" s="105">
        <f t="shared" si="50"/>
        <v>726442</v>
      </c>
      <c r="K163" s="107">
        <f t="shared" si="51"/>
        <v>198146</v>
      </c>
      <c r="L163" s="51">
        <f t="shared" si="52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>
      <c r="A164" s="110" t="s">
        <v>936</v>
      </c>
      <c r="B164" s="607" t="s">
        <v>943</v>
      </c>
      <c r="C164" s="137" t="str">
        <f t="shared" si="43"/>
        <v>England ICB - NHS Cambridgeshire and Peterborough Integrated Care Board</v>
      </c>
      <c r="D164" s="80">
        <f t="shared" ref="D164:D188" si="53">I164</f>
        <v>357567</v>
      </c>
      <c r="E164" s="80">
        <f t="shared" ref="E164:E188" si="54">J164</f>
        <v>374124</v>
      </c>
      <c r="F164" s="103">
        <f t="shared" ref="F164:F188" si="55">G164+H164</f>
        <v>927342</v>
      </c>
      <c r="G164" s="52">
        <f t="shared" ref="G164:G188" si="56">SUM(M164:CY164)</f>
        <v>457923</v>
      </c>
      <c r="H164" s="53">
        <f t="shared" ref="H164:H188" si="57">SUM(CZ164:GL164)</f>
        <v>469419</v>
      </c>
      <c r="I164" s="52">
        <f t="shared" ref="I164:I188" si="58">SUM(AE164:CY164)</f>
        <v>357567</v>
      </c>
      <c r="J164" s="105">
        <f t="shared" ref="J164:J188" si="59">SUM(DR164:GL164)</f>
        <v>374124</v>
      </c>
      <c r="K164" s="107">
        <f t="shared" ref="K164:K188" si="60">SUM(M164:AD164)</f>
        <v>100356</v>
      </c>
      <c r="L164" s="51">
        <f t="shared" ref="L164:L188" si="61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>
      <c r="A165" s="110" t="s">
        <v>936</v>
      </c>
      <c r="B165" s="607" t="s">
        <v>944</v>
      </c>
      <c r="C165" s="137" t="str">
        <f t="shared" si="43"/>
        <v>England ICB - NHS Cheshire and Merseyside Integrated Care Board</v>
      </c>
      <c r="D165" s="80">
        <f t="shared" si="53"/>
        <v>984852</v>
      </c>
      <c r="E165" s="80">
        <f t="shared" si="54"/>
        <v>1059001</v>
      </c>
      <c r="F165" s="103">
        <f t="shared" si="55"/>
        <v>2550846</v>
      </c>
      <c r="G165" s="52">
        <f t="shared" si="56"/>
        <v>1245283</v>
      </c>
      <c r="H165" s="53">
        <f t="shared" si="57"/>
        <v>1305563</v>
      </c>
      <c r="I165" s="52">
        <f t="shared" si="58"/>
        <v>984852</v>
      </c>
      <c r="J165" s="105">
        <f t="shared" si="59"/>
        <v>1059001</v>
      </c>
      <c r="K165" s="107">
        <f t="shared" si="60"/>
        <v>260431</v>
      </c>
      <c r="L165" s="51">
        <f t="shared" si="61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>
      <c r="A166" s="110" t="s">
        <v>936</v>
      </c>
      <c r="B166" s="607" t="s">
        <v>945</v>
      </c>
      <c r="C166" s="137" t="str">
        <f t="shared" si="43"/>
        <v>England ICB - NHS Cornwall and the Isles of Scilly Integrated Care Board</v>
      </c>
      <c r="D166" s="80">
        <f t="shared" si="53"/>
        <v>226093</v>
      </c>
      <c r="E166" s="80">
        <f t="shared" si="54"/>
        <v>245842</v>
      </c>
      <c r="F166" s="103">
        <f t="shared" si="55"/>
        <v>577694</v>
      </c>
      <c r="G166" s="52">
        <f t="shared" si="56"/>
        <v>280361</v>
      </c>
      <c r="H166" s="53">
        <f t="shared" si="57"/>
        <v>297333</v>
      </c>
      <c r="I166" s="52">
        <f t="shared" si="58"/>
        <v>226093</v>
      </c>
      <c r="J166" s="105">
        <f t="shared" si="59"/>
        <v>245842</v>
      </c>
      <c r="K166" s="107">
        <f t="shared" si="60"/>
        <v>54268</v>
      </c>
      <c r="L166" s="51">
        <f t="shared" si="61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>
      <c r="A167" s="110" t="s">
        <v>936</v>
      </c>
      <c r="B167" s="607" t="s">
        <v>946</v>
      </c>
      <c r="C167" s="137" t="str">
        <f t="shared" si="43"/>
        <v>England ICB - NHS Coventry and Warwickshire Integrated Care Board</v>
      </c>
      <c r="D167" s="80">
        <f t="shared" si="53"/>
        <v>374777</v>
      </c>
      <c r="E167" s="80">
        <f t="shared" si="54"/>
        <v>386977</v>
      </c>
      <c r="F167" s="103">
        <f t="shared" si="55"/>
        <v>963204</v>
      </c>
      <c r="G167" s="52">
        <f t="shared" si="56"/>
        <v>477693</v>
      </c>
      <c r="H167" s="53">
        <f t="shared" si="57"/>
        <v>485511</v>
      </c>
      <c r="I167" s="52">
        <f t="shared" si="58"/>
        <v>374777</v>
      </c>
      <c r="J167" s="105">
        <f t="shared" si="59"/>
        <v>386977</v>
      </c>
      <c r="K167" s="107">
        <f t="shared" si="60"/>
        <v>102916</v>
      </c>
      <c r="L167" s="51">
        <f t="shared" si="61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>
      <c r="A168" s="110" t="s">
        <v>936</v>
      </c>
      <c r="B168" s="607" t="s">
        <v>947</v>
      </c>
      <c r="C168" s="137" t="str">
        <f t="shared" si="43"/>
        <v>England ICB - NHS Derby and Derbyshire Integrated Care Board</v>
      </c>
      <c r="D168" s="80">
        <f t="shared" si="53"/>
        <v>416604</v>
      </c>
      <c r="E168" s="80">
        <f t="shared" si="54"/>
        <v>437823</v>
      </c>
      <c r="F168" s="103">
        <f t="shared" si="55"/>
        <v>1066954</v>
      </c>
      <c r="G168" s="52">
        <f t="shared" si="56"/>
        <v>524926</v>
      </c>
      <c r="H168" s="53">
        <f t="shared" si="57"/>
        <v>542028</v>
      </c>
      <c r="I168" s="52">
        <f t="shared" si="58"/>
        <v>416604</v>
      </c>
      <c r="J168" s="105">
        <f t="shared" si="59"/>
        <v>437823</v>
      </c>
      <c r="K168" s="107">
        <f t="shared" si="60"/>
        <v>108322</v>
      </c>
      <c r="L168" s="51">
        <f t="shared" si="61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>
      <c r="A169" s="110" t="s">
        <v>936</v>
      </c>
      <c r="B169" s="607" t="s">
        <v>948</v>
      </c>
      <c r="C169" s="137" t="str">
        <f t="shared" si="43"/>
        <v>England ICB - NHS Devon Integrated Care Board</v>
      </c>
      <c r="D169" s="80">
        <f t="shared" si="53"/>
        <v>486049</v>
      </c>
      <c r="E169" s="80">
        <f t="shared" si="54"/>
        <v>522875</v>
      </c>
      <c r="F169" s="103">
        <f t="shared" si="55"/>
        <v>1232660</v>
      </c>
      <c r="G169" s="52">
        <f t="shared" si="56"/>
        <v>600962</v>
      </c>
      <c r="H169" s="53">
        <f t="shared" si="57"/>
        <v>631698</v>
      </c>
      <c r="I169" s="52">
        <f t="shared" si="58"/>
        <v>486049</v>
      </c>
      <c r="J169" s="105">
        <f t="shared" si="59"/>
        <v>522875</v>
      </c>
      <c r="K169" s="107">
        <f t="shared" si="60"/>
        <v>114913</v>
      </c>
      <c r="L169" s="51">
        <f t="shared" si="61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>
      <c r="A170" s="110" t="s">
        <v>936</v>
      </c>
      <c r="B170" s="607" t="s">
        <v>949</v>
      </c>
      <c r="C170" s="137" t="str">
        <f t="shared" si="43"/>
        <v>England ICB - NHS Dorset Integrated Care Board</v>
      </c>
      <c r="D170" s="80">
        <f t="shared" si="53"/>
        <v>310533</v>
      </c>
      <c r="E170" s="80">
        <f t="shared" si="54"/>
        <v>334681</v>
      </c>
      <c r="F170" s="103">
        <f t="shared" si="55"/>
        <v>785172</v>
      </c>
      <c r="G170" s="52">
        <f t="shared" si="56"/>
        <v>382244</v>
      </c>
      <c r="H170" s="53">
        <f t="shared" si="57"/>
        <v>402928</v>
      </c>
      <c r="I170" s="52">
        <f t="shared" si="58"/>
        <v>310533</v>
      </c>
      <c r="J170" s="105">
        <f t="shared" si="59"/>
        <v>334681</v>
      </c>
      <c r="K170" s="107">
        <f t="shared" si="60"/>
        <v>71711</v>
      </c>
      <c r="L170" s="51">
        <f t="shared" si="61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>
      <c r="A171" s="110" t="s">
        <v>936</v>
      </c>
      <c r="B171" s="607" t="s">
        <v>950</v>
      </c>
      <c r="C171" s="137" t="str">
        <f t="shared" si="43"/>
        <v>England ICB - NHS Frimley Integrated Care Board</v>
      </c>
      <c r="D171" s="80">
        <f t="shared" si="53"/>
        <v>291456</v>
      </c>
      <c r="E171" s="80">
        <f t="shared" si="54"/>
        <v>305607</v>
      </c>
      <c r="F171" s="103">
        <f t="shared" si="55"/>
        <v>773481</v>
      </c>
      <c r="G171" s="52">
        <f t="shared" si="56"/>
        <v>382291</v>
      </c>
      <c r="H171" s="53">
        <f t="shared" si="57"/>
        <v>391190</v>
      </c>
      <c r="I171" s="52">
        <f t="shared" si="58"/>
        <v>291456</v>
      </c>
      <c r="J171" s="105">
        <f t="shared" si="59"/>
        <v>305607</v>
      </c>
      <c r="K171" s="107">
        <f t="shared" si="60"/>
        <v>90835</v>
      </c>
      <c r="L171" s="51">
        <f t="shared" si="61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>
      <c r="A172" s="110" t="s">
        <v>936</v>
      </c>
      <c r="B172" s="607" t="s">
        <v>951</v>
      </c>
      <c r="C172" s="137" t="str">
        <f t="shared" si="43"/>
        <v>England ICB - NHS Gloucestershire Integrated Care Board</v>
      </c>
      <c r="D172" s="80">
        <f t="shared" si="53"/>
        <v>253430</v>
      </c>
      <c r="E172" s="80">
        <f t="shared" si="54"/>
        <v>270225</v>
      </c>
      <c r="F172" s="103">
        <f t="shared" si="55"/>
        <v>652409</v>
      </c>
      <c r="G172" s="52">
        <f t="shared" si="56"/>
        <v>318898</v>
      </c>
      <c r="H172" s="53">
        <f t="shared" si="57"/>
        <v>333511</v>
      </c>
      <c r="I172" s="52">
        <f t="shared" si="58"/>
        <v>253430</v>
      </c>
      <c r="J172" s="105">
        <f t="shared" si="59"/>
        <v>270225</v>
      </c>
      <c r="K172" s="107">
        <f t="shared" si="60"/>
        <v>65468</v>
      </c>
      <c r="L172" s="51">
        <f t="shared" si="61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>
      <c r="A173" s="110" t="s">
        <v>936</v>
      </c>
      <c r="B173" s="607" t="s">
        <v>952</v>
      </c>
      <c r="C173" s="137" t="str">
        <f t="shared" si="43"/>
        <v>England ICB - NHS Greater Manchester Integrated Care Board</v>
      </c>
      <c r="D173" s="80">
        <f t="shared" si="53"/>
        <v>1096990</v>
      </c>
      <c r="E173" s="80">
        <f t="shared" si="54"/>
        <v>1151812</v>
      </c>
      <c r="F173" s="103">
        <f t="shared" si="55"/>
        <v>2911744</v>
      </c>
      <c r="G173" s="52">
        <f t="shared" si="56"/>
        <v>1436730</v>
      </c>
      <c r="H173" s="53">
        <f t="shared" si="57"/>
        <v>1475014</v>
      </c>
      <c r="I173" s="52">
        <f t="shared" si="58"/>
        <v>1096990</v>
      </c>
      <c r="J173" s="105">
        <f t="shared" si="59"/>
        <v>1151812</v>
      </c>
      <c r="K173" s="107">
        <f t="shared" si="60"/>
        <v>339740</v>
      </c>
      <c r="L173" s="51">
        <f t="shared" si="61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>
      <c r="A174" s="110" t="s">
        <v>936</v>
      </c>
      <c r="B174" s="607" t="s">
        <v>953</v>
      </c>
      <c r="C174" s="137" t="str">
        <f t="shared" si="43"/>
        <v>England ICB - NHS Hampshire and Isle of Wight Integrated Care Board</v>
      </c>
      <c r="D174" s="80">
        <f t="shared" si="53"/>
        <v>718104</v>
      </c>
      <c r="E174" s="80">
        <f t="shared" si="54"/>
        <v>762541</v>
      </c>
      <c r="F174" s="103">
        <f t="shared" si="55"/>
        <v>1842052</v>
      </c>
      <c r="G174" s="52">
        <f t="shared" si="56"/>
        <v>903321</v>
      </c>
      <c r="H174" s="53">
        <f t="shared" si="57"/>
        <v>938731</v>
      </c>
      <c r="I174" s="52">
        <f t="shared" si="58"/>
        <v>718104</v>
      </c>
      <c r="J174" s="105">
        <f t="shared" si="59"/>
        <v>762541</v>
      </c>
      <c r="K174" s="107">
        <f t="shared" si="60"/>
        <v>185217</v>
      </c>
      <c r="L174" s="51">
        <f t="shared" si="61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>
      <c r="A175" s="110" t="s">
        <v>936</v>
      </c>
      <c r="B175" s="607" t="s">
        <v>954</v>
      </c>
      <c r="C175" s="137" t="str">
        <f t="shared" si="43"/>
        <v>England ICB - NHS Herefordshire and Worcestershire Integrated Care Board</v>
      </c>
      <c r="D175" s="80">
        <f t="shared" si="53"/>
        <v>311771</v>
      </c>
      <c r="E175" s="80">
        <f t="shared" si="54"/>
        <v>333199</v>
      </c>
      <c r="F175" s="103">
        <f t="shared" si="55"/>
        <v>797935</v>
      </c>
      <c r="G175" s="52">
        <f t="shared" si="56"/>
        <v>390507</v>
      </c>
      <c r="H175" s="53">
        <f t="shared" si="57"/>
        <v>407428</v>
      </c>
      <c r="I175" s="52">
        <f t="shared" si="58"/>
        <v>311771</v>
      </c>
      <c r="J175" s="105">
        <f t="shared" si="59"/>
        <v>333199</v>
      </c>
      <c r="K175" s="107">
        <f t="shared" si="60"/>
        <v>78736</v>
      </c>
      <c r="L175" s="51">
        <f t="shared" si="61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>
      <c r="A176" s="110" t="s">
        <v>936</v>
      </c>
      <c r="B176" s="607" t="s">
        <v>955</v>
      </c>
      <c r="C176" s="137" t="str">
        <f t="shared" si="43"/>
        <v>England ICB - NHS Hertfordshire and West Essex Integrated Care Board</v>
      </c>
      <c r="D176" s="80">
        <f t="shared" si="53"/>
        <v>561880</v>
      </c>
      <c r="E176" s="80">
        <f t="shared" si="54"/>
        <v>606349</v>
      </c>
      <c r="F176" s="103">
        <f t="shared" si="55"/>
        <v>1506036</v>
      </c>
      <c r="G176" s="52">
        <f t="shared" si="56"/>
        <v>734819</v>
      </c>
      <c r="H176" s="53">
        <f t="shared" si="57"/>
        <v>771217</v>
      </c>
      <c r="I176" s="52">
        <f t="shared" si="58"/>
        <v>561880</v>
      </c>
      <c r="J176" s="105">
        <f t="shared" si="59"/>
        <v>606349</v>
      </c>
      <c r="K176" s="107">
        <f t="shared" si="60"/>
        <v>172939</v>
      </c>
      <c r="L176" s="51">
        <f t="shared" si="61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>
      <c r="A177" s="110" t="s">
        <v>936</v>
      </c>
      <c r="B177" s="607" t="s">
        <v>956</v>
      </c>
      <c r="C177" s="137" t="str">
        <f t="shared" si="43"/>
        <v>England ICB - NHS Humber and North Yorkshire Integrated Care Board</v>
      </c>
      <c r="D177" s="80">
        <f t="shared" si="53"/>
        <v>672459</v>
      </c>
      <c r="E177" s="80">
        <f t="shared" si="54"/>
        <v>712297</v>
      </c>
      <c r="F177" s="103">
        <f t="shared" si="55"/>
        <v>1713205</v>
      </c>
      <c r="G177" s="52">
        <f t="shared" si="56"/>
        <v>841169</v>
      </c>
      <c r="H177" s="53">
        <f t="shared" si="57"/>
        <v>872036</v>
      </c>
      <c r="I177" s="52">
        <f t="shared" si="58"/>
        <v>672459</v>
      </c>
      <c r="J177" s="105">
        <f t="shared" si="59"/>
        <v>712297</v>
      </c>
      <c r="K177" s="107">
        <f t="shared" si="60"/>
        <v>168710</v>
      </c>
      <c r="L177" s="51">
        <f t="shared" si="61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>
      <c r="A178" s="110" t="s">
        <v>936</v>
      </c>
      <c r="B178" s="607" t="s">
        <v>957</v>
      </c>
      <c r="C178" s="137" t="str">
        <f t="shared" si="43"/>
        <v>England ICB - NHS Kent and Medway Integrated Care Board</v>
      </c>
      <c r="D178" s="80">
        <f t="shared" si="53"/>
        <v>705391</v>
      </c>
      <c r="E178" s="80">
        <f t="shared" si="54"/>
        <v>762802</v>
      </c>
      <c r="F178" s="103">
        <f t="shared" si="55"/>
        <v>1875893</v>
      </c>
      <c r="G178" s="52">
        <f t="shared" si="56"/>
        <v>914637</v>
      </c>
      <c r="H178" s="53">
        <f t="shared" si="57"/>
        <v>961256</v>
      </c>
      <c r="I178" s="52">
        <f t="shared" si="58"/>
        <v>705391</v>
      </c>
      <c r="J178" s="105">
        <f t="shared" si="59"/>
        <v>762802</v>
      </c>
      <c r="K178" s="107">
        <f t="shared" si="60"/>
        <v>209246</v>
      </c>
      <c r="L178" s="51">
        <f t="shared" si="61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>
      <c r="A179" s="110" t="s">
        <v>936</v>
      </c>
      <c r="B179" s="607" t="s">
        <v>958</v>
      </c>
      <c r="C179" s="137" t="str">
        <f t="shared" si="43"/>
        <v>England ICB - NHS Lancashire and South Cumbria Integrated Care Board</v>
      </c>
      <c r="D179" s="80">
        <f t="shared" si="53"/>
        <v>674572</v>
      </c>
      <c r="E179" s="80">
        <f t="shared" si="54"/>
        <v>708629</v>
      </c>
      <c r="F179" s="103">
        <f t="shared" si="55"/>
        <v>1737241</v>
      </c>
      <c r="G179" s="52">
        <f t="shared" si="56"/>
        <v>855662</v>
      </c>
      <c r="H179" s="53">
        <f t="shared" si="57"/>
        <v>881579</v>
      </c>
      <c r="I179" s="52">
        <f t="shared" si="58"/>
        <v>674572</v>
      </c>
      <c r="J179" s="105">
        <f t="shared" si="59"/>
        <v>708629</v>
      </c>
      <c r="K179" s="107">
        <f t="shared" si="60"/>
        <v>181090</v>
      </c>
      <c r="L179" s="51">
        <f t="shared" si="61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>
      <c r="A180" s="110" t="s">
        <v>936</v>
      </c>
      <c r="B180" s="607" t="s">
        <v>959</v>
      </c>
      <c r="C180" s="137" t="str">
        <f t="shared" si="43"/>
        <v>England ICB - NHS Leicester, Leicestershire and Rutland Integrated Care Board</v>
      </c>
      <c r="D180" s="80">
        <f t="shared" si="53"/>
        <v>440810</v>
      </c>
      <c r="E180" s="80">
        <f t="shared" si="54"/>
        <v>457187</v>
      </c>
      <c r="F180" s="103">
        <f t="shared" si="55"/>
        <v>1136705</v>
      </c>
      <c r="G180" s="52">
        <f t="shared" si="56"/>
        <v>563981</v>
      </c>
      <c r="H180" s="53">
        <f t="shared" si="57"/>
        <v>572724</v>
      </c>
      <c r="I180" s="52">
        <f t="shared" si="58"/>
        <v>440810</v>
      </c>
      <c r="J180" s="105">
        <f t="shared" si="59"/>
        <v>457187</v>
      </c>
      <c r="K180" s="107">
        <f t="shared" si="60"/>
        <v>123171</v>
      </c>
      <c r="L180" s="51">
        <f t="shared" si="61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>
      <c r="A181" s="110" t="s">
        <v>936</v>
      </c>
      <c r="B181" s="607" t="s">
        <v>960</v>
      </c>
      <c r="C181" s="137" t="str">
        <f t="shared" si="43"/>
        <v>England ICB - NHS Lincolnshire Integrated Care Board</v>
      </c>
      <c r="D181" s="80">
        <f t="shared" si="53"/>
        <v>305377</v>
      </c>
      <c r="E181" s="80">
        <f t="shared" si="54"/>
        <v>324135</v>
      </c>
      <c r="F181" s="103">
        <f t="shared" si="55"/>
        <v>775524</v>
      </c>
      <c r="G181" s="52">
        <f t="shared" si="56"/>
        <v>380037</v>
      </c>
      <c r="H181" s="53">
        <f t="shared" si="57"/>
        <v>395487</v>
      </c>
      <c r="I181" s="52">
        <f t="shared" si="58"/>
        <v>305377</v>
      </c>
      <c r="J181" s="105">
        <f t="shared" si="59"/>
        <v>324135</v>
      </c>
      <c r="K181" s="107">
        <f t="shared" si="60"/>
        <v>74660</v>
      </c>
      <c r="L181" s="51">
        <f t="shared" si="61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>
      <c r="A182" s="110" t="s">
        <v>936</v>
      </c>
      <c r="B182" s="607" t="s">
        <v>961</v>
      </c>
      <c r="C182" s="137" t="str">
        <f t="shared" si="43"/>
        <v>England ICB - NHS Mid and South Essex Integrated Care Board</v>
      </c>
      <c r="D182" s="80">
        <f t="shared" si="53"/>
        <v>455569</v>
      </c>
      <c r="E182" s="80">
        <f t="shared" si="54"/>
        <v>491909</v>
      </c>
      <c r="F182" s="103">
        <f t="shared" si="55"/>
        <v>1209480</v>
      </c>
      <c r="G182" s="52">
        <f t="shared" si="56"/>
        <v>589912</v>
      </c>
      <c r="H182" s="53">
        <f t="shared" si="57"/>
        <v>619568</v>
      </c>
      <c r="I182" s="52">
        <f t="shared" si="58"/>
        <v>455569</v>
      </c>
      <c r="J182" s="105">
        <f t="shared" si="59"/>
        <v>491909</v>
      </c>
      <c r="K182" s="107">
        <f t="shared" si="60"/>
        <v>134343</v>
      </c>
      <c r="L182" s="51">
        <f t="shared" si="61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>
      <c r="A183" s="110" t="s">
        <v>936</v>
      </c>
      <c r="B183" s="607" t="s">
        <v>962</v>
      </c>
      <c r="C183" s="137" t="str">
        <f t="shared" si="43"/>
        <v>England ICB - NHS Norfolk and Waveney Integrated Care Board</v>
      </c>
      <c r="D183" s="80">
        <f t="shared" si="53"/>
        <v>413052</v>
      </c>
      <c r="E183" s="80">
        <f t="shared" si="54"/>
        <v>438783</v>
      </c>
      <c r="F183" s="103">
        <f t="shared" si="55"/>
        <v>1041932</v>
      </c>
      <c r="G183" s="52">
        <f t="shared" si="56"/>
        <v>510572</v>
      </c>
      <c r="H183" s="53">
        <f t="shared" si="57"/>
        <v>531360</v>
      </c>
      <c r="I183" s="52">
        <f t="shared" si="58"/>
        <v>413052</v>
      </c>
      <c r="J183" s="105">
        <f t="shared" si="59"/>
        <v>438783</v>
      </c>
      <c r="K183" s="107">
        <f t="shared" si="60"/>
        <v>97520</v>
      </c>
      <c r="L183" s="51">
        <f t="shared" si="61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>
      <c r="A184" s="110" t="s">
        <v>936</v>
      </c>
      <c r="B184" s="607" t="s">
        <v>963</v>
      </c>
      <c r="C184" s="137" t="str">
        <f t="shared" si="43"/>
        <v>England ICB - NHS North Central London Integrated Care Board</v>
      </c>
      <c r="D184" s="80">
        <f t="shared" si="53"/>
        <v>525382</v>
      </c>
      <c r="E184" s="80">
        <f t="shared" si="54"/>
        <v>593171</v>
      </c>
      <c r="F184" s="103">
        <f t="shared" si="55"/>
        <v>1416558</v>
      </c>
      <c r="G184" s="52">
        <f t="shared" si="56"/>
        <v>677387</v>
      </c>
      <c r="H184" s="53">
        <f t="shared" si="57"/>
        <v>739171</v>
      </c>
      <c r="I184" s="52">
        <f t="shared" si="58"/>
        <v>525382</v>
      </c>
      <c r="J184" s="105">
        <f t="shared" si="59"/>
        <v>593171</v>
      </c>
      <c r="K184" s="107">
        <f t="shared" si="60"/>
        <v>152005</v>
      </c>
      <c r="L184" s="51">
        <f t="shared" si="61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>
      <c r="A185" s="110" t="s">
        <v>936</v>
      </c>
      <c r="B185" s="607" t="s">
        <v>964</v>
      </c>
      <c r="C185" s="137" t="str">
        <f t="shared" si="43"/>
        <v>England ICB - NHS North East and North Cumbria Integrated Care Board</v>
      </c>
      <c r="D185" s="80">
        <f t="shared" si="53"/>
        <v>1169921</v>
      </c>
      <c r="E185" s="80">
        <f t="shared" si="54"/>
        <v>1245100</v>
      </c>
      <c r="F185" s="103">
        <f t="shared" si="55"/>
        <v>3005519</v>
      </c>
      <c r="G185" s="52">
        <f t="shared" si="56"/>
        <v>1472907</v>
      </c>
      <c r="H185" s="53">
        <f t="shared" si="57"/>
        <v>1532612</v>
      </c>
      <c r="I185" s="52">
        <f t="shared" si="58"/>
        <v>1169921</v>
      </c>
      <c r="J185" s="105">
        <f t="shared" si="59"/>
        <v>1245100</v>
      </c>
      <c r="K185" s="107">
        <f t="shared" si="60"/>
        <v>302986</v>
      </c>
      <c r="L185" s="51">
        <f t="shared" si="61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>
      <c r="A186" s="110" t="s">
        <v>936</v>
      </c>
      <c r="B186" s="607" t="s">
        <v>965</v>
      </c>
      <c r="C186" s="137" t="str">
        <f t="shared" si="43"/>
        <v>England ICB - NHS North East London Integrated Care Board</v>
      </c>
      <c r="D186" s="80">
        <f t="shared" si="53"/>
        <v>760944</v>
      </c>
      <c r="E186" s="80">
        <f t="shared" si="54"/>
        <v>800228</v>
      </c>
      <c r="F186" s="103">
        <f t="shared" si="55"/>
        <v>2028265</v>
      </c>
      <c r="G186" s="52">
        <f t="shared" si="56"/>
        <v>998819</v>
      </c>
      <c r="H186" s="53">
        <f t="shared" si="57"/>
        <v>1029446</v>
      </c>
      <c r="I186" s="52">
        <f t="shared" si="58"/>
        <v>760944</v>
      </c>
      <c r="J186" s="105">
        <f t="shared" si="59"/>
        <v>800228</v>
      </c>
      <c r="K186" s="107">
        <f t="shared" si="60"/>
        <v>237875</v>
      </c>
      <c r="L186" s="51">
        <f t="shared" si="61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>
      <c r="A187" s="110" t="s">
        <v>936</v>
      </c>
      <c r="B187" s="607" t="s">
        <v>966</v>
      </c>
      <c r="C187" s="137" t="str">
        <f t="shared" si="43"/>
        <v>England ICB - NHS North West London Integrated Care Board</v>
      </c>
      <c r="D187" s="80">
        <f>I187</f>
        <v>811699</v>
      </c>
      <c r="E187" s="80">
        <f>J187</f>
        <v>867923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>
      <c r="A188" s="110" t="s">
        <v>936</v>
      </c>
      <c r="B188" s="607" t="s">
        <v>967</v>
      </c>
      <c r="C188" s="137" t="str">
        <f t="shared" si="43"/>
        <v>England ICB - NHS Northamptonshire Integrated Care Board</v>
      </c>
      <c r="D188" s="80">
        <f t="shared" si="53"/>
        <v>302548</v>
      </c>
      <c r="E188" s="80">
        <f t="shared" si="54"/>
        <v>316259</v>
      </c>
      <c r="F188" s="103">
        <f t="shared" si="55"/>
        <v>792421</v>
      </c>
      <c r="G188" s="52">
        <f t="shared" si="56"/>
        <v>391147</v>
      </c>
      <c r="H188" s="53">
        <f t="shared" si="57"/>
        <v>401274</v>
      </c>
      <c r="I188" s="52">
        <f t="shared" si="58"/>
        <v>302548</v>
      </c>
      <c r="J188" s="105">
        <f t="shared" si="59"/>
        <v>316259</v>
      </c>
      <c r="K188" s="107">
        <f t="shared" si="60"/>
        <v>88599</v>
      </c>
      <c r="L188" s="51">
        <f t="shared" si="61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>
      <c r="A189" s="110" t="s">
        <v>936</v>
      </c>
      <c r="B189" s="607" t="s">
        <v>968</v>
      </c>
      <c r="C189" s="137" t="str">
        <f t="shared" si="43"/>
        <v>England ICB - NHS Nottingham and Nottinghamshire Integrated Care Board</v>
      </c>
      <c r="D189" s="80">
        <f t="shared" ref="D189:E193" si="62">I189</f>
        <v>451967</v>
      </c>
      <c r="E189" s="80">
        <f t="shared" si="62"/>
        <v>478147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>
      <c r="A190" s="110" t="s">
        <v>936</v>
      </c>
      <c r="B190" s="607" t="s">
        <v>969</v>
      </c>
      <c r="C190" s="137" t="str">
        <f t="shared" si="43"/>
        <v>England ICB - NHS Shropshire, Telford and Wrekin Integrated Care Board</v>
      </c>
      <c r="D190" s="80">
        <f t="shared" si="62"/>
        <v>202333</v>
      </c>
      <c r="E190" s="80">
        <f t="shared" si="62"/>
        <v>212592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>
      <c r="A191" s="110" t="s">
        <v>936</v>
      </c>
      <c r="B191" s="607" t="s">
        <v>970</v>
      </c>
      <c r="C191" s="137" t="str">
        <f t="shared" si="43"/>
        <v>England ICB - NHS Somerset Integrated Care Board</v>
      </c>
      <c r="D191" s="80">
        <f t="shared" si="62"/>
        <v>225653</v>
      </c>
      <c r="E191" s="80">
        <f t="shared" si="62"/>
        <v>240687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>
      <c r="A192" s="110" t="s">
        <v>936</v>
      </c>
      <c r="B192" s="607" t="s">
        <v>971</v>
      </c>
      <c r="C192" s="137" t="str">
        <f t="shared" si="43"/>
        <v>England ICB - NHS South East London Integrated Care Board</v>
      </c>
      <c r="D192" s="80">
        <f t="shared" si="62"/>
        <v>677404</v>
      </c>
      <c r="E192" s="80">
        <f t="shared" si="62"/>
        <v>749378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>
      <c r="A193" s="110" t="s">
        <v>936</v>
      </c>
      <c r="B193" s="607" t="s">
        <v>972</v>
      </c>
      <c r="C193" s="137" t="str">
        <f t="shared" si="43"/>
        <v>England ICB - NHS South West London Integrated Care Board</v>
      </c>
      <c r="D193" s="80">
        <f t="shared" si="62"/>
        <v>558793</v>
      </c>
      <c r="E193" s="80">
        <f t="shared" si="62"/>
        <v>624396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>
      <c r="A194" s="110" t="s">
        <v>936</v>
      </c>
      <c r="B194" s="607" t="s">
        <v>973</v>
      </c>
      <c r="C194" s="137" t="str">
        <f t="shared" si="43"/>
        <v>England ICB - NHS South Yorkshire Integrated Care Board</v>
      </c>
      <c r="D194" s="80">
        <f t="shared" ref="D194:D199" si="63">I194</f>
        <v>540959</v>
      </c>
      <c r="E194" s="80">
        <f t="shared" ref="E194:E199" si="64">J194</f>
        <v>564398</v>
      </c>
      <c r="F194" s="103">
        <f t="shared" ref="F194:F199" si="65">G194+H194</f>
        <v>1392105</v>
      </c>
      <c r="G194" s="52">
        <f t="shared" ref="G194:G199" si="66">SUM(M194:CY194)</f>
        <v>687732</v>
      </c>
      <c r="H194" s="53">
        <f t="shared" ref="H194:H199" si="67">SUM(CZ194:GL194)</f>
        <v>704373</v>
      </c>
      <c r="I194" s="52">
        <f t="shared" ref="I194:I199" si="68">SUM(AE194:CY194)</f>
        <v>540959</v>
      </c>
      <c r="J194" s="105">
        <f t="shared" ref="J194:J199" si="69">SUM(DR194:GL194)</f>
        <v>564398</v>
      </c>
      <c r="K194" s="107">
        <f t="shared" ref="K194:K199" si="70">SUM(M194:AD194)</f>
        <v>146773</v>
      </c>
      <c r="L194" s="51">
        <f t="shared" ref="L194:L199" si="71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>
      <c r="A195" s="110" t="s">
        <v>936</v>
      </c>
      <c r="B195" s="607" t="s">
        <v>974</v>
      </c>
      <c r="C195" s="137" t="str">
        <f t="shared" si="43"/>
        <v>England ICB - NHS Staffordshire and Stoke-on-Trent Integrated Care Board</v>
      </c>
      <c r="D195" s="80">
        <f t="shared" si="63"/>
        <v>450065</v>
      </c>
      <c r="E195" s="80">
        <f t="shared" si="64"/>
        <v>466226</v>
      </c>
      <c r="F195" s="103">
        <f t="shared" si="65"/>
        <v>1146249</v>
      </c>
      <c r="G195" s="52">
        <f t="shared" si="66"/>
        <v>567449</v>
      </c>
      <c r="H195" s="53">
        <f t="shared" si="67"/>
        <v>578800</v>
      </c>
      <c r="I195" s="52">
        <f t="shared" si="68"/>
        <v>450065</v>
      </c>
      <c r="J195" s="105">
        <f t="shared" si="69"/>
        <v>466226</v>
      </c>
      <c r="K195" s="107">
        <f t="shared" si="70"/>
        <v>117384</v>
      </c>
      <c r="L195" s="51">
        <f t="shared" si="71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>
      <c r="A196" s="110" t="s">
        <v>936</v>
      </c>
      <c r="B196" s="607" t="s">
        <v>975</v>
      </c>
      <c r="C196" s="137" t="str">
        <f t="shared" si="43"/>
        <v>England ICB - NHS Suffolk and North East Essex Integrated Care Board</v>
      </c>
      <c r="D196" s="80">
        <f t="shared" si="63"/>
        <v>390250</v>
      </c>
      <c r="E196" s="80">
        <f t="shared" si="64"/>
        <v>412336</v>
      </c>
      <c r="F196" s="103">
        <f t="shared" si="65"/>
        <v>997767</v>
      </c>
      <c r="G196" s="52">
        <f t="shared" si="66"/>
        <v>490262</v>
      </c>
      <c r="H196" s="53">
        <f t="shared" si="67"/>
        <v>507505</v>
      </c>
      <c r="I196" s="52">
        <f t="shared" si="68"/>
        <v>390250</v>
      </c>
      <c r="J196" s="105">
        <f t="shared" si="69"/>
        <v>412336</v>
      </c>
      <c r="K196" s="107">
        <f t="shared" si="70"/>
        <v>100012</v>
      </c>
      <c r="L196" s="51">
        <f t="shared" si="71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>
      <c r="A197" s="110" t="s">
        <v>936</v>
      </c>
      <c r="B197" s="607" t="s">
        <v>976</v>
      </c>
      <c r="C197" s="137" t="str">
        <f t="shared" si="43"/>
        <v>England ICB - NHS Surrey Heartlands Integrated Care Board</v>
      </c>
      <c r="D197" s="80">
        <f t="shared" si="63"/>
        <v>398933</v>
      </c>
      <c r="E197" s="80">
        <f t="shared" si="64"/>
        <v>429149</v>
      </c>
      <c r="F197" s="103">
        <f t="shared" si="65"/>
        <v>1058519</v>
      </c>
      <c r="G197" s="52">
        <f t="shared" si="66"/>
        <v>516579</v>
      </c>
      <c r="H197" s="53">
        <f t="shared" si="67"/>
        <v>541940</v>
      </c>
      <c r="I197" s="52">
        <f t="shared" si="68"/>
        <v>398933</v>
      </c>
      <c r="J197" s="105">
        <f t="shared" si="69"/>
        <v>429149</v>
      </c>
      <c r="K197" s="107">
        <f t="shared" si="70"/>
        <v>117646</v>
      </c>
      <c r="L197" s="51">
        <f t="shared" si="71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>
      <c r="A198" s="110" t="s">
        <v>936</v>
      </c>
      <c r="B198" s="607" t="s">
        <v>977</v>
      </c>
      <c r="C198" s="137" t="str">
        <f t="shared" si="43"/>
        <v>England ICB - NHS Sussex Integrated Care Board</v>
      </c>
      <c r="D198" s="80">
        <f t="shared" si="63"/>
        <v>666059</v>
      </c>
      <c r="E198" s="80">
        <f t="shared" si="64"/>
        <v>728176</v>
      </c>
      <c r="F198" s="103">
        <f t="shared" si="65"/>
        <v>1721021</v>
      </c>
      <c r="G198" s="52">
        <f t="shared" si="66"/>
        <v>833713</v>
      </c>
      <c r="H198" s="53">
        <f t="shared" si="67"/>
        <v>887308</v>
      </c>
      <c r="I198" s="52">
        <f t="shared" si="68"/>
        <v>666059</v>
      </c>
      <c r="J198" s="105">
        <f t="shared" si="69"/>
        <v>728176</v>
      </c>
      <c r="K198" s="107">
        <f t="shared" si="70"/>
        <v>167654</v>
      </c>
      <c r="L198" s="51">
        <f t="shared" si="71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>
      <c r="A199" s="110" t="s">
        <v>936</v>
      </c>
      <c r="B199" s="607" t="s">
        <v>978</v>
      </c>
      <c r="C199" s="137" t="str">
        <f t="shared" si="43"/>
        <v>England ICB - NHS West Yorkshire Integrated Care Board</v>
      </c>
      <c r="D199" s="80">
        <f t="shared" si="63"/>
        <v>914649</v>
      </c>
      <c r="E199" s="80">
        <f t="shared" si="64"/>
        <v>974243</v>
      </c>
      <c r="F199" s="103">
        <f t="shared" si="65"/>
        <v>2429755</v>
      </c>
      <c r="G199" s="52">
        <f t="shared" si="66"/>
        <v>1191152</v>
      </c>
      <c r="H199" s="53">
        <f t="shared" si="67"/>
        <v>1238603</v>
      </c>
      <c r="I199" s="52">
        <f t="shared" si="68"/>
        <v>914649</v>
      </c>
      <c r="J199" s="105">
        <f t="shared" si="69"/>
        <v>974243</v>
      </c>
      <c r="K199" s="107">
        <f t="shared" si="70"/>
        <v>276503</v>
      </c>
      <c r="L199" s="51">
        <f t="shared" si="71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>
      <c r="A200" s="113"/>
      <c r="B200" s="608"/>
      <c r="C200" s="120"/>
      <c r="D200" s="135">
        <f t="shared" ref="D200:L200" si="72">SUM(D158:D199)</f>
        <v>21895402</v>
      </c>
      <c r="E200" s="135">
        <f t="shared" si="72"/>
        <v>23324090</v>
      </c>
      <c r="F200" s="135">
        <f t="shared" si="72"/>
        <v>57106398</v>
      </c>
      <c r="G200" s="135">
        <f t="shared" si="72"/>
        <v>27983290</v>
      </c>
      <c r="H200" s="135">
        <f t="shared" si="72"/>
        <v>29123108</v>
      </c>
      <c r="I200" s="135">
        <f t="shared" si="72"/>
        <v>21895402</v>
      </c>
      <c r="J200" s="135">
        <f t="shared" si="72"/>
        <v>23324090</v>
      </c>
      <c r="K200" s="135">
        <f t="shared" si="72"/>
        <v>6087888</v>
      </c>
      <c r="L200" s="135">
        <f t="shared" si="72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>
      <c r="A201" s="31" t="s">
        <v>220</v>
      </c>
      <c r="B201" s="1" t="s">
        <v>368</v>
      </c>
      <c r="C201" s="72" t="str">
        <f>CONCATENATE(A201," - ",B201)</f>
        <v>LA England - Adur</v>
      </c>
      <c r="D201" s="61">
        <f t="shared" ref="D201:D265" si="73">I201</f>
        <v>24443</v>
      </c>
      <c r="E201" s="61">
        <f t="shared" ref="E201:E265" si="74">J201</f>
        <v>27108</v>
      </c>
      <c r="F201" s="566">
        <f t="shared" ref="F201:F265" si="75">G201+H201</f>
        <v>64688</v>
      </c>
      <c r="G201" s="566">
        <f t="shared" ref="G201:G265" si="76">SUM(M201:CY201)</f>
        <v>31217</v>
      </c>
      <c r="H201" s="62">
        <f t="shared" ref="H201:H265" si="77">SUM(CZ201:GL201)</f>
        <v>33471</v>
      </c>
      <c r="I201" s="62">
        <f t="shared" ref="I201:I265" si="78">SUM(AE201:CY201)</f>
        <v>24443</v>
      </c>
      <c r="J201" s="62">
        <f t="shared" ref="J201:J265" si="79">SUM(DR201:GL201)</f>
        <v>27108</v>
      </c>
      <c r="K201" s="50">
        <f t="shared" ref="K201:K265" si="80">SUM(M201:AD201)</f>
        <v>6774</v>
      </c>
      <c r="L201" s="61">
        <f t="shared" ref="L201:L265" si="81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>
      <c r="A202" s="31" t="s">
        <v>220</v>
      </c>
      <c r="B202" s="1" t="s">
        <v>369</v>
      </c>
      <c r="C202" s="30" t="str">
        <f>CONCATENATE(A202," - ",B202)</f>
        <v>LA England - Amber Valley</v>
      </c>
      <c r="D202" s="51">
        <f>I202</f>
        <v>50386</v>
      </c>
      <c r="E202" s="51">
        <f>J202</f>
        <v>52754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>
      <c r="A203" s="31" t="s">
        <v>220</v>
      </c>
      <c r="B203" s="1" t="s">
        <v>370</v>
      </c>
      <c r="C203" s="30" t="str">
        <f>CONCATENATE(A203," - ",B203)</f>
        <v>LA England - Arun</v>
      </c>
      <c r="D203" s="51">
        <f t="shared" si="73"/>
        <v>65198</v>
      </c>
      <c r="E203" s="51">
        <f t="shared" si="74"/>
        <v>72560</v>
      </c>
      <c r="F203" s="52">
        <f t="shared" si="75"/>
        <v>166366</v>
      </c>
      <c r="G203" s="52">
        <f t="shared" si="76"/>
        <v>79966</v>
      </c>
      <c r="H203" s="53">
        <f t="shared" si="77"/>
        <v>86400</v>
      </c>
      <c r="I203" s="53">
        <f t="shared" si="78"/>
        <v>65198</v>
      </c>
      <c r="J203" s="53">
        <f t="shared" si="79"/>
        <v>72560</v>
      </c>
      <c r="K203" s="50">
        <f t="shared" si="80"/>
        <v>14768</v>
      </c>
      <c r="L203" s="51">
        <f t="shared" si="81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>
      <c r="A204" s="31" t="s">
        <v>220</v>
      </c>
      <c r="B204" s="1" t="s">
        <v>371</v>
      </c>
      <c r="C204" s="30" t="str">
        <f t="shared" ref="C204:C267" si="82">CONCATENATE(A204," - ",B204)</f>
        <v>LA England - Ashfield</v>
      </c>
      <c r="D204" s="51">
        <f t="shared" si="73"/>
        <v>48616</v>
      </c>
      <c r="E204" s="51">
        <f t="shared" si="74"/>
        <v>52147</v>
      </c>
      <c r="F204" s="52">
        <f t="shared" si="75"/>
        <v>127179</v>
      </c>
      <c r="G204" s="52">
        <f t="shared" si="76"/>
        <v>62228</v>
      </c>
      <c r="H204" s="53">
        <f t="shared" si="77"/>
        <v>64951</v>
      </c>
      <c r="I204" s="53">
        <f t="shared" si="78"/>
        <v>48616</v>
      </c>
      <c r="J204" s="53">
        <f t="shared" si="79"/>
        <v>52147</v>
      </c>
      <c r="K204" s="50">
        <f t="shared" si="80"/>
        <v>13612</v>
      </c>
      <c r="L204" s="51">
        <f t="shared" si="81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>
      <c r="A205" s="31" t="s">
        <v>220</v>
      </c>
      <c r="B205" s="1" t="s">
        <v>372</v>
      </c>
      <c r="C205" s="30" t="str">
        <f t="shared" si="82"/>
        <v>LA England - Ashford</v>
      </c>
      <c r="D205" s="51">
        <f t="shared" si="73"/>
        <v>50720</v>
      </c>
      <c r="E205" s="51">
        <f t="shared" si="74"/>
        <v>55066</v>
      </c>
      <c r="F205" s="52">
        <f t="shared" si="75"/>
        <v>135610</v>
      </c>
      <c r="G205" s="52">
        <f t="shared" si="76"/>
        <v>65965</v>
      </c>
      <c r="H205" s="53">
        <f t="shared" si="77"/>
        <v>69645</v>
      </c>
      <c r="I205" s="53">
        <f t="shared" si="78"/>
        <v>50720</v>
      </c>
      <c r="J205" s="53">
        <f t="shared" si="79"/>
        <v>55066</v>
      </c>
      <c r="K205" s="50">
        <f t="shared" si="80"/>
        <v>15245</v>
      </c>
      <c r="L205" s="51">
        <f t="shared" si="81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>
      <c r="A206" s="31" t="s">
        <v>220</v>
      </c>
      <c r="B206" s="1" t="s">
        <v>373</v>
      </c>
      <c r="C206" s="30" t="str">
        <f t="shared" si="82"/>
        <v>LA England - Babergh</v>
      </c>
      <c r="D206" s="51">
        <f t="shared" si="73"/>
        <v>36897</v>
      </c>
      <c r="E206" s="51">
        <f t="shared" si="74"/>
        <v>40085</v>
      </c>
      <c r="F206" s="52">
        <f t="shared" si="75"/>
        <v>94277</v>
      </c>
      <c r="G206" s="52">
        <f t="shared" si="76"/>
        <v>45714</v>
      </c>
      <c r="H206" s="53">
        <f t="shared" si="77"/>
        <v>48563</v>
      </c>
      <c r="I206" s="53">
        <f t="shared" si="78"/>
        <v>36897</v>
      </c>
      <c r="J206" s="53">
        <f t="shared" si="79"/>
        <v>40085</v>
      </c>
      <c r="K206" s="50">
        <f t="shared" si="80"/>
        <v>8817</v>
      </c>
      <c r="L206" s="51">
        <f t="shared" si="81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>
      <c r="A207" s="31" t="s">
        <v>220</v>
      </c>
      <c r="B207" s="1" t="s">
        <v>374</v>
      </c>
      <c r="C207" s="30" t="str">
        <f t="shared" si="82"/>
        <v>LA England - Barking and Dagenham</v>
      </c>
      <c r="D207" s="51">
        <f t="shared" si="73"/>
        <v>74471</v>
      </c>
      <c r="E207" s="51">
        <f t="shared" si="74"/>
        <v>81550</v>
      </c>
      <c r="F207" s="52">
        <f t="shared" si="75"/>
        <v>219992</v>
      </c>
      <c r="G207" s="52">
        <f t="shared" si="76"/>
        <v>107205</v>
      </c>
      <c r="H207" s="53">
        <f t="shared" si="77"/>
        <v>112787</v>
      </c>
      <c r="I207" s="53">
        <f t="shared" si="78"/>
        <v>74471</v>
      </c>
      <c r="J207" s="53">
        <f t="shared" si="79"/>
        <v>81550</v>
      </c>
      <c r="K207" s="50">
        <f t="shared" si="80"/>
        <v>32734</v>
      </c>
      <c r="L207" s="51">
        <f t="shared" si="81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>
      <c r="A208" s="31" t="s">
        <v>220</v>
      </c>
      <c r="B208" s="1" t="s">
        <v>375</v>
      </c>
      <c r="C208" s="30" t="str">
        <f t="shared" si="82"/>
        <v>LA England - Barnet</v>
      </c>
      <c r="D208" s="51">
        <f t="shared" si="73"/>
        <v>141927</v>
      </c>
      <c r="E208" s="51">
        <f t="shared" si="74"/>
        <v>156636</v>
      </c>
      <c r="F208" s="52">
        <f t="shared" si="75"/>
        <v>389101</v>
      </c>
      <c r="G208" s="52">
        <f t="shared" si="76"/>
        <v>188543</v>
      </c>
      <c r="H208" s="53">
        <f t="shared" si="77"/>
        <v>200558</v>
      </c>
      <c r="I208" s="53">
        <f t="shared" si="78"/>
        <v>141927</v>
      </c>
      <c r="J208" s="53">
        <f t="shared" si="79"/>
        <v>156636</v>
      </c>
      <c r="K208" s="50">
        <f t="shared" si="80"/>
        <v>46616</v>
      </c>
      <c r="L208" s="51">
        <f t="shared" si="81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>
      <c r="A209" s="31" t="s">
        <v>220</v>
      </c>
      <c r="B209" s="1" t="s">
        <v>376</v>
      </c>
      <c r="C209" s="30" t="str">
        <f t="shared" si="82"/>
        <v>LA England - Barnsley</v>
      </c>
      <c r="D209" s="51">
        <f t="shared" si="73"/>
        <v>95316</v>
      </c>
      <c r="E209" s="51">
        <f t="shared" si="74"/>
        <v>100485</v>
      </c>
      <c r="F209" s="52">
        <f t="shared" si="75"/>
        <v>246482</v>
      </c>
      <c r="G209" s="52">
        <f t="shared" si="76"/>
        <v>121223</v>
      </c>
      <c r="H209" s="53">
        <f t="shared" si="77"/>
        <v>125259</v>
      </c>
      <c r="I209" s="53">
        <f t="shared" si="78"/>
        <v>95316</v>
      </c>
      <c r="J209" s="53">
        <f t="shared" si="79"/>
        <v>100485</v>
      </c>
      <c r="K209" s="50">
        <f t="shared" si="80"/>
        <v>25907</v>
      </c>
      <c r="L209" s="51">
        <f t="shared" si="81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>
      <c r="A210" s="31" t="s">
        <v>220</v>
      </c>
      <c r="B210" s="1" t="s">
        <v>377</v>
      </c>
      <c r="C210" s="30" t="str">
        <f t="shared" si="82"/>
        <v>LA England - Basildon</v>
      </c>
      <c r="D210" s="51">
        <f t="shared" si="73"/>
        <v>69270</v>
      </c>
      <c r="E210" s="51">
        <f t="shared" si="74"/>
        <v>75587</v>
      </c>
      <c r="F210" s="52">
        <f t="shared" si="75"/>
        <v>188848</v>
      </c>
      <c r="G210" s="52">
        <f t="shared" si="76"/>
        <v>91792</v>
      </c>
      <c r="H210" s="53">
        <f t="shared" si="77"/>
        <v>97056</v>
      </c>
      <c r="I210" s="53">
        <f t="shared" si="78"/>
        <v>69270</v>
      </c>
      <c r="J210" s="53">
        <f t="shared" si="79"/>
        <v>75587</v>
      </c>
      <c r="K210" s="50">
        <f t="shared" si="80"/>
        <v>22522</v>
      </c>
      <c r="L210" s="51">
        <f t="shared" si="81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>
      <c r="A211" s="31" t="s">
        <v>220</v>
      </c>
      <c r="B211" s="1" t="s">
        <v>378</v>
      </c>
      <c r="C211" s="30" t="str">
        <f t="shared" si="82"/>
        <v>LA England - Basingstoke and Deane</v>
      </c>
      <c r="D211" s="51">
        <f t="shared" si="73"/>
        <v>72629</v>
      </c>
      <c r="E211" s="51">
        <f t="shared" si="74"/>
        <v>75400</v>
      </c>
      <c r="F211" s="52">
        <f t="shared" si="75"/>
        <v>187817</v>
      </c>
      <c r="G211" s="52">
        <f t="shared" si="76"/>
        <v>93056</v>
      </c>
      <c r="H211" s="53">
        <f t="shared" si="77"/>
        <v>94761</v>
      </c>
      <c r="I211" s="53">
        <f t="shared" si="78"/>
        <v>72629</v>
      </c>
      <c r="J211" s="53">
        <f t="shared" si="79"/>
        <v>75400</v>
      </c>
      <c r="K211" s="50">
        <f t="shared" si="80"/>
        <v>20427</v>
      </c>
      <c r="L211" s="51">
        <f t="shared" si="81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>
      <c r="A212" s="31" t="s">
        <v>220</v>
      </c>
      <c r="B212" s="1" t="s">
        <v>379</v>
      </c>
      <c r="C212" s="30" t="str">
        <f t="shared" si="82"/>
        <v>LA England - Bassetlaw</v>
      </c>
      <c r="D212" s="51">
        <f t="shared" si="73"/>
        <v>47388</v>
      </c>
      <c r="E212" s="51">
        <f t="shared" si="74"/>
        <v>49144</v>
      </c>
      <c r="F212" s="52">
        <f t="shared" si="75"/>
        <v>120012</v>
      </c>
      <c r="G212" s="52">
        <f t="shared" si="76"/>
        <v>59485</v>
      </c>
      <c r="H212" s="53">
        <f t="shared" si="77"/>
        <v>60527</v>
      </c>
      <c r="I212" s="53">
        <f t="shared" si="78"/>
        <v>47388</v>
      </c>
      <c r="J212" s="53">
        <f t="shared" si="79"/>
        <v>49144</v>
      </c>
      <c r="K212" s="50">
        <f t="shared" si="80"/>
        <v>12097</v>
      </c>
      <c r="L212" s="51">
        <f t="shared" si="81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>
      <c r="A213" s="31" t="s">
        <v>220</v>
      </c>
      <c r="B213" s="1" t="s">
        <v>380</v>
      </c>
      <c r="C213" s="30" t="str">
        <f t="shared" si="82"/>
        <v>LA England - Bath and North East Somerset</v>
      </c>
      <c r="D213" s="51">
        <f t="shared" si="73"/>
        <v>77006</v>
      </c>
      <c r="E213" s="51">
        <f t="shared" si="74"/>
        <v>82497</v>
      </c>
      <c r="F213" s="52">
        <f t="shared" si="75"/>
        <v>195618</v>
      </c>
      <c r="G213" s="52">
        <f t="shared" si="76"/>
        <v>95553</v>
      </c>
      <c r="H213" s="53">
        <f t="shared" si="77"/>
        <v>100065</v>
      </c>
      <c r="I213" s="53">
        <f t="shared" si="78"/>
        <v>77006</v>
      </c>
      <c r="J213" s="53">
        <f t="shared" si="79"/>
        <v>82497</v>
      </c>
      <c r="K213" s="50">
        <f t="shared" si="80"/>
        <v>18547</v>
      </c>
      <c r="L213" s="51">
        <f t="shared" si="81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>
      <c r="A214" s="31" t="s">
        <v>220</v>
      </c>
      <c r="B214" s="1" t="s">
        <v>381</v>
      </c>
      <c r="C214" s="30" t="str">
        <f t="shared" si="82"/>
        <v>LA England - Bedford</v>
      </c>
      <c r="D214" s="51">
        <f t="shared" si="73"/>
        <v>70367</v>
      </c>
      <c r="E214" s="51">
        <f t="shared" si="74"/>
        <v>74766</v>
      </c>
      <c r="F214" s="52">
        <f t="shared" si="75"/>
        <v>187466</v>
      </c>
      <c r="G214" s="52">
        <f t="shared" si="76"/>
        <v>92103</v>
      </c>
      <c r="H214" s="53">
        <f t="shared" si="77"/>
        <v>95363</v>
      </c>
      <c r="I214" s="53">
        <f t="shared" si="78"/>
        <v>70367</v>
      </c>
      <c r="J214" s="53">
        <f t="shared" si="79"/>
        <v>74766</v>
      </c>
      <c r="K214" s="50">
        <f t="shared" si="80"/>
        <v>21736</v>
      </c>
      <c r="L214" s="51">
        <f t="shared" si="81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>
      <c r="A215" s="31" t="s">
        <v>220</v>
      </c>
      <c r="B215" s="1" t="s">
        <v>382</v>
      </c>
      <c r="C215" s="30" t="str">
        <f t="shared" si="82"/>
        <v>LA England - Bexley</v>
      </c>
      <c r="D215" s="51">
        <f t="shared" si="73"/>
        <v>90112</v>
      </c>
      <c r="E215" s="51">
        <f t="shared" si="74"/>
        <v>100536</v>
      </c>
      <c r="F215" s="52">
        <f t="shared" si="75"/>
        <v>247835</v>
      </c>
      <c r="G215" s="52">
        <f t="shared" si="76"/>
        <v>119290</v>
      </c>
      <c r="H215" s="53">
        <f t="shared" si="77"/>
        <v>128545</v>
      </c>
      <c r="I215" s="53">
        <f t="shared" si="78"/>
        <v>90112</v>
      </c>
      <c r="J215" s="53">
        <f t="shared" si="79"/>
        <v>100536</v>
      </c>
      <c r="K215" s="50">
        <f t="shared" si="80"/>
        <v>29178</v>
      </c>
      <c r="L215" s="51">
        <f t="shared" si="81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>
      <c r="A216" s="31" t="s">
        <v>220</v>
      </c>
      <c r="B216" s="1" t="s">
        <v>383</v>
      </c>
      <c r="C216" s="30" t="str">
        <f t="shared" si="82"/>
        <v>LA England - Birmingham</v>
      </c>
      <c r="D216" s="51">
        <f t="shared" si="73"/>
        <v>422246</v>
      </c>
      <c r="E216" s="51">
        <f t="shared" si="74"/>
        <v>447410</v>
      </c>
      <c r="F216" s="52">
        <f t="shared" si="75"/>
        <v>1157603</v>
      </c>
      <c r="G216" s="52">
        <f t="shared" si="76"/>
        <v>569108</v>
      </c>
      <c r="H216" s="53">
        <f t="shared" si="77"/>
        <v>588495</v>
      </c>
      <c r="I216" s="53">
        <f t="shared" si="78"/>
        <v>422246</v>
      </c>
      <c r="J216" s="53">
        <f t="shared" si="79"/>
        <v>447410</v>
      </c>
      <c r="K216" s="50">
        <f t="shared" si="80"/>
        <v>146862</v>
      </c>
      <c r="L216" s="51">
        <f t="shared" si="81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>
      <c r="A217" s="31" t="s">
        <v>220</v>
      </c>
      <c r="B217" s="1" t="s">
        <v>384</v>
      </c>
      <c r="C217" s="30" t="str">
        <f t="shared" si="82"/>
        <v>LA England - Blaby</v>
      </c>
      <c r="D217" s="51">
        <f t="shared" si="73"/>
        <v>39799</v>
      </c>
      <c r="E217" s="51">
        <f t="shared" si="74"/>
        <v>42487</v>
      </c>
      <c r="F217" s="52">
        <f t="shared" si="75"/>
        <v>104182</v>
      </c>
      <c r="G217" s="52">
        <f t="shared" si="76"/>
        <v>51069</v>
      </c>
      <c r="H217" s="53">
        <f t="shared" si="77"/>
        <v>53113</v>
      </c>
      <c r="I217" s="53">
        <f t="shared" si="78"/>
        <v>39799</v>
      </c>
      <c r="J217" s="53">
        <f t="shared" si="79"/>
        <v>42487</v>
      </c>
      <c r="K217" s="50">
        <f t="shared" si="80"/>
        <v>11270</v>
      </c>
      <c r="L217" s="51">
        <f t="shared" si="81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>
      <c r="A218" s="31" t="s">
        <v>220</v>
      </c>
      <c r="B218" s="1" t="s">
        <v>385</v>
      </c>
      <c r="C218" s="30" t="str">
        <f t="shared" si="82"/>
        <v>LA England - Blackburn with Darwen</v>
      </c>
      <c r="D218" s="51">
        <f t="shared" si="73"/>
        <v>57058</v>
      </c>
      <c r="E218" s="51">
        <f t="shared" si="74"/>
        <v>58704</v>
      </c>
      <c r="F218" s="52">
        <f t="shared" si="75"/>
        <v>155762</v>
      </c>
      <c r="G218" s="52">
        <f t="shared" si="76"/>
        <v>77331</v>
      </c>
      <c r="H218" s="53">
        <f t="shared" si="77"/>
        <v>78431</v>
      </c>
      <c r="I218" s="53">
        <f t="shared" si="78"/>
        <v>57058</v>
      </c>
      <c r="J218" s="53">
        <f t="shared" si="79"/>
        <v>58704</v>
      </c>
      <c r="K218" s="50">
        <f t="shared" si="80"/>
        <v>20273</v>
      </c>
      <c r="L218" s="51">
        <f t="shared" si="81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>
      <c r="A219" s="31" t="s">
        <v>220</v>
      </c>
      <c r="B219" s="1" t="s">
        <v>386</v>
      </c>
      <c r="C219" s="30" t="str">
        <f t="shared" si="82"/>
        <v>LA England - Blackpool</v>
      </c>
      <c r="D219" s="51">
        <f t="shared" si="73"/>
        <v>55562</v>
      </c>
      <c r="E219" s="51">
        <f t="shared" si="74"/>
        <v>57783</v>
      </c>
      <c r="F219" s="52">
        <f t="shared" si="75"/>
        <v>141574</v>
      </c>
      <c r="G219" s="52">
        <f t="shared" si="76"/>
        <v>70014</v>
      </c>
      <c r="H219" s="53">
        <f t="shared" si="77"/>
        <v>71560</v>
      </c>
      <c r="I219" s="53">
        <f t="shared" si="78"/>
        <v>55562</v>
      </c>
      <c r="J219" s="53">
        <f t="shared" si="79"/>
        <v>57783</v>
      </c>
      <c r="K219" s="50">
        <f t="shared" si="80"/>
        <v>14452</v>
      </c>
      <c r="L219" s="51">
        <f t="shared" si="81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>
      <c r="A220" s="31" t="s">
        <v>220</v>
      </c>
      <c r="B220" s="1" t="s">
        <v>387</v>
      </c>
      <c r="C220" s="30" t="str">
        <f t="shared" si="82"/>
        <v>LA England - Bolsover</v>
      </c>
      <c r="D220" s="51">
        <f t="shared" si="73"/>
        <v>32064</v>
      </c>
      <c r="E220" s="51">
        <f t="shared" si="74"/>
        <v>33664</v>
      </c>
      <c r="F220" s="52">
        <f t="shared" si="75"/>
        <v>81553</v>
      </c>
      <c r="G220" s="52">
        <f t="shared" si="76"/>
        <v>40122</v>
      </c>
      <c r="H220" s="53">
        <f t="shared" si="77"/>
        <v>41431</v>
      </c>
      <c r="I220" s="53">
        <f t="shared" si="78"/>
        <v>32064</v>
      </c>
      <c r="J220" s="53">
        <f t="shared" si="79"/>
        <v>33664</v>
      </c>
      <c r="K220" s="50">
        <f t="shared" si="80"/>
        <v>8058</v>
      </c>
      <c r="L220" s="51">
        <f t="shared" si="81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>
      <c r="A221" s="31" t="s">
        <v>220</v>
      </c>
      <c r="B221" s="1" t="s">
        <v>388</v>
      </c>
      <c r="C221" s="30" t="str">
        <f t="shared" si="82"/>
        <v>LA England - Bolton</v>
      </c>
      <c r="D221" s="51">
        <f t="shared" si="73"/>
        <v>110558</v>
      </c>
      <c r="E221" s="51">
        <f t="shared" si="74"/>
        <v>115887</v>
      </c>
      <c r="F221" s="52">
        <f t="shared" si="75"/>
        <v>298903</v>
      </c>
      <c r="G221" s="52">
        <f t="shared" si="76"/>
        <v>147723</v>
      </c>
      <c r="H221" s="53">
        <f t="shared" si="77"/>
        <v>151180</v>
      </c>
      <c r="I221" s="53">
        <f t="shared" si="78"/>
        <v>110558</v>
      </c>
      <c r="J221" s="53">
        <f t="shared" si="79"/>
        <v>115887</v>
      </c>
      <c r="K221" s="50">
        <f t="shared" si="80"/>
        <v>37165</v>
      </c>
      <c r="L221" s="51">
        <f t="shared" si="81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>
      <c r="A222" s="31" t="s">
        <v>220</v>
      </c>
      <c r="B222" s="1" t="s">
        <v>389</v>
      </c>
      <c r="C222" s="30" t="str">
        <f t="shared" si="82"/>
        <v>LA England - Boston</v>
      </c>
      <c r="D222" s="51">
        <f t="shared" si="73"/>
        <v>27145</v>
      </c>
      <c r="E222" s="51">
        <f t="shared" si="74"/>
        <v>28658</v>
      </c>
      <c r="F222" s="52">
        <f t="shared" si="75"/>
        <v>70806</v>
      </c>
      <c r="G222" s="52">
        <f t="shared" si="76"/>
        <v>34835</v>
      </c>
      <c r="H222" s="53">
        <f t="shared" si="77"/>
        <v>35971</v>
      </c>
      <c r="I222" s="53">
        <f t="shared" si="78"/>
        <v>27145</v>
      </c>
      <c r="J222" s="53">
        <f t="shared" si="79"/>
        <v>28658</v>
      </c>
      <c r="K222" s="50">
        <f t="shared" si="80"/>
        <v>7690</v>
      </c>
      <c r="L222" s="51">
        <f t="shared" si="81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>
      <c r="A223" s="31" t="s">
        <v>220</v>
      </c>
      <c r="B223" s="1" t="s">
        <v>390</v>
      </c>
      <c r="C223" s="30" t="str">
        <f t="shared" si="82"/>
        <v>LA England - Bournemouth, Christchurch and Poole</v>
      </c>
      <c r="D223" s="51">
        <f t="shared" si="73"/>
        <v>158241</v>
      </c>
      <c r="E223" s="51">
        <f t="shared" si="74"/>
        <v>169802</v>
      </c>
      <c r="F223" s="52">
        <f t="shared" si="75"/>
        <v>401898</v>
      </c>
      <c r="G223" s="52">
        <f t="shared" si="76"/>
        <v>196127</v>
      </c>
      <c r="H223" s="53">
        <f t="shared" si="77"/>
        <v>205771</v>
      </c>
      <c r="I223" s="53">
        <f t="shared" si="78"/>
        <v>158241</v>
      </c>
      <c r="J223" s="53">
        <f t="shared" si="79"/>
        <v>169802</v>
      </c>
      <c r="K223" s="50">
        <f t="shared" si="80"/>
        <v>37886</v>
      </c>
      <c r="L223" s="51">
        <f t="shared" si="81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>
      <c r="A224" s="31" t="s">
        <v>220</v>
      </c>
      <c r="B224" s="1" t="s">
        <v>391</v>
      </c>
      <c r="C224" s="30" t="str">
        <f t="shared" si="82"/>
        <v>LA England - Bracknell Forest</v>
      </c>
      <c r="D224" s="51">
        <f t="shared" si="73"/>
        <v>48115</v>
      </c>
      <c r="E224" s="51">
        <f t="shared" si="74"/>
        <v>50547</v>
      </c>
      <c r="F224" s="52">
        <f t="shared" si="75"/>
        <v>126881</v>
      </c>
      <c r="G224" s="52">
        <f t="shared" si="76"/>
        <v>62570</v>
      </c>
      <c r="H224" s="53">
        <f t="shared" si="77"/>
        <v>64311</v>
      </c>
      <c r="I224" s="53">
        <f t="shared" si="78"/>
        <v>48115</v>
      </c>
      <c r="J224" s="53">
        <f t="shared" si="79"/>
        <v>50547</v>
      </c>
      <c r="K224" s="50">
        <f t="shared" si="80"/>
        <v>14455</v>
      </c>
      <c r="L224" s="51">
        <f t="shared" si="81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>
      <c r="A225" s="31" t="s">
        <v>220</v>
      </c>
      <c r="B225" s="1" t="s">
        <v>392</v>
      </c>
      <c r="C225" s="30" t="str">
        <f t="shared" si="82"/>
        <v>LA England - Bradford</v>
      </c>
      <c r="D225" s="51">
        <f t="shared" si="73"/>
        <v>199672</v>
      </c>
      <c r="E225" s="51">
        <f t="shared" si="74"/>
        <v>212039</v>
      </c>
      <c r="F225" s="52">
        <f t="shared" si="75"/>
        <v>552644</v>
      </c>
      <c r="G225" s="52">
        <f t="shared" si="76"/>
        <v>271181</v>
      </c>
      <c r="H225" s="53">
        <f t="shared" si="77"/>
        <v>281463</v>
      </c>
      <c r="I225" s="53">
        <f t="shared" si="78"/>
        <v>199672</v>
      </c>
      <c r="J225" s="53">
        <f t="shared" si="79"/>
        <v>212039</v>
      </c>
      <c r="K225" s="50">
        <f t="shared" si="80"/>
        <v>71509</v>
      </c>
      <c r="L225" s="51">
        <f t="shared" si="81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>
      <c r="A226" s="31" t="s">
        <v>220</v>
      </c>
      <c r="B226" s="1" t="s">
        <v>393</v>
      </c>
      <c r="C226" s="30" t="str">
        <f t="shared" si="82"/>
        <v>LA England - Braintree</v>
      </c>
      <c r="D226" s="51">
        <f t="shared" si="73"/>
        <v>60374</v>
      </c>
      <c r="E226" s="51">
        <f t="shared" si="74"/>
        <v>64608</v>
      </c>
      <c r="F226" s="52">
        <f t="shared" si="75"/>
        <v>157681</v>
      </c>
      <c r="G226" s="52">
        <f t="shared" si="76"/>
        <v>77152</v>
      </c>
      <c r="H226" s="53">
        <f t="shared" si="77"/>
        <v>80529</v>
      </c>
      <c r="I226" s="53">
        <f t="shared" si="78"/>
        <v>60374</v>
      </c>
      <c r="J226" s="53">
        <f t="shared" si="79"/>
        <v>64608</v>
      </c>
      <c r="K226" s="50">
        <f t="shared" si="80"/>
        <v>16778</v>
      </c>
      <c r="L226" s="51">
        <f t="shared" si="81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>
      <c r="A227" s="31" t="s">
        <v>220</v>
      </c>
      <c r="B227" s="1" t="s">
        <v>394</v>
      </c>
      <c r="C227" s="30" t="str">
        <f t="shared" si="82"/>
        <v>LA England - Breckland</v>
      </c>
      <c r="D227" s="51">
        <f t="shared" si="73"/>
        <v>57320</v>
      </c>
      <c r="E227" s="51">
        <f t="shared" si="74"/>
        <v>59417</v>
      </c>
      <c r="F227" s="52">
        <f t="shared" si="75"/>
        <v>143479</v>
      </c>
      <c r="G227" s="52">
        <f t="shared" si="76"/>
        <v>71134</v>
      </c>
      <c r="H227" s="53">
        <f t="shared" si="77"/>
        <v>72345</v>
      </c>
      <c r="I227" s="53">
        <f t="shared" si="78"/>
        <v>57320</v>
      </c>
      <c r="J227" s="53">
        <f t="shared" si="79"/>
        <v>59417</v>
      </c>
      <c r="K227" s="50">
        <f t="shared" si="80"/>
        <v>13814</v>
      </c>
      <c r="L227" s="51">
        <f t="shared" si="81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>
      <c r="A228" s="31" t="s">
        <v>220</v>
      </c>
      <c r="B228" s="1" t="s">
        <v>395</v>
      </c>
      <c r="C228" s="30" t="str">
        <f t="shared" si="82"/>
        <v>LA England - Brent</v>
      </c>
      <c r="D228" s="51">
        <f t="shared" si="73"/>
        <v>129562</v>
      </c>
      <c r="E228" s="51">
        <f t="shared" si="74"/>
        <v>138409</v>
      </c>
      <c r="F228" s="52">
        <f t="shared" si="75"/>
        <v>341221</v>
      </c>
      <c r="G228" s="52">
        <f t="shared" si="76"/>
        <v>167159</v>
      </c>
      <c r="H228" s="53">
        <f t="shared" si="77"/>
        <v>174062</v>
      </c>
      <c r="I228" s="53">
        <f t="shared" si="78"/>
        <v>129562</v>
      </c>
      <c r="J228" s="53">
        <f t="shared" si="79"/>
        <v>138409</v>
      </c>
      <c r="K228" s="50">
        <f t="shared" si="80"/>
        <v>37597</v>
      </c>
      <c r="L228" s="51">
        <f t="shared" si="81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>
      <c r="A229" s="31" t="s">
        <v>220</v>
      </c>
      <c r="B229" s="1" t="s">
        <v>396</v>
      </c>
      <c r="C229" s="30" t="str">
        <f t="shared" si="82"/>
        <v>LA England - Brentwood</v>
      </c>
      <c r="D229" s="51">
        <f t="shared" si="73"/>
        <v>29134</v>
      </c>
      <c r="E229" s="51">
        <f t="shared" si="74"/>
        <v>31900</v>
      </c>
      <c r="F229" s="52">
        <f t="shared" si="75"/>
        <v>77332</v>
      </c>
      <c r="G229" s="52">
        <f t="shared" si="76"/>
        <v>37566</v>
      </c>
      <c r="H229" s="53">
        <f t="shared" si="77"/>
        <v>39766</v>
      </c>
      <c r="I229" s="53">
        <f t="shared" si="78"/>
        <v>29134</v>
      </c>
      <c r="J229" s="53">
        <f t="shared" si="79"/>
        <v>31900</v>
      </c>
      <c r="K229" s="50">
        <f t="shared" si="80"/>
        <v>8432</v>
      </c>
      <c r="L229" s="51">
        <f t="shared" si="81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>
      <c r="A230" s="31" t="s">
        <v>220</v>
      </c>
      <c r="B230" s="1" t="s">
        <v>397</v>
      </c>
      <c r="C230" s="30" t="str">
        <f t="shared" si="82"/>
        <v>LA England - Brighton and Hove</v>
      </c>
      <c r="D230" s="51">
        <f t="shared" si="73"/>
        <v>112188</v>
      </c>
      <c r="E230" s="51">
        <f t="shared" si="74"/>
        <v>118923</v>
      </c>
      <c r="F230" s="52">
        <f t="shared" si="75"/>
        <v>277965</v>
      </c>
      <c r="G230" s="52">
        <f t="shared" si="76"/>
        <v>136030</v>
      </c>
      <c r="H230" s="53">
        <f t="shared" si="77"/>
        <v>141935</v>
      </c>
      <c r="I230" s="53">
        <f t="shared" si="78"/>
        <v>112188</v>
      </c>
      <c r="J230" s="53">
        <f t="shared" si="79"/>
        <v>118923</v>
      </c>
      <c r="K230" s="50">
        <f t="shared" si="80"/>
        <v>23842</v>
      </c>
      <c r="L230" s="51">
        <f t="shared" si="81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>
      <c r="A231" s="31" t="s">
        <v>220</v>
      </c>
      <c r="B231" s="1" t="s">
        <v>398</v>
      </c>
      <c r="C231" s="30" t="str">
        <f t="shared" si="82"/>
        <v>LA England - Bristol, City of</v>
      </c>
      <c r="D231" s="51">
        <f t="shared" si="73"/>
        <v>191394</v>
      </c>
      <c r="E231" s="51">
        <f t="shared" si="74"/>
        <v>196041</v>
      </c>
      <c r="F231" s="52">
        <f t="shared" si="75"/>
        <v>479024</v>
      </c>
      <c r="G231" s="52">
        <f t="shared" si="76"/>
        <v>238161</v>
      </c>
      <c r="H231" s="53">
        <f t="shared" si="77"/>
        <v>240863</v>
      </c>
      <c r="I231" s="53">
        <f t="shared" si="78"/>
        <v>191394</v>
      </c>
      <c r="J231" s="53">
        <f t="shared" si="79"/>
        <v>196041</v>
      </c>
      <c r="K231" s="50">
        <f t="shared" si="80"/>
        <v>46767</v>
      </c>
      <c r="L231" s="51">
        <f t="shared" si="81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>
      <c r="A232" s="31" t="s">
        <v>220</v>
      </c>
      <c r="B232" s="1" t="s">
        <v>399</v>
      </c>
      <c r="C232" s="30" t="str">
        <f t="shared" si="82"/>
        <v>LA England - Broadland</v>
      </c>
      <c r="D232" s="51">
        <f t="shared" si="73"/>
        <v>52699</v>
      </c>
      <c r="E232" s="51">
        <f t="shared" si="74"/>
        <v>56778</v>
      </c>
      <c r="F232" s="52">
        <f t="shared" si="75"/>
        <v>133872</v>
      </c>
      <c r="G232" s="52">
        <f t="shared" si="76"/>
        <v>65230</v>
      </c>
      <c r="H232" s="53">
        <f t="shared" si="77"/>
        <v>68642</v>
      </c>
      <c r="I232" s="53">
        <f t="shared" si="78"/>
        <v>52699</v>
      </c>
      <c r="J232" s="53">
        <f t="shared" si="79"/>
        <v>56778</v>
      </c>
      <c r="K232" s="50">
        <f t="shared" si="80"/>
        <v>12531</v>
      </c>
      <c r="L232" s="51">
        <f t="shared" si="81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>
      <c r="A233" s="31" t="s">
        <v>220</v>
      </c>
      <c r="B233" s="1" t="s">
        <v>400</v>
      </c>
      <c r="C233" s="30" t="str">
        <f t="shared" si="82"/>
        <v>LA England - Bromley</v>
      </c>
      <c r="D233" s="51">
        <f t="shared" si="73"/>
        <v>120654</v>
      </c>
      <c r="E233" s="51">
        <f t="shared" si="74"/>
        <v>136398</v>
      </c>
      <c r="F233" s="52">
        <f t="shared" si="75"/>
        <v>329578</v>
      </c>
      <c r="G233" s="52">
        <f t="shared" si="76"/>
        <v>157924</v>
      </c>
      <c r="H233" s="53">
        <f t="shared" si="77"/>
        <v>171654</v>
      </c>
      <c r="I233" s="53">
        <f t="shared" si="78"/>
        <v>120654</v>
      </c>
      <c r="J233" s="53">
        <f t="shared" si="79"/>
        <v>136398</v>
      </c>
      <c r="K233" s="50">
        <f t="shared" si="80"/>
        <v>37270</v>
      </c>
      <c r="L233" s="51">
        <f t="shared" si="81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>
      <c r="A234" s="31" t="s">
        <v>220</v>
      </c>
      <c r="B234" s="1" t="s">
        <v>401</v>
      </c>
      <c r="C234" s="30" t="str">
        <f t="shared" si="82"/>
        <v>LA England - Bromsgrove</v>
      </c>
      <c r="D234" s="51">
        <f t="shared" si="73"/>
        <v>38152</v>
      </c>
      <c r="E234" s="51">
        <f t="shared" si="74"/>
        <v>41141</v>
      </c>
      <c r="F234" s="52">
        <f t="shared" si="75"/>
        <v>100076</v>
      </c>
      <c r="G234" s="52">
        <f t="shared" si="76"/>
        <v>48813</v>
      </c>
      <c r="H234" s="53">
        <f t="shared" si="77"/>
        <v>51263</v>
      </c>
      <c r="I234" s="53">
        <f t="shared" si="78"/>
        <v>38152</v>
      </c>
      <c r="J234" s="53">
        <f t="shared" si="79"/>
        <v>41141</v>
      </c>
      <c r="K234" s="50">
        <f t="shared" si="80"/>
        <v>10661</v>
      </c>
      <c r="L234" s="51">
        <f t="shared" si="81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>
      <c r="A235" s="31" t="s">
        <v>220</v>
      </c>
      <c r="B235" s="1" t="s">
        <v>402</v>
      </c>
      <c r="C235" s="30" t="str">
        <f t="shared" si="82"/>
        <v>LA England - Broxbourne</v>
      </c>
      <c r="D235" s="51">
        <f t="shared" si="73"/>
        <v>36590</v>
      </c>
      <c r="E235" s="51">
        <f t="shared" si="74"/>
        <v>40279</v>
      </c>
      <c r="F235" s="52">
        <f t="shared" si="75"/>
        <v>99103</v>
      </c>
      <c r="G235" s="52">
        <f t="shared" si="76"/>
        <v>47849</v>
      </c>
      <c r="H235" s="53">
        <f t="shared" si="77"/>
        <v>51254</v>
      </c>
      <c r="I235" s="53">
        <f t="shared" si="78"/>
        <v>36590</v>
      </c>
      <c r="J235" s="53">
        <f t="shared" si="79"/>
        <v>40279</v>
      </c>
      <c r="K235" s="50">
        <f t="shared" si="80"/>
        <v>11259</v>
      </c>
      <c r="L235" s="51">
        <f t="shared" si="81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>
      <c r="A236" s="31" t="s">
        <v>220</v>
      </c>
      <c r="B236" s="1" t="s">
        <v>403</v>
      </c>
      <c r="C236" s="30" t="str">
        <f t="shared" si="82"/>
        <v>LA England - Broxtowe</v>
      </c>
      <c r="D236" s="51">
        <f t="shared" si="73"/>
        <v>44396</v>
      </c>
      <c r="E236" s="51">
        <f t="shared" si="74"/>
        <v>46922</v>
      </c>
      <c r="F236" s="52">
        <f t="shared" si="75"/>
        <v>112113</v>
      </c>
      <c r="G236" s="52">
        <f t="shared" si="76"/>
        <v>55101</v>
      </c>
      <c r="H236" s="53">
        <f t="shared" si="77"/>
        <v>57012</v>
      </c>
      <c r="I236" s="53">
        <f t="shared" si="78"/>
        <v>44396</v>
      </c>
      <c r="J236" s="53">
        <f t="shared" si="79"/>
        <v>46922</v>
      </c>
      <c r="K236" s="50">
        <f t="shared" si="80"/>
        <v>10705</v>
      </c>
      <c r="L236" s="51">
        <f t="shared" si="81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>
      <c r="A237" s="31" t="s">
        <v>220</v>
      </c>
      <c r="B237" s="1" t="s">
        <v>404</v>
      </c>
      <c r="C237" s="30" t="str">
        <f t="shared" si="82"/>
        <v>LA England - Buckinghamshire</v>
      </c>
      <c r="D237" s="51">
        <f t="shared" si="73"/>
        <v>209792</v>
      </c>
      <c r="E237" s="51">
        <f t="shared" si="74"/>
        <v>224674</v>
      </c>
      <c r="F237" s="52">
        <f t="shared" si="75"/>
        <v>560409</v>
      </c>
      <c r="G237" s="52">
        <f t="shared" si="76"/>
        <v>274097</v>
      </c>
      <c r="H237" s="53">
        <f t="shared" si="77"/>
        <v>286312</v>
      </c>
      <c r="I237" s="53">
        <f t="shared" si="78"/>
        <v>209792</v>
      </c>
      <c r="J237" s="53">
        <f t="shared" si="79"/>
        <v>224674</v>
      </c>
      <c r="K237" s="50">
        <f t="shared" si="80"/>
        <v>64305</v>
      </c>
      <c r="L237" s="51">
        <f t="shared" si="81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>
      <c r="A238" s="31" t="s">
        <v>220</v>
      </c>
      <c r="B238" s="1" t="s">
        <v>405</v>
      </c>
      <c r="C238" s="30" t="str">
        <f t="shared" si="82"/>
        <v>LA England - Burnley</v>
      </c>
      <c r="D238" s="51">
        <f t="shared" si="73"/>
        <v>35978</v>
      </c>
      <c r="E238" s="51">
        <f t="shared" si="74"/>
        <v>37600</v>
      </c>
      <c r="F238" s="52">
        <f t="shared" si="75"/>
        <v>95553</v>
      </c>
      <c r="G238" s="52">
        <f t="shared" si="76"/>
        <v>47238</v>
      </c>
      <c r="H238" s="53">
        <f t="shared" si="77"/>
        <v>48315</v>
      </c>
      <c r="I238" s="53">
        <f t="shared" si="78"/>
        <v>35978</v>
      </c>
      <c r="J238" s="53">
        <f t="shared" si="79"/>
        <v>37600</v>
      </c>
      <c r="K238" s="50">
        <f t="shared" si="80"/>
        <v>11260</v>
      </c>
      <c r="L238" s="51">
        <f t="shared" si="81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>
      <c r="A239" s="31" t="s">
        <v>220</v>
      </c>
      <c r="B239" s="1" t="s">
        <v>406</v>
      </c>
      <c r="C239" s="30" t="str">
        <f t="shared" si="82"/>
        <v>LA England - Bury</v>
      </c>
      <c r="D239" s="51">
        <f t="shared" si="73"/>
        <v>73049</v>
      </c>
      <c r="E239" s="51">
        <f t="shared" si="74"/>
        <v>77651</v>
      </c>
      <c r="F239" s="52">
        <f t="shared" si="75"/>
        <v>194606</v>
      </c>
      <c r="G239" s="52">
        <f t="shared" si="76"/>
        <v>95665</v>
      </c>
      <c r="H239" s="53">
        <f t="shared" si="77"/>
        <v>98941</v>
      </c>
      <c r="I239" s="53">
        <f t="shared" si="78"/>
        <v>73049</v>
      </c>
      <c r="J239" s="53">
        <f t="shared" si="79"/>
        <v>77651</v>
      </c>
      <c r="K239" s="50">
        <f t="shared" si="80"/>
        <v>22616</v>
      </c>
      <c r="L239" s="51">
        <f t="shared" si="81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>
      <c r="A240" s="31" t="s">
        <v>220</v>
      </c>
      <c r="B240" s="1" t="s">
        <v>407</v>
      </c>
      <c r="C240" s="30" t="str">
        <f t="shared" si="82"/>
        <v>LA England - Calderdale</v>
      </c>
      <c r="D240" s="51">
        <f t="shared" si="73"/>
        <v>78458</v>
      </c>
      <c r="E240" s="51">
        <f t="shared" si="74"/>
        <v>84126</v>
      </c>
      <c r="F240" s="52">
        <f t="shared" si="75"/>
        <v>207699</v>
      </c>
      <c r="G240" s="52">
        <f t="shared" si="76"/>
        <v>101550</v>
      </c>
      <c r="H240" s="53">
        <f t="shared" si="77"/>
        <v>106149</v>
      </c>
      <c r="I240" s="53">
        <f t="shared" si="78"/>
        <v>78458</v>
      </c>
      <c r="J240" s="53">
        <f t="shared" si="79"/>
        <v>84126</v>
      </c>
      <c r="K240" s="50">
        <f t="shared" si="80"/>
        <v>23092</v>
      </c>
      <c r="L240" s="51">
        <f t="shared" si="81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>
      <c r="A241" s="31" t="s">
        <v>220</v>
      </c>
      <c r="B241" s="1" t="s">
        <v>408</v>
      </c>
      <c r="C241" s="30" t="str">
        <f t="shared" si="82"/>
        <v>LA England - Cambridge</v>
      </c>
      <c r="D241" s="51">
        <f t="shared" si="73"/>
        <v>61594</v>
      </c>
      <c r="E241" s="51">
        <f t="shared" si="74"/>
        <v>61581</v>
      </c>
      <c r="F241" s="52">
        <f t="shared" si="75"/>
        <v>146995</v>
      </c>
      <c r="G241" s="52">
        <f t="shared" si="76"/>
        <v>73731</v>
      </c>
      <c r="H241" s="53">
        <f t="shared" si="77"/>
        <v>73264</v>
      </c>
      <c r="I241" s="53">
        <f t="shared" si="78"/>
        <v>61594</v>
      </c>
      <c r="J241" s="53">
        <f t="shared" si="79"/>
        <v>61581</v>
      </c>
      <c r="K241" s="50">
        <f t="shared" si="80"/>
        <v>12137</v>
      </c>
      <c r="L241" s="51">
        <f t="shared" si="81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>
      <c r="A242" s="31" t="s">
        <v>220</v>
      </c>
      <c r="B242" s="1" t="s">
        <v>409</v>
      </c>
      <c r="C242" s="30" t="str">
        <f t="shared" si="82"/>
        <v>LA England - Camden</v>
      </c>
      <c r="D242" s="51">
        <f t="shared" si="73"/>
        <v>83918</v>
      </c>
      <c r="E242" s="51">
        <f t="shared" si="74"/>
        <v>97894</v>
      </c>
      <c r="F242" s="52">
        <f t="shared" si="75"/>
        <v>218049</v>
      </c>
      <c r="G242" s="52">
        <f t="shared" si="76"/>
        <v>102201</v>
      </c>
      <c r="H242" s="53">
        <f t="shared" si="77"/>
        <v>115848</v>
      </c>
      <c r="I242" s="53">
        <f t="shared" si="78"/>
        <v>83918</v>
      </c>
      <c r="J242" s="53">
        <f t="shared" si="79"/>
        <v>97894</v>
      </c>
      <c r="K242" s="50">
        <f t="shared" si="80"/>
        <v>18283</v>
      </c>
      <c r="L242" s="51">
        <f t="shared" si="81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>
      <c r="A243" s="31" t="s">
        <v>220</v>
      </c>
      <c r="B243" s="1" t="s">
        <v>410</v>
      </c>
      <c r="C243" s="30" t="str">
        <f t="shared" si="82"/>
        <v>LA England - Cannock Chase</v>
      </c>
      <c r="D243" s="51">
        <f t="shared" si="73"/>
        <v>39435</v>
      </c>
      <c r="E243" s="51">
        <f t="shared" si="74"/>
        <v>41359</v>
      </c>
      <c r="F243" s="52">
        <f t="shared" si="75"/>
        <v>101140</v>
      </c>
      <c r="G243" s="52">
        <f t="shared" si="76"/>
        <v>49797</v>
      </c>
      <c r="H243" s="53">
        <f t="shared" si="77"/>
        <v>51343</v>
      </c>
      <c r="I243" s="53">
        <f t="shared" si="78"/>
        <v>39435</v>
      </c>
      <c r="J243" s="53">
        <f t="shared" si="79"/>
        <v>41359</v>
      </c>
      <c r="K243" s="50">
        <f t="shared" si="80"/>
        <v>10362</v>
      </c>
      <c r="L243" s="51">
        <f t="shared" si="81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>
      <c r="A244" s="31" t="s">
        <v>220</v>
      </c>
      <c r="B244" s="1" t="s">
        <v>411</v>
      </c>
      <c r="C244" s="30" t="str">
        <f t="shared" si="82"/>
        <v>LA England - Canterbury</v>
      </c>
      <c r="D244" s="51">
        <f t="shared" si="73"/>
        <v>61050</v>
      </c>
      <c r="E244" s="51">
        <f t="shared" si="74"/>
        <v>67934</v>
      </c>
      <c r="F244" s="52">
        <f t="shared" si="75"/>
        <v>157550</v>
      </c>
      <c r="G244" s="52">
        <f t="shared" si="76"/>
        <v>75880</v>
      </c>
      <c r="H244" s="53">
        <f t="shared" si="77"/>
        <v>81670</v>
      </c>
      <c r="I244" s="53">
        <f t="shared" si="78"/>
        <v>61050</v>
      </c>
      <c r="J244" s="53">
        <f t="shared" si="79"/>
        <v>67934</v>
      </c>
      <c r="K244" s="50">
        <f t="shared" si="80"/>
        <v>14830</v>
      </c>
      <c r="L244" s="51">
        <f t="shared" si="81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>
      <c r="A245" s="31" t="s">
        <v>220</v>
      </c>
      <c r="B245" s="1" t="s">
        <v>412</v>
      </c>
      <c r="C245" s="30" t="str">
        <f t="shared" si="82"/>
        <v>LA England - Castle Point</v>
      </c>
      <c r="D245" s="51">
        <f t="shared" si="73"/>
        <v>34670</v>
      </c>
      <c r="E245" s="51">
        <f t="shared" si="74"/>
        <v>37830</v>
      </c>
      <c r="F245" s="52">
        <f t="shared" si="75"/>
        <v>89731</v>
      </c>
      <c r="G245" s="52">
        <f t="shared" si="76"/>
        <v>43479</v>
      </c>
      <c r="H245" s="53">
        <f t="shared" si="77"/>
        <v>46252</v>
      </c>
      <c r="I245" s="53">
        <f t="shared" si="78"/>
        <v>34670</v>
      </c>
      <c r="J245" s="53">
        <f t="shared" si="79"/>
        <v>37830</v>
      </c>
      <c r="K245" s="50">
        <f t="shared" si="80"/>
        <v>8809</v>
      </c>
      <c r="L245" s="51">
        <f t="shared" si="81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>
      <c r="A246" s="31" t="s">
        <v>220</v>
      </c>
      <c r="B246" s="1" t="s">
        <v>413</v>
      </c>
      <c r="C246" s="30" t="str">
        <f t="shared" si="82"/>
        <v>LA England - Central Bedfordshire</v>
      </c>
      <c r="D246" s="51">
        <f t="shared" si="73"/>
        <v>114734</v>
      </c>
      <c r="E246" s="51">
        <f t="shared" si="74"/>
        <v>120825</v>
      </c>
      <c r="F246" s="52">
        <f t="shared" si="75"/>
        <v>301501</v>
      </c>
      <c r="G246" s="52">
        <f t="shared" si="76"/>
        <v>148473</v>
      </c>
      <c r="H246" s="53">
        <f t="shared" si="77"/>
        <v>153028</v>
      </c>
      <c r="I246" s="53">
        <f t="shared" si="78"/>
        <v>114734</v>
      </c>
      <c r="J246" s="53">
        <f t="shared" si="79"/>
        <v>120825</v>
      </c>
      <c r="K246" s="50">
        <f t="shared" si="80"/>
        <v>33739</v>
      </c>
      <c r="L246" s="51">
        <f t="shared" si="81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>
      <c r="A247" s="31" t="s">
        <v>220</v>
      </c>
      <c r="B247" s="1" t="s">
        <v>414</v>
      </c>
      <c r="C247" s="30" t="str">
        <f t="shared" si="82"/>
        <v>LA England - Charnwood</v>
      </c>
      <c r="D247" s="51">
        <f t="shared" si="73"/>
        <v>74686</v>
      </c>
      <c r="E247" s="51">
        <f t="shared" si="74"/>
        <v>75179</v>
      </c>
      <c r="F247" s="52">
        <f t="shared" si="75"/>
        <v>184748</v>
      </c>
      <c r="G247" s="52">
        <f t="shared" si="76"/>
        <v>92694</v>
      </c>
      <c r="H247" s="53">
        <f t="shared" si="77"/>
        <v>92054</v>
      </c>
      <c r="I247" s="53">
        <f t="shared" si="78"/>
        <v>74686</v>
      </c>
      <c r="J247" s="53">
        <f t="shared" si="79"/>
        <v>75179</v>
      </c>
      <c r="K247" s="50">
        <f t="shared" si="80"/>
        <v>18008</v>
      </c>
      <c r="L247" s="51">
        <f t="shared" si="81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>
      <c r="A248" s="31" t="s">
        <v>220</v>
      </c>
      <c r="B248" s="1" t="s">
        <v>415</v>
      </c>
      <c r="C248" s="30" t="str">
        <f t="shared" si="82"/>
        <v>LA England - Chelmsford</v>
      </c>
      <c r="D248" s="51">
        <f t="shared" si="73"/>
        <v>69876</v>
      </c>
      <c r="E248" s="51">
        <f t="shared" si="74"/>
        <v>74701</v>
      </c>
      <c r="F248" s="52">
        <f t="shared" si="75"/>
        <v>183326</v>
      </c>
      <c r="G248" s="52">
        <f t="shared" si="76"/>
        <v>89765</v>
      </c>
      <c r="H248" s="53">
        <f t="shared" si="77"/>
        <v>93561</v>
      </c>
      <c r="I248" s="53">
        <f t="shared" si="78"/>
        <v>69876</v>
      </c>
      <c r="J248" s="53">
        <f t="shared" si="79"/>
        <v>74701</v>
      </c>
      <c r="K248" s="50">
        <f t="shared" si="80"/>
        <v>19889</v>
      </c>
      <c r="L248" s="51">
        <f t="shared" si="81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>
      <c r="A249" s="31" t="s">
        <v>220</v>
      </c>
      <c r="B249" s="1" t="s">
        <v>416</v>
      </c>
      <c r="C249" s="30" t="str">
        <f t="shared" si="82"/>
        <v>LA England - Cheltenham</v>
      </c>
      <c r="D249" s="51">
        <f t="shared" si="73"/>
        <v>46806</v>
      </c>
      <c r="E249" s="51">
        <f t="shared" si="74"/>
        <v>49231</v>
      </c>
      <c r="F249" s="52">
        <f t="shared" si="75"/>
        <v>119434</v>
      </c>
      <c r="G249" s="52">
        <f t="shared" si="76"/>
        <v>58454</v>
      </c>
      <c r="H249" s="53">
        <f t="shared" si="77"/>
        <v>60980</v>
      </c>
      <c r="I249" s="53">
        <f t="shared" si="78"/>
        <v>46806</v>
      </c>
      <c r="J249" s="53">
        <f t="shared" si="79"/>
        <v>49231</v>
      </c>
      <c r="K249" s="50">
        <f t="shared" si="80"/>
        <v>11648</v>
      </c>
      <c r="L249" s="51">
        <f t="shared" si="81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>
      <c r="A250" s="31" t="s">
        <v>220</v>
      </c>
      <c r="B250" s="1" t="s">
        <v>417</v>
      </c>
      <c r="C250" s="30" t="str">
        <f t="shared" si="82"/>
        <v>LA England - Cherwell</v>
      </c>
      <c r="D250" s="51">
        <f t="shared" si="73"/>
        <v>63378</v>
      </c>
      <c r="E250" s="51">
        <f t="shared" si="74"/>
        <v>65706</v>
      </c>
      <c r="F250" s="52">
        <f t="shared" si="75"/>
        <v>164155</v>
      </c>
      <c r="G250" s="52">
        <f t="shared" si="76"/>
        <v>81428</v>
      </c>
      <c r="H250" s="53">
        <f t="shared" si="77"/>
        <v>82727</v>
      </c>
      <c r="I250" s="53">
        <f t="shared" si="78"/>
        <v>63378</v>
      </c>
      <c r="J250" s="53">
        <f t="shared" si="79"/>
        <v>65706</v>
      </c>
      <c r="K250" s="50">
        <f t="shared" si="80"/>
        <v>18050</v>
      </c>
      <c r="L250" s="51">
        <f t="shared" si="81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>
      <c r="A251" s="31" t="s">
        <v>220</v>
      </c>
      <c r="B251" s="1" t="s">
        <v>418</v>
      </c>
      <c r="C251" s="30" t="str">
        <f t="shared" si="82"/>
        <v>LA England - Cheshire East</v>
      </c>
      <c r="D251" s="51">
        <f t="shared" si="73"/>
        <v>157899</v>
      </c>
      <c r="E251" s="51">
        <f t="shared" si="74"/>
        <v>168447</v>
      </c>
      <c r="F251" s="52">
        <f t="shared" si="75"/>
        <v>406527</v>
      </c>
      <c r="G251" s="52">
        <f t="shared" si="76"/>
        <v>199222</v>
      </c>
      <c r="H251" s="53">
        <f t="shared" si="77"/>
        <v>207305</v>
      </c>
      <c r="I251" s="53">
        <f t="shared" si="78"/>
        <v>157899</v>
      </c>
      <c r="J251" s="53">
        <f t="shared" si="79"/>
        <v>168447</v>
      </c>
      <c r="K251" s="50">
        <f t="shared" si="80"/>
        <v>41323</v>
      </c>
      <c r="L251" s="51">
        <f t="shared" si="81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>
      <c r="A252" s="31" t="s">
        <v>220</v>
      </c>
      <c r="B252" s="1" t="s">
        <v>419</v>
      </c>
      <c r="C252" s="30" t="str">
        <f t="shared" si="82"/>
        <v>LA England - Cheshire West and Chester</v>
      </c>
      <c r="D252" s="51">
        <f t="shared" si="73"/>
        <v>140683</v>
      </c>
      <c r="E252" s="51">
        <f t="shared" si="74"/>
        <v>150528</v>
      </c>
      <c r="F252" s="52">
        <f t="shared" si="75"/>
        <v>361694</v>
      </c>
      <c r="G252" s="52">
        <f t="shared" si="76"/>
        <v>176807</v>
      </c>
      <c r="H252" s="53">
        <f t="shared" si="77"/>
        <v>184887</v>
      </c>
      <c r="I252" s="53">
        <f t="shared" si="78"/>
        <v>140683</v>
      </c>
      <c r="J252" s="53">
        <f t="shared" si="79"/>
        <v>150528</v>
      </c>
      <c r="K252" s="50">
        <f t="shared" si="80"/>
        <v>36124</v>
      </c>
      <c r="L252" s="51">
        <f t="shared" si="81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>
      <c r="A253" s="31" t="s">
        <v>220</v>
      </c>
      <c r="B253" s="1" t="s">
        <v>420</v>
      </c>
      <c r="C253" s="30" t="str">
        <f t="shared" si="82"/>
        <v>LA England - Chesterfield</v>
      </c>
      <c r="D253" s="51">
        <f t="shared" si="73"/>
        <v>41148</v>
      </c>
      <c r="E253" s="51">
        <f t="shared" si="74"/>
        <v>43255</v>
      </c>
      <c r="F253" s="52">
        <f t="shared" si="75"/>
        <v>104110</v>
      </c>
      <c r="G253" s="52">
        <f t="shared" si="76"/>
        <v>51153</v>
      </c>
      <c r="H253" s="53">
        <f t="shared" si="77"/>
        <v>52957</v>
      </c>
      <c r="I253" s="53">
        <f t="shared" si="78"/>
        <v>41148</v>
      </c>
      <c r="J253" s="53">
        <f t="shared" si="79"/>
        <v>43255</v>
      </c>
      <c r="K253" s="50">
        <f t="shared" si="80"/>
        <v>10005</v>
      </c>
      <c r="L253" s="51">
        <f t="shared" si="81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>
      <c r="A254" s="31" t="s">
        <v>220</v>
      </c>
      <c r="B254" s="1" t="s">
        <v>421</v>
      </c>
      <c r="C254" s="30" t="str">
        <f t="shared" si="82"/>
        <v>LA England - Chichester</v>
      </c>
      <c r="D254" s="51">
        <f t="shared" si="73"/>
        <v>49139</v>
      </c>
      <c r="E254" s="51">
        <f t="shared" si="74"/>
        <v>54852</v>
      </c>
      <c r="F254" s="52">
        <f t="shared" si="75"/>
        <v>126103</v>
      </c>
      <c r="G254" s="52">
        <f t="shared" si="76"/>
        <v>60354</v>
      </c>
      <c r="H254" s="53">
        <f t="shared" si="77"/>
        <v>65749</v>
      </c>
      <c r="I254" s="53">
        <f t="shared" si="78"/>
        <v>49139</v>
      </c>
      <c r="J254" s="53">
        <f t="shared" si="79"/>
        <v>54852</v>
      </c>
      <c r="K254" s="50">
        <f t="shared" si="80"/>
        <v>11215</v>
      </c>
      <c r="L254" s="51">
        <f t="shared" si="81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>
      <c r="A255" s="31" t="s">
        <v>220</v>
      </c>
      <c r="B255" s="1" t="s">
        <v>422</v>
      </c>
      <c r="C255" s="30" t="str">
        <f t="shared" si="82"/>
        <v>LA England - Chorley</v>
      </c>
      <c r="D255" s="51">
        <f t="shared" si="73"/>
        <v>46900</v>
      </c>
      <c r="E255" s="51">
        <f t="shared" si="74"/>
        <v>47838</v>
      </c>
      <c r="F255" s="52">
        <f t="shared" si="75"/>
        <v>118624</v>
      </c>
      <c r="G255" s="52">
        <f t="shared" si="76"/>
        <v>59153</v>
      </c>
      <c r="H255" s="53">
        <f t="shared" si="77"/>
        <v>59471</v>
      </c>
      <c r="I255" s="53">
        <f t="shared" si="78"/>
        <v>46900</v>
      </c>
      <c r="J255" s="53">
        <f t="shared" si="79"/>
        <v>47838</v>
      </c>
      <c r="K255" s="50">
        <f t="shared" si="80"/>
        <v>12253</v>
      </c>
      <c r="L255" s="51">
        <f t="shared" si="81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>
      <c r="A256" s="31" t="s">
        <v>220</v>
      </c>
      <c r="B256" s="1" t="s">
        <v>423</v>
      </c>
      <c r="C256" s="30" t="str">
        <f t="shared" si="82"/>
        <v>LA England - City of London</v>
      </c>
      <c r="D256" s="51">
        <f t="shared" si="73"/>
        <v>5754</v>
      </c>
      <c r="E256" s="51">
        <f t="shared" si="74"/>
        <v>4502</v>
      </c>
      <c r="F256" s="52">
        <f t="shared" si="75"/>
        <v>10847</v>
      </c>
      <c r="G256" s="52">
        <f t="shared" si="76"/>
        <v>6061</v>
      </c>
      <c r="H256" s="53">
        <f t="shared" si="77"/>
        <v>4786</v>
      </c>
      <c r="I256" s="53">
        <f t="shared" si="78"/>
        <v>5754</v>
      </c>
      <c r="J256" s="53">
        <f t="shared" si="79"/>
        <v>4502</v>
      </c>
      <c r="K256" s="50">
        <f t="shared" si="80"/>
        <v>307</v>
      </c>
      <c r="L256" s="51">
        <f t="shared" si="81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>
      <c r="A257" s="31" t="s">
        <v>220</v>
      </c>
      <c r="B257" s="1" t="s">
        <v>424</v>
      </c>
      <c r="C257" s="30" t="str">
        <f t="shared" si="82"/>
        <v>LA England - Colchester</v>
      </c>
      <c r="D257" s="51">
        <f t="shared" si="73"/>
        <v>74111</v>
      </c>
      <c r="E257" s="51">
        <f t="shared" si="74"/>
        <v>78923</v>
      </c>
      <c r="F257" s="52">
        <f t="shared" si="75"/>
        <v>194394</v>
      </c>
      <c r="G257" s="52">
        <f t="shared" si="76"/>
        <v>95293</v>
      </c>
      <c r="H257" s="53">
        <f t="shared" si="77"/>
        <v>99101</v>
      </c>
      <c r="I257" s="53">
        <f t="shared" si="78"/>
        <v>74111</v>
      </c>
      <c r="J257" s="53">
        <f t="shared" si="79"/>
        <v>78923</v>
      </c>
      <c r="K257" s="50">
        <f t="shared" si="80"/>
        <v>21182</v>
      </c>
      <c r="L257" s="51">
        <f t="shared" si="81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>
      <c r="A258" s="31" t="s">
        <v>220</v>
      </c>
      <c r="B258" s="1" t="s">
        <v>425</v>
      </c>
      <c r="C258" s="30" t="str">
        <f t="shared" si="82"/>
        <v>LA England - Cornwall</v>
      </c>
      <c r="D258" s="51">
        <f t="shared" si="73"/>
        <v>225159</v>
      </c>
      <c r="E258" s="51">
        <f t="shared" si="74"/>
        <v>244854</v>
      </c>
      <c r="F258" s="52">
        <f t="shared" si="75"/>
        <v>575413</v>
      </c>
      <c r="G258" s="52">
        <f t="shared" si="76"/>
        <v>279238</v>
      </c>
      <c r="H258" s="53">
        <f t="shared" si="77"/>
        <v>296175</v>
      </c>
      <c r="I258" s="53">
        <f t="shared" si="78"/>
        <v>225159</v>
      </c>
      <c r="J258" s="53">
        <f t="shared" si="79"/>
        <v>244854</v>
      </c>
      <c r="K258" s="50">
        <f t="shared" si="80"/>
        <v>54079</v>
      </c>
      <c r="L258" s="51">
        <f t="shared" si="81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>
      <c r="A259" s="31" t="s">
        <v>220</v>
      </c>
      <c r="B259" s="1" t="s">
        <v>426</v>
      </c>
      <c r="C259" s="30" t="str">
        <f t="shared" si="82"/>
        <v>LA England - Cotswold</v>
      </c>
      <c r="D259" s="51">
        <f t="shared" si="73"/>
        <v>35638</v>
      </c>
      <c r="E259" s="51">
        <f t="shared" si="74"/>
        <v>39204</v>
      </c>
      <c r="F259" s="52">
        <f t="shared" si="75"/>
        <v>91311</v>
      </c>
      <c r="G259" s="52">
        <f t="shared" si="76"/>
        <v>43939</v>
      </c>
      <c r="H259" s="53">
        <f t="shared" si="77"/>
        <v>47372</v>
      </c>
      <c r="I259" s="53">
        <f t="shared" si="78"/>
        <v>35638</v>
      </c>
      <c r="J259" s="53">
        <f t="shared" si="79"/>
        <v>39204</v>
      </c>
      <c r="K259" s="50">
        <f t="shared" si="80"/>
        <v>8301</v>
      </c>
      <c r="L259" s="51">
        <f t="shared" si="81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>
      <c r="A260" s="31" t="s">
        <v>220</v>
      </c>
      <c r="B260" s="1" t="s">
        <v>427</v>
      </c>
      <c r="C260" s="30" t="str">
        <f t="shared" si="82"/>
        <v>LA England - County Durham</v>
      </c>
      <c r="D260" s="51">
        <f t="shared" si="73"/>
        <v>206649</v>
      </c>
      <c r="E260" s="51">
        <f t="shared" si="74"/>
        <v>221937</v>
      </c>
      <c r="F260" s="52">
        <f t="shared" si="75"/>
        <v>528127</v>
      </c>
      <c r="G260" s="52">
        <f t="shared" si="76"/>
        <v>257850</v>
      </c>
      <c r="H260" s="53">
        <f t="shared" si="77"/>
        <v>270277</v>
      </c>
      <c r="I260" s="53">
        <f t="shared" si="78"/>
        <v>206649</v>
      </c>
      <c r="J260" s="53">
        <f t="shared" si="79"/>
        <v>221937</v>
      </c>
      <c r="K260" s="50">
        <f t="shared" si="80"/>
        <v>51201</v>
      </c>
      <c r="L260" s="51">
        <f t="shared" si="81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>
      <c r="A261" s="31" t="s">
        <v>220</v>
      </c>
      <c r="B261" s="1" t="s">
        <v>428</v>
      </c>
      <c r="C261" s="30" t="str">
        <f t="shared" si="82"/>
        <v>LA England - Coventry</v>
      </c>
      <c r="D261" s="51">
        <f t="shared" si="73"/>
        <v>138071</v>
      </c>
      <c r="E261" s="51">
        <f t="shared" si="74"/>
        <v>138582</v>
      </c>
      <c r="F261" s="52">
        <f t="shared" si="75"/>
        <v>355600</v>
      </c>
      <c r="G261" s="52">
        <f t="shared" si="76"/>
        <v>178537</v>
      </c>
      <c r="H261" s="53">
        <f t="shared" si="77"/>
        <v>177063</v>
      </c>
      <c r="I261" s="53">
        <f t="shared" si="78"/>
        <v>138071</v>
      </c>
      <c r="J261" s="53">
        <f t="shared" si="79"/>
        <v>138582</v>
      </c>
      <c r="K261" s="50">
        <f t="shared" si="80"/>
        <v>40466</v>
      </c>
      <c r="L261" s="51">
        <f t="shared" si="81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>
      <c r="A262" s="31" t="s">
        <v>220</v>
      </c>
      <c r="B262" s="1" t="s">
        <v>429</v>
      </c>
      <c r="C262" s="30" t="str">
        <f t="shared" si="82"/>
        <v>LA England - Crawley</v>
      </c>
      <c r="D262" s="51">
        <f t="shared" si="73"/>
        <v>44909</v>
      </c>
      <c r="E262" s="51">
        <f t="shared" si="74"/>
        <v>46237</v>
      </c>
      <c r="F262" s="52">
        <f t="shared" si="75"/>
        <v>119509</v>
      </c>
      <c r="G262" s="52">
        <f t="shared" si="76"/>
        <v>59616</v>
      </c>
      <c r="H262" s="53">
        <f t="shared" si="77"/>
        <v>59893</v>
      </c>
      <c r="I262" s="53">
        <f t="shared" si="78"/>
        <v>44909</v>
      </c>
      <c r="J262" s="53">
        <f t="shared" si="79"/>
        <v>46237</v>
      </c>
      <c r="K262" s="50">
        <f t="shared" si="80"/>
        <v>14707</v>
      </c>
      <c r="L262" s="51">
        <f t="shared" si="81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>
      <c r="A263" s="31" t="s">
        <v>220</v>
      </c>
      <c r="B263" s="1" t="s">
        <v>430</v>
      </c>
      <c r="C263" s="30" t="str">
        <f t="shared" si="82"/>
        <v>LA England - Croydon</v>
      </c>
      <c r="D263" s="51">
        <f t="shared" si="73"/>
        <v>142703</v>
      </c>
      <c r="E263" s="51">
        <f t="shared" si="74"/>
        <v>159230</v>
      </c>
      <c r="F263" s="52">
        <f t="shared" si="75"/>
        <v>392224</v>
      </c>
      <c r="G263" s="52">
        <f t="shared" si="76"/>
        <v>188728</v>
      </c>
      <c r="H263" s="53">
        <f t="shared" si="77"/>
        <v>203496</v>
      </c>
      <c r="I263" s="53">
        <f t="shared" si="78"/>
        <v>142703</v>
      </c>
      <c r="J263" s="53">
        <f t="shared" si="79"/>
        <v>159230</v>
      </c>
      <c r="K263" s="50">
        <f t="shared" si="80"/>
        <v>46025</v>
      </c>
      <c r="L263" s="51">
        <f t="shared" si="81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>
      <c r="A264" s="31" t="s">
        <v>220</v>
      </c>
      <c r="B264" s="1" t="s">
        <v>979</v>
      </c>
      <c r="C264" s="30" t="str">
        <f t="shared" si="82"/>
        <v>LA England - Cumberland</v>
      </c>
      <c r="D264" s="51">
        <f t="shared" si="73"/>
        <v>109085</v>
      </c>
      <c r="E264" s="51">
        <f t="shared" si="74"/>
        <v>114811</v>
      </c>
      <c r="F264" s="52">
        <f t="shared" si="75"/>
        <v>275390</v>
      </c>
      <c r="G264" s="52">
        <f t="shared" si="76"/>
        <v>135396</v>
      </c>
      <c r="H264" s="53">
        <f t="shared" si="77"/>
        <v>139994</v>
      </c>
      <c r="I264" s="53">
        <f t="shared" si="78"/>
        <v>109085</v>
      </c>
      <c r="J264" s="53">
        <f t="shared" si="79"/>
        <v>114811</v>
      </c>
      <c r="K264" s="50">
        <f t="shared" si="80"/>
        <v>26311</v>
      </c>
      <c r="L264" s="51">
        <f t="shared" si="81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>
      <c r="A265" s="31" t="s">
        <v>220</v>
      </c>
      <c r="B265" s="1" t="s">
        <v>431</v>
      </c>
      <c r="C265" s="30" t="str">
        <f t="shared" si="82"/>
        <v>LA England - Dacorum</v>
      </c>
      <c r="D265" s="51">
        <f t="shared" si="73"/>
        <v>58593</v>
      </c>
      <c r="E265" s="51">
        <f t="shared" si="74"/>
        <v>62300</v>
      </c>
      <c r="F265" s="52">
        <f t="shared" si="75"/>
        <v>156123</v>
      </c>
      <c r="G265" s="52">
        <f t="shared" si="76"/>
        <v>76670</v>
      </c>
      <c r="H265" s="53">
        <f t="shared" si="77"/>
        <v>79453</v>
      </c>
      <c r="I265" s="53">
        <f t="shared" si="78"/>
        <v>58593</v>
      </c>
      <c r="J265" s="53">
        <f t="shared" si="79"/>
        <v>62300</v>
      </c>
      <c r="K265" s="50">
        <f t="shared" si="80"/>
        <v>18077</v>
      </c>
      <c r="L265" s="51">
        <f t="shared" si="81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>
      <c r="A266" s="31" t="s">
        <v>220</v>
      </c>
      <c r="B266" s="1" t="s">
        <v>432</v>
      </c>
      <c r="C266" s="30" t="str">
        <f t="shared" si="82"/>
        <v>LA England - Darlington</v>
      </c>
      <c r="D266" s="51">
        <f t="shared" ref="D266:D329" si="83">I266</f>
        <v>42151</v>
      </c>
      <c r="E266" s="51">
        <f t="shared" ref="E266:E329" si="84">J266</f>
        <v>44886</v>
      </c>
      <c r="F266" s="52">
        <f t="shared" ref="F266:F329" si="85">G266+H266</f>
        <v>109469</v>
      </c>
      <c r="G266" s="52">
        <f t="shared" ref="G266:G329" si="86">SUM(M266:CY266)</f>
        <v>53627</v>
      </c>
      <c r="H266" s="53">
        <f t="shared" ref="H266:H329" si="87">SUM(CZ266:GL266)</f>
        <v>55842</v>
      </c>
      <c r="I266" s="53">
        <f t="shared" ref="I266:I329" si="88">SUM(AE266:CY266)</f>
        <v>42151</v>
      </c>
      <c r="J266" s="53">
        <f t="shared" ref="J266:J329" si="89">SUM(DR266:GL266)</f>
        <v>44886</v>
      </c>
      <c r="K266" s="50">
        <f t="shared" ref="K266:K329" si="90">SUM(M266:AD266)</f>
        <v>11476</v>
      </c>
      <c r="L266" s="51">
        <f t="shared" ref="L266:L329" si="91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>
      <c r="A267" s="31" t="s">
        <v>220</v>
      </c>
      <c r="B267" s="1" t="s">
        <v>433</v>
      </c>
      <c r="C267" s="30" t="str">
        <f t="shared" si="82"/>
        <v>LA England - Dartford</v>
      </c>
      <c r="D267" s="51">
        <f t="shared" si="83"/>
        <v>42672</v>
      </c>
      <c r="E267" s="51">
        <f t="shared" si="84"/>
        <v>46289</v>
      </c>
      <c r="F267" s="52">
        <f t="shared" si="85"/>
        <v>118820</v>
      </c>
      <c r="G267" s="52">
        <f t="shared" si="86"/>
        <v>58067</v>
      </c>
      <c r="H267" s="53">
        <f t="shared" si="87"/>
        <v>60753</v>
      </c>
      <c r="I267" s="53">
        <f t="shared" si="88"/>
        <v>42672</v>
      </c>
      <c r="J267" s="53">
        <f t="shared" si="89"/>
        <v>46289</v>
      </c>
      <c r="K267" s="50">
        <f t="shared" si="90"/>
        <v>15395</v>
      </c>
      <c r="L267" s="51">
        <f t="shared" si="91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>
      <c r="A268" s="31" t="s">
        <v>220</v>
      </c>
      <c r="B268" s="1" t="s">
        <v>434</v>
      </c>
      <c r="C268" s="30" t="str">
        <f t="shared" ref="C268:C331" si="92">CONCATENATE(A268," - ",B268)</f>
        <v>LA England - Derby</v>
      </c>
      <c r="D268" s="51">
        <f t="shared" si="83"/>
        <v>100523</v>
      </c>
      <c r="E268" s="51">
        <f t="shared" si="84"/>
        <v>103556</v>
      </c>
      <c r="F268" s="52">
        <f t="shared" si="85"/>
        <v>263490</v>
      </c>
      <c r="G268" s="52">
        <f t="shared" si="86"/>
        <v>130912</v>
      </c>
      <c r="H268" s="53">
        <f t="shared" si="87"/>
        <v>132578</v>
      </c>
      <c r="I268" s="53">
        <f t="shared" si="88"/>
        <v>100523</v>
      </c>
      <c r="J268" s="53">
        <f t="shared" si="89"/>
        <v>103556</v>
      </c>
      <c r="K268" s="50">
        <f t="shared" si="90"/>
        <v>30389</v>
      </c>
      <c r="L268" s="51">
        <f t="shared" si="91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>
      <c r="A269" s="31" t="s">
        <v>220</v>
      </c>
      <c r="B269" s="1" t="s">
        <v>435</v>
      </c>
      <c r="C269" s="30" t="str">
        <f t="shared" si="92"/>
        <v>LA England - Derbyshire Dales</v>
      </c>
      <c r="D269" s="51">
        <f t="shared" si="83"/>
        <v>29030</v>
      </c>
      <c r="E269" s="51">
        <f t="shared" si="84"/>
        <v>30777</v>
      </c>
      <c r="F269" s="52">
        <f t="shared" si="85"/>
        <v>71752</v>
      </c>
      <c r="G269" s="52">
        <f t="shared" si="86"/>
        <v>35013</v>
      </c>
      <c r="H269" s="53">
        <f t="shared" si="87"/>
        <v>36739</v>
      </c>
      <c r="I269" s="53">
        <f t="shared" si="88"/>
        <v>29030</v>
      </c>
      <c r="J269" s="53">
        <f t="shared" si="89"/>
        <v>30777</v>
      </c>
      <c r="K269" s="50">
        <f t="shared" si="90"/>
        <v>5983</v>
      </c>
      <c r="L269" s="51">
        <f t="shared" si="91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>
      <c r="A270" s="31" t="s">
        <v>220</v>
      </c>
      <c r="B270" s="1" t="s">
        <v>436</v>
      </c>
      <c r="C270" s="30" t="str">
        <f t="shared" si="92"/>
        <v>LA England - Doncaster</v>
      </c>
      <c r="D270" s="51">
        <f t="shared" si="83"/>
        <v>121112</v>
      </c>
      <c r="E270" s="51">
        <f t="shared" si="84"/>
        <v>124796</v>
      </c>
      <c r="F270" s="52">
        <f t="shared" si="85"/>
        <v>311027</v>
      </c>
      <c r="G270" s="52">
        <f t="shared" si="86"/>
        <v>154552</v>
      </c>
      <c r="H270" s="53">
        <f t="shared" si="87"/>
        <v>156475</v>
      </c>
      <c r="I270" s="53">
        <f t="shared" si="88"/>
        <v>121112</v>
      </c>
      <c r="J270" s="53">
        <f t="shared" si="89"/>
        <v>124796</v>
      </c>
      <c r="K270" s="50">
        <f t="shared" si="90"/>
        <v>33440</v>
      </c>
      <c r="L270" s="51">
        <f t="shared" si="91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>
      <c r="A271" s="31" t="s">
        <v>220</v>
      </c>
      <c r="B271" s="1" t="s">
        <v>366</v>
      </c>
      <c r="C271" s="30" t="str">
        <f t="shared" si="92"/>
        <v>LA England - Dorset</v>
      </c>
      <c r="D271" s="51">
        <f t="shared" si="83"/>
        <v>152292</v>
      </c>
      <c r="E271" s="51">
        <f t="shared" si="84"/>
        <v>164879</v>
      </c>
      <c r="F271" s="52">
        <f t="shared" si="85"/>
        <v>383274</v>
      </c>
      <c r="G271" s="52">
        <f t="shared" si="86"/>
        <v>186117</v>
      </c>
      <c r="H271" s="53">
        <f t="shared" si="87"/>
        <v>197157</v>
      </c>
      <c r="I271" s="53">
        <f t="shared" si="88"/>
        <v>152292</v>
      </c>
      <c r="J271" s="53">
        <f t="shared" si="89"/>
        <v>164879</v>
      </c>
      <c r="K271" s="50">
        <f t="shared" si="90"/>
        <v>33825</v>
      </c>
      <c r="L271" s="51">
        <f t="shared" si="91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>
      <c r="A272" s="31" t="s">
        <v>220</v>
      </c>
      <c r="B272" s="1" t="s">
        <v>437</v>
      </c>
      <c r="C272" s="30" t="str">
        <f t="shared" si="92"/>
        <v>LA England - Dover</v>
      </c>
      <c r="D272" s="51">
        <f t="shared" si="83"/>
        <v>45437</v>
      </c>
      <c r="E272" s="51">
        <f t="shared" si="84"/>
        <v>48936</v>
      </c>
      <c r="F272" s="52">
        <f t="shared" si="85"/>
        <v>117473</v>
      </c>
      <c r="G272" s="52">
        <f t="shared" si="86"/>
        <v>57217</v>
      </c>
      <c r="H272" s="53">
        <f t="shared" si="87"/>
        <v>60256</v>
      </c>
      <c r="I272" s="53">
        <f t="shared" si="88"/>
        <v>45437</v>
      </c>
      <c r="J272" s="53">
        <f t="shared" si="89"/>
        <v>48936</v>
      </c>
      <c r="K272" s="50">
        <f t="shared" si="90"/>
        <v>11780</v>
      </c>
      <c r="L272" s="51">
        <f t="shared" si="91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>
      <c r="A273" s="31" t="s">
        <v>220</v>
      </c>
      <c r="B273" s="1" t="s">
        <v>438</v>
      </c>
      <c r="C273" s="30" t="str">
        <f t="shared" si="92"/>
        <v>LA England - Dudley</v>
      </c>
      <c r="D273" s="51">
        <f t="shared" si="83"/>
        <v>124462</v>
      </c>
      <c r="E273" s="51">
        <f t="shared" si="84"/>
        <v>131423</v>
      </c>
      <c r="F273" s="52">
        <f t="shared" si="85"/>
        <v>324969</v>
      </c>
      <c r="G273" s="52">
        <f t="shared" si="86"/>
        <v>159772</v>
      </c>
      <c r="H273" s="53">
        <f t="shared" si="87"/>
        <v>165197</v>
      </c>
      <c r="I273" s="53">
        <f t="shared" si="88"/>
        <v>124462</v>
      </c>
      <c r="J273" s="53">
        <f t="shared" si="89"/>
        <v>131423</v>
      </c>
      <c r="K273" s="50">
        <f t="shared" si="90"/>
        <v>35310</v>
      </c>
      <c r="L273" s="51">
        <f t="shared" si="91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>
      <c r="A274" s="31" t="s">
        <v>220</v>
      </c>
      <c r="B274" s="1" t="s">
        <v>439</v>
      </c>
      <c r="C274" s="30" t="str">
        <f t="shared" si="92"/>
        <v>LA England - Ealing</v>
      </c>
      <c r="D274" s="51">
        <f t="shared" si="83"/>
        <v>141393</v>
      </c>
      <c r="E274" s="51">
        <f t="shared" si="84"/>
        <v>148133</v>
      </c>
      <c r="F274" s="52">
        <f t="shared" si="85"/>
        <v>369937</v>
      </c>
      <c r="G274" s="52">
        <f t="shared" si="86"/>
        <v>182643</v>
      </c>
      <c r="H274" s="53">
        <f t="shared" si="87"/>
        <v>187294</v>
      </c>
      <c r="I274" s="53">
        <f t="shared" si="88"/>
        <v>141393</v>
      </c>
      <c r="J274" s="53">
        <f t="shared" si="89"/>
        <v>148133</v>
      </c>
      <c r="K274" s="50">
        <f t="shared" si="90"/>
        <v>41250</v>
      </c>
      <c r="L274" s="51">
        <f t="shared" si="91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>
      <c r="A275" s="31" t="s">
        <v>220</v>
      </c>
      <c r="B275" s="1" t="s">
        <v>440</v>
      </c>
      <c r="C275" s="30" t="str">
        <f t="shared" si="92"/>
        <v>LA England - East Cambridgeshire</v>
      </c>
      <c r="D275" s="51">
        <f t="shared" si="83"/>
        <v>34401</v>
      </c>
      <c r="E275" s="51">
        <f t="shared" si="84"/>
        <v>36460</v>
      </c>
      <c r="F275" s="52">
        <f t="shared" si="85"/>
        <v>89394</v>
      </c>
      <c r="G275" s="52">
        <f t="shared" si="86"/>
        <v>43858</v>
      </c>
      <c r="H275" s="53">
        <f t="shared" si="87"/>
        <v>45536</v>
      </c>
      <c r="I275" s="53">
        <f t="shared" si="88"/>
        <v>34401</v>
      </c>
      <c r="J275" s="53">
        <f t="shared" si="89"/>
        <v>36460</v>
      </c>
      <c r="K275" s="50">
        <f t="shared" si="90"/>
        <v>9457</v>
      </c>
      <c r="L275" s="51">
        <f t="shared" si="91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>
      <c r="A276" s="31" t="s">
        <v>220</v>
      </c>
      <c r="B276" s="1" t="s">
        <v>441</v>
      </c>
      <c r="C276" s="30" t="str">
        <f t="shared" si="92"/>
        <v>LA England - East Devon</v>
      </c>
      <c r="D276" s="51">
        <f t="shared" si="83"/>
        <v>60569</v>
      </c>
      <c r="E276" s="51">
        <f t="shared" si="84"/>
        <v>66733</v>
      </c>
      <c r="F276" s="52">
        <f t="shared" si="85"/>
        <v>154500</v>
      </c>
      <c r="G276" s="52">
        <f t="shared" si="86"/>
        <v>74554</v>
      </c>
      <c r="H276" s="53">
        <f t="shared" si="87"/>
        <v>79946</v>
      </c>
      <c r="I276" s="53">
        <f t="shared" si="88"/>
        <v>60569</v>
      </c>
      <c r="J276" s="53">
        <f t="shared" si="89"/>
        <v>66733</v>
      </c>
      <c r="K276" s="50">
        <f t="shared" si="90"/>
        <v>13985</v>
      </c>
      <c r="L276" s="51">
        <f t="shared" si="91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>
      <c r="A277" s="31" t="s">
        <v>220</v>
      </c>
      <c r="B277" s="1" t="s">
        <v>442</v>
      </c>
      <c r="C277" s="30" t="str">
        <f t="shared" si="92"/>
        <v>LA England - East Hampshire</v>
      </c>
      <c r="D277" s="51">
        <f t="shared" si="83"/>
        <v>48997</v>
      </c>
      <c r="E277" s="51">
        <f t="shared" si="84"/>
        <v>53169</v>
      </c>
      <c r="F277" s="52">
        <f t="shared" si="85"/>
        <v>127319</v>
      </c>
      <c r="G277" s="52">
        <f t="shared" si="86"/>
        <v>61855</v>
      </c>
      <c r="H277" s="53">
        <f t="shared" si="87"/>
        <v>65464</v>
      </c>
      <c r="I277" s="53">
        <f t="shared" si="88"/>
        <v>48997</v>
      </c>
      <c r="J277" s="53">
        <f t="shared" si="89"/>
        <v>53169</v>
      </c>
      <c r="K277" s="50">
        <f t="shared" si="90"/>
        <v>12858</v>
      </c>
      <c r="L277" s="51">
        <f t="shared" si="91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>
      <c r="A278" s="31" t="s">
        <v>220</v>
      </c>
      <c r="B278" s="1" t="s">
        <v>443</v>
      </c>
      <c r="C278" s="30" t="str">
        <f t="shared" si="92"/>
        <v>LA England - East Hertfordshire</v>
      </c>
      <c r="D278" s="51">
        <f t="shared" si="83"/>
        <v>57142</v>
      </c>
      <c r="E278" s="51">
        <f t="shared" si="84"/>
        <v>61417</v>
      </c>
      <c r="F278" s="52">
        <f t="shared" si="85"/>
        <v>151635</v>
      </c>
      <c r="G278" s="52">
        <f t="shared" si="86"/>
        <v>74063</v>
      </c>
      <c r="H278" s="53">
        <f t="shared" si="87"/>
        <v>77572</v>
      </c>
      <c r="I278" s="53">
        <f t="shared" si="88"/>
        <v>57142</v>
      </c>
      <c r="J278" s="53">
        <f t="shared" si="89"/>
        <v>61417</v>
      </c>
      <c r="K278" s="50">
        <f t="shared" si="90"/>
        <v>16921</v>
      </c>
      <c r="L278" s="51">
        <f t="shared" si="91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>
      <c r="A279" s="31" t="s">
        <v>220</v>
      </c>
      <c r="B279" s="1" t="s">
        <v>444</v>
      </c>
      <c r="C279" s="30" t="str">
        <f t="shared" si="92"/>
        <v>LA England - East Lindsey</v>
      </c>
      <c r="D279" s="51">
        <f t="shared" si="83"/>
        <v>58614</v>
      </c>
      <c r="E279" s="51">
        <f t="shared" si="84"/>
        <v>62090</v>
      </c>
      <c r="F279" s="52">
        <f t="shared" si="85"/>
        <v>144415</v>
      </c>
      <c r="G279" s="52">
        <f t="shared" si="86"/>
        <v>70629</v>
      </c>
      <c r="H279" s="53">
        <f t="shared" si="87"/>
        <v>73786</v>
      </c>
      <c r="I279" s="53">
        <f t="shared" si="88"/>
        <v>58614</v>
      </c>
      <c r="J279" s="53">
        <f t="shared" si="89"/>
        <v>62090</v>
      </c>
      <c r="K279" s="50">
        <f t="shared" si="90"/>
        <v>12015</v>
      </c>
      <c r="L279" s="51">
        <f t="shared" si="91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>
      <c r="A280" s="31" t="s">
        <v>220</v>
      </c>
      <c r="B280" s="1" t="s">
        <v>445</v>
      </c>
      <c r="C280" s="30" t="str">
        <f t="shared" si="92"/>
        <v>LA England - East Riding of Yorkshire</v>
      </c>
      <c r="D280" s="51">
        <f t="shared" si="83"/>
        <v>137683</v>
      </c>
      <c r="E280" s="51">
        <f t="shared" si="84"/>
        <v>146772</v>
      </c>
      <c r="F280" s="52">
        <f t="shared" si="85"/>
        <v>346309</v>
      </c>
      <c r="G280" s="52">
        <f t="shared" si="86"/>
        <v>169714</v>
      </c>
      <c r="H280" s="53">
        <f t="shared" si="87"/>
        <v>176595</v>
      </c>
      <c r="I280" s="53">
        <f t="shared" si="88"/>
        <v>137683</v>
      </c>
      <c r="J280" s="53">
        <f t="shared" si="89"/>
        <v>146772</v>
      </c>
      <c r="K280" s="50">
        <f t="shared" si="90"/>
        <v>32031</v>
      </c>
      <c r="L280" s="51">
        <f t="shared" si="91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>
      <c r="A281" s="31" t="s">
        <v>220</v>
      </c>
      <c r="B281" s="1" t="s">
        <v>446</v>
      </c>
      <c r="C281" s="30" t="str">
        <f t="shared" si="92"/>
        <v>LA England - East Staffordshire</v>
      </c>
      <c r="D281" s="51">
        <f t="shared" si="83"/>
        <v>49035</v>
      </c>
      <c r="E281" s="51">
        <f t="shared" si="84"/>
        <v>49795</v>
      </c>
      <c r="F281" s="52">
        <f t="shared" si="85"/>
        <v>125760</v>
      </c>
      <c r="G281" s="52">
        <f t="shared" si="86"/>
        <v>62858</v>
      </c>
      <c r="H281" s="53">
        <f t="shared" si="87"/>
        <v>62902</v>
      </c>
      <c r="I281" s="53">
        <f t="shared" si="88"/>
        <v>49035</v>
      </c>
      <c r="J281" s="53">
        <f t="shared" si="89"/>
        <v>49795</v>
      </c>
      <c r="K281" s="50">
        <f t="shared" si="90"/>
        <v>13823</v>
      </c>
      <c r="L281" s="51">
        <f t="shared" si="91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>
      <c r="A282" s="31" t="s">
        <v>220</v>
      </c>
      <c r="B282" s="1" t="s">
        <v>447</v>
      </c>
      <c r="C282" s="30" t="str">
        <f t="shared" si="92"/>
        <v>LA England - East Suffolk</v>
      </c>
      <c r="D282" s="51">
        <f t="shared" si="83"/>
        <v>97949</v>
      </c>
      <c r="E282" s="51">
        <f t="shared" si="84"/>
        <v>104732</v>
      </c>
      <c r="F282" s="52">
        <f t="shared" si="85"/>
        <v>247080</v>
      </c>
      <c r="G282" s="52">
        <f t="shared" si="86"/>
        <v>120575</v>
      </c>
      <c r="H282" s="53">
        <f t="shared" si="87"/>
        <v>126505</v>
      </c>
      <c r="I282" s="53">
        <f t="shared" si="88"/>
        <v>97949</v>
      </c>
      <c r="J282" s="53">
        <f t="shared" si="89"/>
        <v>104732</v>
      </c>
      <c r="K282" s="50">
        <f t="shared" si="90"/>
        <v>22626</v>
      </c>
      <c r="L282" s="51">
        <f t="shared" si="91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>
      <c r="A283" s="31" t="s">
        <v>220</v>
      </c>
      <c r="B283" s="1" t="s">
        <v>448</v>
      </c>
      <c r="C283" s="30" t="str">
        <f t="shared" si="92"/>
        <v>LA England - Eastbourne</v>
      </c>
      <c r="D283" s="51">
        <f t="shared" si="83"/>
        <v>38878</v>
      </c>
      <c r="E283" s="51">
        <f t="shared" si="84"/>
        <v>43957</v>
      </c>
      <c r="F283" s="52">
        <f t="shared" si="85"/>
        <v>102247</v>
      </c>
      <c r="G283" s="52">
        <f t="shared" si="86"/>
        <v>48882</v>
      </c>
      <c r="H283" s="53">
        <f t="shared" si="87"/>
        <v>53365</v>
      </c>
      <c r="I283" s="53">
        <f t="shared" si="88"/>
        <v>38878</v>
      </c>
      <c r="J283" s="53">
        <f t="shared" si="89"/>
        <v>43957</v>
      </c>
      <c r="K283" s="50">
        <f t="shared" si="90"/>
        <v>10004</v>
      </c>
      <c r="L283" s="51">
        <f t="shared" si="91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>
      <c r="A284" s="31" t="s">
        <v>220</v>
      </c>
      <c r="B284" s="1" t="s">
        <v>449</v>
      </c>
      <c r="C284" s="30" t="str">
        <f t="shared" si="92"/>
        <v>LA England - Eastleigh</v>
      </c>
      <c r="D284" s="51">
        <f t="shared" si="83"/>
        <v>52856</v>
      </c>
      <c r="E284" s="51">
        <f t="shared" si="84"/>
        <v>56452</v>
      </c>
      <c r="F284" s="52">
        <f t="shared" si="85"/>
        <v>138935</v>
      </c>
      <c r="G284" s="52">
        <f t="shared" si="86"/>
        <v>68002</v>
      </c>
      <c r="H284" s="53">
        <f t="shared" si="87"/>
        <v>70933</v>
      </c>
      <c r="I284" s="53">
        <f t="shared" si="88"/>
        <v>52856</v>
      </c>
      <c r="J284" s="53">
        <f t="shared" si="89"/>
        <v>56452</v>
      </c>
      <c r="K284" s="50">
        <f t="shared" si="90"/>
        <v>15146</v>
      </c>
      <c r="L284" s="51">
        <f t="shared" si="91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>
      <c r="A285" s="31" t="s">
        <v>220</v>
      </c>
      <c r="B285" s="1" t="s">
        <v>450</v>
      </c>
      <c r="C285" s="30" t="str">
        <f t="shared" si="92"/>
        <v>LA England - Elmbridge</v>
      </c>
      <c r="D285" s="51">
        <f t="shared" si="83"/>
        <v>50576</v>
      </c>
      <c r="E285" s="51">
        <f t="shared" si="84"/>
        <v>55810</v>
      </c>
      <c r="F285" s="52">
        <f t="shared" si="85"/>
        <v>140024</v>
      </c>
      <c r="G285" s="52">
        <f t="shared" si="86"/>
        <v>67751</v>
      </c>
      <c r="H285" s="53">
        <f t="shared" si="87"/>
        <v>72273</v>
      </c>
      <c r="I285" s="53">
        <f t="shared" si="88"/>
        <v>50576</v>
      </c>
      <c r="J285" s="53">
        <f t="shared" si="89"/>
        <v>55810</v>
      </c>
      <c r="K285" s="50">
        <f t="shared" si="90"/>
        <v>17175</v>
      </c>
      <c r="L285" s="51">
        <f t="shared" si="91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>
      <c r="A286" s="31" t="s">
        <v>220</v>
      </c>
      <c r="B286" s="1" t="s">
        <v>451</v>
      </c>
      <c r="C286" s="30" t="str">
        <f t="shared" si="92"/>
        <v>LA England - Enfield</v>
      </c>
      <c r="D286" s="51">
        <f t="shared" si="83"/>
        <v>114738</v>
      </c>
      <c r="E286" s="51">
        <f t="shared" si="84"/>
        <v>131447</v>
      </c>
      <c r="F286" s="52">
        <f t="shared" si="85"/>
        <v>327224</v>
      </c>
      <c r="G286" s="52">
        <f t="shared" si="86"/>
        <v>156122</v>
      </c>
      <c r="H286" s="53">
        <f t="shared" si="87"/>
        <v>171102</v>
      </c>
      <c r="I286" s="53">
        <f t="shared" si="88"/>
        <v>114738</v>
      </c>
      <c r="J286" s="53">
        <f t="shared" si="89"/>
        <v>131447</v>
      </c>
      <c r="K286" s="50">
        <f t="shared" si="90"/>
        <v>41384</v>
      </c>
      <c r="L286" s="51">
        <f t="shared" si="91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>
      <c r="A287" s="31" t="s">
        <v>220</v>
      </c>
      <c r="B287" s="1" t="s">
        <v>452</v>
      </c>
      <c r="C287" s="30" t="str">
        <f t="shared" si="92"/>
        <v>LA England - Epping Forest</v>
      </c>
      <c r="D287" s="51">
        <f t="shared" si="83"/>
        <v>50913</v>
      </c>
      <c r="E287" s="51">
        <f t="shared" si="84"/>
        <v>55877</v>
      </c>
      <c r="F287" s="52">
        <f t="shared" si="85"/>
        <v>134989</v>
      </c>
      <c r="G287" s="52">
        <f t="shared" si="86"/>
        <v>65377</v>
      </c>
      <c r="H287" s="53">
        <f t="shared" si="87"/>
        <v>69612</v>
      </c>
      <c r="I287" s="53">
        <f t="shared" si="88"/>
        <v>50913</v>
      </c>
      <c r="J287" s="53">
        <f t="shared" si="89"/>
        <v>55877</v>
      </c>
      <c r="K287" s="50">
        <f t="shared" si="90"/>
        <v>14464</v>
      </c>
      <c r="L287" s="51">
        <f t="shared" si="91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>
      <c r="A288" s="31" t="s">
        <v>220</v>
      </c>
      <c r="B288" s="1" t="s">
        <v>453</v>
      </c>
      <c r="C288" s="30" t="str">
        <f t="shared" si="92"/>
        <v>LA England - Epsom and Ewell</v>
      </c>
      <c r="D288" s="51">
        <f t="shared" si="83"/>
        <v>29749</v>
      </c>
      <c r="E288" s="51">
        <f t="shared" si="84"/>
        <v>32783</v>
      </c>
      <c r="F288" s="52">
        <f t="shared" si="85"/>
        <v>81184</v>
      </c>
      <c r="G288" s="52">
        <f t="shared" si="86"/>
        <v>39349</v>
      </c>
      <c r="H288" s="53">
        <f t="shared" si="87"/>
        <v>41835</v>
      </c>
      <c r="I288" s="53">
        <f t="shared" si="88"/>
        <v>29749</v>
      </c>
      <c r="J288" s="53">
        <f t="shared" si="89"/>
        <v>32783</v>
      </c>
      <c r="K288" s="50">
        <f t="shared" si="90"/>
        <v>9600</v>
      </c>
      <c r="L288" s="51">
        <f t="shared" si="91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>
      <c r="A289" s="31" t="s">
        <v>220</v>
      </c>
      <c r="B289" s="1" t="s">
        <v>454</v>
      </c>
      <c r="C289" s="30" t="str">
        <f t="shared" si="92"/>
        <v>LA England - Erewash</v>
      </c>
      <c r="D289" s="51">
        <f t="shared" si="83"/>
        <v>44216</v>
      </c>
      <c r="E289" s="51">
        <f t="shared" si="84"/>
        <v>47067</v>
      </c>
      <c r="F289" s="52">
        <f t="shared" si="85"/>
        <v>113080</v>
      </c>
      <c r="G289" s="52">
        <f t="shared" si="86"/>
        <v>55544</v>
      </c>
      <c r="H289" s="53">
        <f t="shared" si="87"/>
        <v>57536</v>
      </c>
      <c r="I289" s="53">
        <f t="shared" si="88"/>
        <v>44216</v>
      </c>
      <c r="J289" s="53">
        <f t="shared" si="89"/>
        <v>47067</v>
      </c>
      <c r="K289" s="50">
        <f t="shared" si="90"/>
        <v>11328</v>
      </c>
      <c r="L289" s="51">
        <f t="shared" si="91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>
      <c r="A290" s="31" t="s">
        <v>220</v>
      </c>
      <c r="B290" s="1" t="s">
        <v>455</v>
      </c>
      <c r="C290" s="30" t="str">
        <f t="shared" si="92"/>
        <v>LA England - Exeter</v>
      </c>
      <c r="D290" s="51">
        <f t="shared" si="83"/>
        <v>54644</v>
      </c>
      <c r="E290" s="51">
        <f t="shared" si="84"/>
        <v>58208</v>
      </c>
      <c r="F290" s="52">
        <f t="shared" si="85"/>
        <v>134939</v>
      </c>
      <c r="G290" s="52">
        <f t="shared" si="86"/>
        <v>65979</v>
      </c>
      <c r="H290" s="53">
        <f t="shared" si="87"/>
        <v>68960</v>
      </c>
      <c r="I290" s="53">
        <f t="shared" si="88"/>
        <v>54644</v>
      </c>
      <c r="J290" s="53">
        <f t="shared" si="89"/>
        <v>58208</v>
      </c>
      <c r="K290" s="50">
        <f t="shared" si="90"/>
        <v>11335</v>
      </c>
      <c r="L290" s="51">
        <f t="shared" si="91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>
      <c r="A291" s="31" t="s">
        <v>220</v>
      </c>
      <c r="B291" s="1" t="s">
        <v>456</v>
      </c>
      <c r="C291" s="30" t="str">
        <f t="shared" si="92"/>
        <v>LA England - Fareham</v>
      </c>
      <c r="D291" s="51">
        <f t="shared" si="83"/>
        <v>45205</v>
      </c>
      <c r="E291" s="51">
        <f t="shared" si="84"/>
        <v>48295</v>
      </c>
      <c r="F291" s="52">
        <f t="shared" si="85"/>
        <v>114547</v>
      </c>
      <c r="G291" s="52">
        <f t="shared" si="86"/>
        <v>55913</v>
      </c>
      <c r="H291" s="53">
        <f t="shared" si="87"/>
        <v>58634</v>
      </c>
      <c r="I291" s="53">
        <f t="shared" si="88"/>
        <v>45205</v>
      </c>
      <c r="J291" s="53">
        <f t="shared" si="89"/>
        <v>48295</v>
      </c>
      <c r="K291" s="50">
        <f t="shared" si="90"/>
        <v>10708</v>
      </c>
      <c r="L291" s="51">
        <f t="shared" si="91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>
      <c r="A292" s="31" t="s">
        <v>220</v>
      </c>
      <c r="B292" s="1" t="s">
        <v>457</v>
      </c>
      <c r="C292" s="30" t="str">
        <f t="shared" si="92"/>
        <v>LA England - Fenland</v>
      </c>
      <c r="D292" s="51">
        <f t="shared" si="83"/>
        <v>40132</v>
      </c>
      <c r="E292" s="51">
        <f t="shared" si="84"/>
        <v>42906</v>
      </c>
      <c r="F292" s="52">
        <f t="shared" si="85"/>
        <v>103035</v>
      </c>
      <c r="G292" s="52">
        <f t="shared" si="86"/>
        <v>50391</v>
      </c>
      <c r="H292" s="53">
        <f t="shared" si="87"/>
        <v>52644</v>
      </c>
      <c r="I292" s="53">
        <f t="shared" si="88"/>
        <v>40132</v>
      </c>
      <c r="J292" s="53">
        <f t="shared" si="89"/>
        <v>42906</v>
      </c>
      <c r="K292" s="50">
        <f t="shared" si="90"/>
        <v>10259</v>
      </c>
      <c r="L292" s="51">
        <f t="shared" si="91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>
      <c r="A293" s="31" t="s">
        <v>220</v>
      </c>
      <c r="B293" s="1" t="s">
        <v>458</v>
      </c>
      <c r="C293" s="30" t="str">
        <f t="shared" si="92"/>
        <v>LA England - Folkestone and Hythe</v>
      </c>
      <c r="D293" s="51">
        <f t="shared" si="83"/>
        <v>43173</v>
      </c>
      <c r="E293" s="51">
        <f t="shared" si="84"/>
        <v>46524</v>
      </c>
      <c r="F293" s="52">
        <f t="shared" si="85"/>
        <v>110237</v>
      </c>
      <c r="G293" s="52">
        <f t="shared" si="86"/>
        <v>53700</v>
      </c>
      <c r="H293" s="53">
        <f t="shared" si="87"/>
        <v>56537</v>
      </c>
      <c r="I293" s="53">
        <f t="shared" si="88"/>
        <v>43173</v>
      </c>
      <c r="J293" s="53">
        <f t="shared" si="89"/>
        <v>46524</v>
      </c>
      <c r="K293" s="50">
        <f t="shared" si="90"/>
        <v>10527</v>
      </c>
      <c r="L293" s="51">
        <f t="shared" si="91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>
      <c r="A294" s="31" t="s">
        <v>220</v>
      </c>
      <c r="B294" s="1" t="s">
        <v>459</v>
      </c>
      <c r="C294" s="30" t="str">
        <f t="shared" si="92"/>
        <v>LA England - Forest of Dean</v>
      </c>
      <c r="D294" s="51">
        <f t="shared" si="83"/>
        <v>35019</v>
      </c>
      <c r="E294" s="51">
        <f t="shared" si="84"/>
        <v>36827</v>
      </c>
      <c r="F294" s="52">
        <f t="shared" si="85"/>
        <v>87937</v>
      </c>
      <c r="G294" s="52">
        <f t="shared" si="86"/>
        <v>43131</v>
      </c>
      <c r="H294" s="53">
        <f t="shared" si="87"/>
        <v>44806</v>
      </c>
      <c r="I294" s="53">
        <f t="shared" si="88"/>
        <v>35019</v>
      </c>
      <c r="J294" s="53">
        <f t="shared" si="89"/>
        <v>36827</v>
      </c>
      <c r="K294" s="50">
        <f t="shared" si="90"/>
        <v>8112</v>
      </c>
      <c r="L294" s="51">
        <f t="shared" si="91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>
      <c r="A295" s="31" t="s">
        <v>220</v>
      </c>
      <c r="B295" s="1" t="s">
        <v>460</v>
      </c>
      <c r="C295" s="30" t="str">
        <f t="shared" si="92"/>
        <v>LA England - Fylde</v>
      </c>
      <c r="D295" s="51">
        <f t="shared" si="83"/>
        <v>33545</v>
      </c>
      <c r="E295" s="51">
        <f t="shared" si="84"/>
        <v>35506</v>
      </c>
      <c r="F295" s="52">
        <f t="shared" si="85"/>
        <v>83008</v>
      </c>
      <c r="G295" s="52">
        <f t="shared" si="86"/>
        <v>40611</v>
      </c>
      <c r="H295" s="53">
        <f t="shared" si="87"/>
        <v>42397</v>
      </c>
      <c r="I295" s="53">
        <f t="shared" si="88"/>
        <v>33545</v>
      </c>
      <c r="J295" s="53">
        <f t="shared" si="89"/>
        <v>35506</v>
      </c>
      <c r="K295" s="50">
        <f t="shared" si="90"/>
        <v>7066</v>
      </c>
      <c r="L295" s="51">
        <f t="shared" si="91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>
      <c r="A296" s="31" t="s">
        <v>220</v>
      </c>
      <c r="B296" s="1" t="s">
        <v>461</v>
      </c>
      <c r="C296" s="30" t="str">
        <f t="shared" si="92"/>
        <v>LA England - Gateshead</v>
      </c>
      <c r="D296" s="51">
        <f t="shared" si="83"/>
        <v>77352</v>
      </c>
      <c r="E296" s="51">
        <f t="shared" si="84"/>
        <v>81051</v>
      </c>
      <c r="F296" s="52">
        <f t="shared" si="85"/>
        <v>197722</v>
      </c>
      <c r="G296" s="52">
        <f t="shared" si="86"/>
        <v>97281</v>
      </c>
      <c r="H296" s="53">
        <f t="shared" si="87"/>
        <v>100441</v>
      </c>
      <c r="I296" s="53">
        <f t="shared" si="88"/>
        <v>77352</v>
      </c>
      <c r="J296" s="53">
        <f t="shared" si="89"/>
        <v>81051</v>
      </c>
      <c r="K296" s="50">
        <f t="shared" si="90"/>
        <v>19929</v>
      </c>
      <c r="L296" s="51">
        <f t="shared" si="91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>
      <c r="A297" s="31" t="s">
        <v>220</v>
      </c>
      <c r="B297" s="1" t="s">
        <v>462</v>
      </c>
      <c r="C297" s="30" t="str">
        <f t="shared" si="92"/>
        <v>LA England - Gedling</v>
      </c>
      <c r="D297" s="51">
        <f t="shared" si="83"/>
        <v>45173</v>
      </c>
      <c r="E297" s="51">
        <f t="shared" si="84"/>
        <v>49187</v>
      </c>
      <c r="F297" s="52">
        <f t="shared" si="85"/>
        <v>117730</v>
      </c>
      <c r="G297" s="52">
        <f t="shared" si="86"/>
        <v>57091</v>
      </c>
      <c r="H297" s="53">
        <f t="shared" si="87"/>
        <v>60639</v>
      </c>
      <c r="I297" s="53">
        <f t="shared" si="88"/>
        <v>45173</v>
      </c>
      <c r="J297" s="53">
        <f t="shared" si="89"/>
        <v>49187</v>
      </c>
      <c r="K297" s="50">
        <f t="shared" si="90"/>
        <v>11918</v>
      </c>
      <c r="L297" s="51">
        <f t="shared" si="91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>
      <c r="A298" s="31" t="s">
        <v>220</v>
      </c>
      <c r="B298" s="1" t="s">
        <v>463</v>
      </c>
      <c r="C298" s="30" t="str">
        <f t="shared" si="92"/>
        <v>LA England - Gloucester</v>
      </c>
      <c r="D298" s="51">
        <f t="shared" si="83"/>
        <v>51325</v>
      </c>
      <c r="E298" s="51">
        <f t="shared" si="84"/>
        <v>53375</v>
      </c>
      <c r="F298" s="52">
        <f t="shared" si="85"/>
        <v>133522</v>
      </c>
      <c r="G298" s="52">
        <f t="shared" si="86"/>
        <v>66103</v>
      </c>
      <c r="H298" s="53">
        <f t="shared" si="87"/>
        <v>67419</v>
      </c>
      <c r="I298" s="53">
        <f t="shared" si="88"/>
        <v>51325</v>
      </c>
      <c r="J298" s="53">
        <f t="shared" si="89"/>
        <v>53375</v>
      </c>
      <c r="K298" s="50">
        <f t="shared" si="90"/>
        <v>14778</v>
      </c>
      <c r="L298" s="51">
        <f t="shared" si="91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>
      <c r="A299" s="31" t="s">
        <v>220</v>
      </c>
      <c r="B299" s="1" t="s">
        <v>464</v>
      </c>
      <c r="C299" s="30" t="str">
        <f t="shared" si="92"/>
        <v>LA England - Gosport</v>
      </c>
      <c r="D299" s="51">
        <f t="shared" si="83"/>
        <v>31708</v>
      </c>
      <c r="E299" s="51">
        <f t="shared" si="84"/>
        <v>34076</v>
      </c>
      <c r="F299" s="52">
        <f t="shared" si="85"/>
        <v>82285</v>
      </c>
      <c r="G299" s="52">
        <f t="shared" si="86"/>
        <v>40357</v>
      </c>
      <c r="H299" s="53">
        <f t="shared" si="87"/>
        <v>41928</v>
      </c>
      <c r="I299" s="53">
        <f t="shared" si="88"/>
        <v>31708</v>
      </c>
      <c r="J299" s="53">
        <f t="shared" si="89"/>
        <v>34076</v>
      </c>
      <c r="K299" s="50">
        <f t="shared" si="90"/>
        <v>8649</v>
      </c>
      <c r="L299" s="51">
        <f t="shared" si="91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>
      <c r="A300" s="31" t="s">
        <v>220</v>
      </c>
      <c r="B300" s="1" t="s">
        <v>465</v>
      </c>
      <c r="C300" s="30" t="str">
        <f t="shared" si="92"/>
        <v>LA England - Gravesham</v>
      </c>
      <c r="D300" s="51">
        <f t="shared" si="83"/>
        <v>39235</v>
      </c>
      <c r="E300" s="51">
        <f t="shared" si="84"/>
        <v>42274</v>
      </c>
      <c r="F300" s="52">
        <f t="shared" si="85"/>
        <v>106970</v>
      </c>
      <c r="G300" s="52">
        <f t="shared" si="86"/>
        <v>52155</v>
      </c>
      <c r="H300" s="53">
        <f t="shared" si="87"/>
        <v>54815</v>
      </c>
      <c r="I300" s="53">
        <f t="shared" si="88"/>
        <v>39235</v>
      </c>
      <c r="J300" s="53">
        <f t="shared" si="89"/>
        <v>42274</v>
      </c>
      <c r="K300" s="50">
        <f t="shared" si="90"/>
        <v>12920</v>
      </c>
      <c r="L300" s="51">
        <f t="shared" si="91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>
      <c r="A301" s="31" t="s">
        <v>220</v>
      </c>
      <c r="B301" s="1" t="s">
        <v>466</v>
      </c>
      <c r="C301" s="30" t="str">
        <f t="shared" si="92"/>
        <v>LA England - Great Yarmouth</v>
      </c>
      <c r="D301" s="51">
        <f t="shared" si="83"/>
        <v>38899</v>
      </c>
      <c r="E301" s="51">
        <f t="shared" si="84"/>
        <v>41807</v>
      </c>
      <c r="F301" s="52">
        <f t="shared" si="85"/>
        <v>99862</v>
      </c>
      <c r="G301" s="52">
        <f t="shared" si="86"/>
        <v>48741</v>
      </c>
      <c r="H301" s="53">
        <f t="shared" si="87"/>
        <v>51121</v>
      </c>
      <c r="I301" s="53">
        <f t="shared" si="88"/>
        <v>38899</v>
      </c>
      <c r="J301" s="53">
        <f t="shared" si="89"/>
        <v>41807</v>
      </c>
      <c r="K301" s="50">
        <f t="shared" si="90"/>
        <v>9842</v>
      </c>
      <c r="L301" s="51">
        <f t="shared" si="91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>
      <c r="A302" s="31" t="s">
        <v>220</v>
      </c>
      <c r="B302" s="1" t="s">
        <v>467</v>
      </c>
      <c r="C302" s="30" t="str">
        <f t="shared" si="92"/>
        <v>LA England - Greenwich</v>
      </c>
      <c r="D302" s="51">
        <f t="shared" si="83"/>
        <v>108669</v>
      </c>
      <c r="E302" s="51">
        <f t="shared" si="84"/>
        <v>116854</v>
      </c>
      <c r="F302" s="52">
        <f t="shared" si="85"/>
        <v>291080</v>
      </c>
      <c r="G302" s="52">
        <f t="shared" si="86"/>
        <v>141998</v>
      </c>
      <c r="H302" s="53">
        <f t="shared" si="87"/>
        <v>149082</v>
      </c>
      <c r="I302" s="53">
        <f t="shared" si="88"/>
        <v>108669</v>
      </c>
      <c r="J302" s="53">
        <f t="shared" si="89"/>
        <v>116854</v>
      </c>
      <c r="K302" s="50">
        <f t="shared" si="90"/>
        <v>33329</v>
      </c>
      <c r="L302" s="51">
        <f t="shared" si="91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>
      <c r="A303" s="31" t="s">
        <v>220</v>
      </c>
      <c r="B303" s="1" t="s">
        <v>468</v>
      </c>
      <c r="C303" s="30" t="str">
        <f t="shared" si="92"/>
        <v>LA England - Guildford</v>
      </c>
      <c r="D303" s="51">
        <f t="shared" si="83"/>
        <v>57455</v>
      </c>
      <c r="E303" s="51">
        <f t="shared" si="84"/>
        <v>59963</v>
      </c>
      <c r="F303" s="52">
        <f t="shared" si="85"/>
        <v>145673</v>
      </c>
      <c r="G303" s="52">
        <f t="shared" si="86"/>
        <v>71786</v>
      </c>
      <c r="H303" s="53">
        <f t="shared" si="87"/>
        <v>73887</v>
      </c>
      <c r="I303" s="53">
        <f t="shared" si="88"/>
        <v>57455</v>
      </c>
      <c r="J303" s="53">
        <f t="shared" si="89"/>
        <v>59963</v>
      </c>
      <c r="K303" s="50">
        <f t="shared" si="90"/>
        <v>14331</v>
      </c>
      <c r="L303" s="51">
        <f t="shared" si="91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>
      <c r="A304" s="31" t="s">
        <v>220</v>
      </c>
      <c r="B304" s="1" t="s">
        <v>469</v>
      </c>
      <c r="C304" s="30" t="str">
        <f t="shared" si="92"/>
        <v>LA England - Hackney</v>
      </c>
      <c r="D304" s="51">
        <f t="shared" si="83"/>
        <v>96624</v>
      </c>
      <c r="E304" s="51">
        <f t="shared" si="84"/>
        <v>109773</v>
      </c>
      <c r="F304" s="52">
        <f t="shared" si="85"/>
        <v>261491</v>
      </c>
      <c r="G304" s="52">
        <f t="shared" si="86"/>
        <v>124628</v>
      </c>
      <c r="H304" s="53">
        <f t="shared" si="87"/>
        <v>136863</v>
      </c>
      <c r="I304" s="53">
        <f t="shared" si="88"/>
        <v>96624</v>
      </c>
      <c r="J304" s="53">
        <f t="shared" si="89"/>
        <v>109773</v>
      </c>
      <c r="K304" s="50">
        <f t="shared" si="90"/>
        <v>28004</v>
      </c>
      <c r="L304" s="51">
        <f t="shared" si="91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>
      <c r="A305" s="31" t="s">
        <v>220</v>
      </c>
      <c r="B305" s="1" t="s">
        <v>470</v>
      </c>
      <c r="C305" s="30" t="str">
        <f t="shared" si="92"/>
        <v>LA England - Halton</v>
      </c>
      <c r="D305" s="51">
        <f t="shared" si="83"/>
        <v>49092</v>
      </c>
      <c r="E305" s="51">
        <f t="shared" si="84"/>
        <v>52326</v>
      </c>
      <c r="F305" s="52">
        <f t="shared" si="85"/>
        <v>128964</v>
      </c>
      <c r="G305" s="52">
        <f t="shared" si="86"/>
        <v>63227</v>
      </c>
      <c r="H305" s="53">
        <f t="shared" si="87"/>
        <v>65737</v>
      </c>
      <c r="I305" s="53">
        <f t="shared" si="88"/>
        <v>49092</v>
      </c>
      <c r="J305" s="53">
        <f t="shared" si="89"/>
        <v>52326</v>
      </c>
      <c r="K305" s="50">
        <f t="shared" si="90"/>
        <v>14135</v>
      </c>
      <c r="L305" s="51">
        <f t="shared" si="91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>
      <c r="A306" s="31" t="s">
        <v>220</v>
      </c>
      <c r="B306" s="1" t="s">
        <v>471</v>
      </c>
      <c r="C306" s="30" t="str">
        <f t="shared" si="92"/>
        <v>LA England - Hammersmith and Fulham</v>
      </c>
      <c r="D306" s="51">
        <f t="shared" si="83"/>
        <v>70634</v>
      </c>
      <c r="E306" s="51">
        <f t="shared" si="84"/>
        <v>82749</v>
      </c>
      <c r="F306" s="52">
        <f t="shared" si="85"/>
        <v>185238</v>
      </c>
      <c r="G306" s="52">
        <f t="shared" si="86"/>
        <v>86607</v>
      </c>
      <c r="H306" s="53">
        <f t="shared" si="87"/>
        <v>98631</v>
      </c>
      <c r="I306" s="53">
        <f t="shared" si="88"/>
        <v>70634</v>
      </c>
      <c r="J306" s="53">
        <f t="shared" si="89"/>
        <v>82749</v>
      </c>
      <c r="K306" s="50">
        <f t="shared" si="90"/>
        <v>15973</v>
      </c>
      <c r="L306" s="51">
        <f t="shared" si="91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>
      <c r="A307" s="31" t="s">
        <v>220</v>
      </c>
      <c r="B307" s="1" t="s">
        <v>472</v>
      </c>
      <c r="C307" s="30" t="str">
        <f t="shared" si="92"/>
        <v>LA England - Harborough</v>
      </c>
      <c r="D307" s="51">
        <f t="shared" si="83"/>
        <v>39173</v>
      </c>
      <c r="E307" s="51">
        <f t="shared" si="84"/>
        <v>41258</v>
      </c>
      <c r="F307" s="52">
        <f t="shared" si="85"/>
        <v>100481</v>
      </c>
      <c r="G307" s="52">
        <f t="shared" si="86"/>
        <v>49592</v>
      </c>
      <c r="H307" s="53">
        <f t="shared" si="87"/>
        <v>50889</v>
      </c>
      <c r="I307" s="53">
        <f t="shared" si="88"/>
        <v>39173</v>
      </c>
      <c r="J307" s="53">
        <f t="shared" si="89"/>
        <v>41258</v>
      </c>
      <c r="K307" s="50">
        <f t="shared" si="90"/>
        <v>10419</v>
      </c>
      <c r="L307" s="51">
        <f t="shared" si="91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>
      <c r="A308" s="31" t="s">
        <v>220</v>
      </c>
      <c r="B308" s="1" t="s">
        <v>473</v>
      </c>
      <c r="C308" s="30" t="str">
        <f t="shared" si="92"/>
        <v>LA England - Haringey</v>
      </c>
      <c r="D308" s="51">
        <f t="shared" si="83"/>
        <v>98640</v>
      </c>
      <c r="E308" s="51">
        <f t="shared" si="84"/>
        <v>109268</v>
      </c>
      <c r="F308" s="52">
        <f t="shared" si="85"/>
        <v>261811</v>
      </c>
      <c r="G308" s="52">
        <f t="shared" si="86"/>
        <v>126002</v>
      </c>
      <c r="H308" s="53">
        <f t="shared" si="87"/>
        <v>135809</v>
      </c>
      <c r="I308" s="53">
        <f t="shared" si="88"/>
        <v>98640</v>
      </c>
      <c r="J308" s="53">
        <f t="shared" si="89"/>
        <v>109268</v>
      </c>
      <c r="K308" s="50">
        <f t="shared" si="90"/>
        <v>27362</v>
      </c>
      <c r="L308" s="51">
        <f t="shared" si="91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>
      <c r="A309" s="31" t="s">
        <v>220</v>
      </c>
      <c r="B309" s="1" t="s">
        <v>474</v>
      </c>
      <c r="C309" s="30" t="str">
        <f t="shared" si="92"/>
        <v>LA England - Harlow</v>
      </c>
      <c r="D309" s="51">
        <f t="shared" si="83"/>
        <v>34053</v>
      </c>
      <c r="E309" s="51">
        <f t="shared" si="84"/>
        <v>37369</v>
      </c>
      <c r="F309" s="52">
        <f t="shared" si="85"/>
        <v>94409</v>
      </c>
      <c r="G309" s="52">
        <f t="shared" si="86"/>
        <v>45809</v>
      </c>
      <c r="H309" s="53">
        <f t="shared" si="87"/>
        <v>48600</v>
      </c>
      <c r="I309" s="53">
        <f t="shared" si="88"/>
        <v>34053</v>
      </c>
      <c r="J309" s="53">
        <f t="shared" si="89"/>
        <v>37369</v>
      </c>
      <c r="K309" s="50">
        <f t="shared" si="90"/>
        <v>11756</v>
      </c>
      <c r="L309" s="51">
        <f t="shared" si="91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>
      <c r="A310" s="31" t="s">
        <v>220</v>
      </c>
      <c r="B310" s="1" t="s">
        <v>475</v>
      </c>
      <c r="C310" s="30" t="str">
        <f t="shared" si="92"/>
        <v>LA England - Harrow</v>
      </c>
      <c r="D310" s="51">
        <f t="shared" si="83"/>
        <v>98484</v>
      </c>
      <c r="E310" s="51">
        <f t="shared" si="84"/>
        <v>103799</v>
      </c>
      <c r="F310" s="52">
        <f t="shared" si="85"/>
        <v>261185</v>
      </c>
      <c r="G310" s="52">
        <f t="shared" si="86"/>
        <v>128948</v>
      </c>
      <c r="H310" s="53">
        <f t="shared" si="87"/>
        <v>132237</v>
      </c>
      <c r="I310" s="53">
        <f t="shared" si="88"/>
        <v>98484</v>
      </c>
      <c r="J310" s="53">
        <f t="shared" si="89"/>
        <v>103799</v>
      </c>
      <c r="K310" s="50">
        <f t="shared" si="90"/>
        <v>30464</v>
      </c>
      <c r="L310" s="51">
        <f t="shared" si="91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>
      <c r="A311" s="31" t="s">
        <v>220</v>
      </c>
      <c r="B311" s="1" t="s">
        <v>476</v>
      </c>
      <c r="C311" s="30" t="str">
        <f t="shared" si="92"/>
        <v>LA England - Hart</v>
      </c>
      <c r="D311" s="51">
        <f t="shared" si="83"/>
        <v>38859</v>
      </c>
      <c r="E311" s="51">
        <f t="shared" si="84"/>
        <v>40393</v>
      </c>
      <c r="F311" s="52">
        <f t="shared" si="85"/>
        <v>100910</v>
      </c>
      <c r="G311" s="52">
        <f t="shared" si="86"/>
        <v>49963</v>
      </c>
      <c r="H311" s="53">
        <f t="shared" si="87"/>
        <v>50947</v>
      </c>
      <c r="I311" s="53">
        <f t="shared" si="88"/>
        <v>38859</v>
      </c>
      <c r="J311" s="53">
        <f t="shared" si="89"/>
        <v>40393</v>
      </c>
      <c r="K311" s="50">
        <f t="shared" si="90"/>
        <v>11104</v>
      </c>
      <c r="L311" s="51">
        <f t="shared" si="91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>
      <c r="A312" s="31" t="s">
        <v>220</v>
      </c>
      <c r="B312" s="1" t="s">
        <v>477</v>
      </c>
      <c r="C312" s="30" t="str">
        <f t="shared" si="92"/>
        <v>LA England - Hartlepool</v>
      </c>
      <c r="D312" s="51">
        <f t="shared" si="83"/>
        <v>35320</v>
      </c>
      <c r="E312" s="51">
        <f t="shared" si="84"/>
        <v>38425</v>
      </c>
      <c r="F312" s="52">
        <f t="shared" si="85"/>
        <v>93861</v>
      </c>
      <c r="G312" s="52">
        <f t="shared" si="86"/>
        <v>45630</v>
      </c>
      <c r="H312" s="53">
        <f t="shared" si="87"/>
        <v>48231</v>
      </c>
      <c r="I312" s="53">
        <f t="shared" si="88"/>
        <v>35320</v>
      </c>
      <c r="J312" s="53">
        <f t="shared" si="89"/>
        <v>38425</v>
      </c>
      <c r="K312" s="50">
        <f t="shared" si="90"/>
        <v>10310</v>
      </c>
      <c r="L312" s="51">
        <f t="shared" si="91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>
      <c r="A313" s="31" t="s">
        <v>220</v>
      </c>
      <c r="B313" s="1" t="s">
        <v>478</v>
      </c>
      <c r="C313" s="30" t="str">
        <f t="shared" si="92"/>
        <v>LA England - Hastings</v>
      </c>
      <c r="D313" s="51">
        <f t="shared" si="83"/>
        <v>34687</v>
      </c>
      <c r="E313" s="51">
        <f t="shared" si="84"/>
        <v>37763</v>
      </c>
      <c r="F313" s="52">
        <f t="shared" si="85"/>
        <v>90622</v>
      </c>
      <c r="G313" s="52">
        <f t="shared" si="86"/>
        <v>44005</v>
      </c>
      <c r="H313" s="53">
        <f t="shared" si="87"/>
        <v>46617</v>
      </c>
      <c r="I313" s="53">
        <f t="shared" si="88"/>
        <v>34687</v>
      </c>
      <c r="J313" s="53">
        <f t="shared" si="89"/>
        <v>37763</v>
      </c>
      <c r="K313" s="50">
        <f t="shared" si="90"/>
        <v>9318</v>
      </c>
      <c r="L313" s="51">
        <f t="shared" si="91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>
      <c r="A314" s="31" t="s">
        <v>220</v>
      </c>
      <c r="B314" s="1" t="s">
        <v>479</v>
      </c>
      <c r="C314" s="30" t="str">
        <f t="shared" si="92"/>
        <v>LA England - Havant</v>
      </c>
      <c r="D314" s="51">
        <f t="shared" si="83"/>
        <v>47862</v>
      </c>
      <c r="E314" s="51">
        <f t="shared" si="84"/>
        <v>52754</v>
      </c>
      <c r="F314" s="52">
        <f t="shared" si="85"/>
        <v>124854</v>
      </c>
      <c r="G314" s="52">
        <f t="shared" si="86"/>
        <v>60252</v>
      </c>
      <c r="H314" s="53">
        <f t="shared" si="87"/>
        <v>64602</v>
      </c>
      <c r="I314" s="53">
        <f t="shared" si="88"/>
        <v>47862</v>
      </c>
      <c r="J314" s="53">
        <f t="shared" si="89"/>
        <v>52754</v>
      </c>
      <c r="K314" s="50">
        <f t="shared" si="90"/>
        <v>12390</v>
      </c>
      <c r="L314" s="51">
        <f t="shared" si="91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>
      <c r="A315" s="31" t="s">
        <v>220</v>
      </c>
      <c r="B315" s="1" t="s">
        <v>480</v>
      </c>
      <c r="C315" s="30" t="str">
        <f t="shared" si="92"/>
        <v>LA England - Havering</v>
      </c>
      <c r="D315" s="51">
        <f t="shared" si="83"/>
        <v>97269</v>
      </c>
      <c r="E315" s="51">
        <f t="shared" si="84"/>
        <v>107346</v>
      </c>
      <c r="F315" s="52">
        <f t="shared" si="85"/>
        <v>264703</v>
      </c>
      <c r="G315" s="52">
        <f t="shared" si="86"/>
        <v>128043</v>
      </c>
      <c r="H315" s="53">
        <f t="shared" si="87"/>
        <v>136660</v>
      </c>
      <c r="I315" s="53">
        <f t="shared" si="88"/>
        <v>97269</v>
      </c>
      <c r="J315" s="53">
        <f t="shared" si="89"/>
        <v>107346</v>
      </c>
      <c r="K315" s="50">
        <f t="shared" si="90"/>
        <v>30774</v>
      </c>
      <c r="L315" s="51">
        <f t="shared" si="91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>
      <c r="A316" s="31" t="s">
        <v>220</v>
      </c>
      <c r="B316" s="1" t="s">
        <v>481</v>
      </c>
      <c r="C316" s="30" t="str">
        <f t="shared" si="92"/>
        <v>LA England - Herefordshire, County of</v>
      </c>
      <c r="D316" s="51">
        <f t="shared" si="83"/>
        <v>74887</v>
      </c>
      <c r="E316" s="51">
        <f t="shared" si="84"/>
        <v>79801</v>
      </c>
      <c r="F316" s="52">
        <f t="shared" si="85"/>
        <v>188719</v>
      </c>
      <c r="G316" s="52">
        <f t="shared" si="86"/>
        <v>92561</v>
      </c>
      <c r="H316" s="53">
        <f t="shared" si="87"/>
        <v>96158</v>
      </c>
      <c r="I316" s="53">
        <f t="shared" si="88"/>
        <v>74887</v>
      </c>
      <c r="J316" s="53">
        <f t="shared" si="89"/>
        <v>79801</v>
      </c>
      <c r="K316" s="50">
        <f t="shared" si="90"/>
        <v>17674</v>
      </c>
      <c r="L316" s="51">
        <f t="shared" si="91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>
      <c r="A317" s="31" t="s">
        <v>220</v>
      </c>
      <c r="B317" s="1" t="s">
        <v>482</v>
      </c>
      <c r="C317" s="30" t="str">
        <f t="shared" si="92"/>
        <v>LA England - Hertsmere</v>
      </c>
      <c r="D317" s="51">
        <f t="shared" si="83"/>
        <v>39512</v>
      </c>
      <c r="E317" s="51">
        <f t="shared" si="84"/>
        <v>44210</v>
      </c>
      <c r="F317" s="52">
        <f t="shared" si="85"/>
        <v>108106</v>
      </c>
      <c r="G317" s="52">
        <f t="shared" si="86"/>
        <v>51987</v>
      </c>
      <c r="H317" s="53">
        <f t="shared" si="87"/>
        <v>56119</v>
      </c>
      <c r="I317" s="53">
        <f t="shared" si="88"/>
        <v>39512</v>
      </c>
      <c r="J317" s="53">
        <f t="shared" si="89"/>
        <v>44210</v>
      </c>
      <c r="K317" s="50">
        <f t="shared" si="90"/>
        <v>12475</v>
      </c>
      <c r="L317" s="51">
        <f t="shared" si="91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>
      <c r="A318" s="31" t="s">
        <v>220</v>
      </c>
      <c r="B318" s="1" t="s">
        <v>483</v>
      </c>
      <c r="C318" s="30" t="str">
        <f t="shared" si="92"/>
        <v>LA England - High Peak</v>
      </c>
      <c r="D318" s="51">
        <f t="shared" si="83"/>
        <v>36065</v>
      </c>
      <c r="E318" s="51">
        <f t="shared" si="84"/>
        <v>37826</v>
      </c>
      <c r="F318" s="52">
        <f t="shared" si="85"/>
        <v>91109</v>
      </c>
      <c r="G318" s="52">
        <f t="shared" si="86"/>
        <v>44801</v>
      </c>
      <c r="H318" s="53">
        <f t="shared" si="87"/>
        <v>46308</v>
      </c>
      <c r="I318" s="53">
        <f t="shared" si="88"/>
        <v>36065</v>
      </c>
      <c r="J318" s="53">
        <f t="shared" si="89"/>
        <v>37826</v>
      </c>
      <c r="K318" s="50">
        <f t="shared" si="90"/>
        <v>8736</v>
      </c>
      <c r="L318" s="51">
        <f t="shared" si="91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>
      <c r="A319" s="31" t="s">
        <v>220</v>
      </c>
      <c r="B319" s="1" t="s">
        <v>484</v>
      </c>
      <c r="C319" s="30" t="str">
        <f t="shared" si="92"/>
        <v>LA England - Hillingdon</v>
      </c>
      <c r="D319" s="51">
        <f t="shared" si="83"/>
        <v>117369</v>
      </c>
      <c r="E319" s="51">
        <f t="shared" si="84"/>
        <v>120731</v>
      </c>
      <c r="F319" s="52">
        <f t="shared" si="85"/>
        <v>310681</v>
      </c>
      <c r="G319" s="52">
        <f t="shared" si="86"/>
        <v>154503</v>
      </c>
      <c r="H319" s="53">
        <f t="shared" si="87"/>
        <v>156178</v>
      </c>
      <c r="I319" s="53">
        <f t="shared" si="88"/>
        <v>117369</v>
      </c>
      <c r="J319" s="53">
        <f t="shared" si="89"/>
        <v>120731</v>
      </c>
      <c r="K319" s="50">
        <f t="shared" si="90"/>
        <v>37134</v>
      </c>
      <c r="L319" s="51">
        <f t="shared" si="91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>
      <c r="A320" s="31" t="s">
        <v>220</v>
      </c>
      <c r="B320" s="1" t="s">
        <v>485</v>
      </c>
      <c r="C320" s="30" t="str">
        <f t="shared" si="92"/>
        <v>LA England - Hinckley and Bosworth</v>
      </c>
      <c r="D320" s="51">
        <f t="shared" si="83"/>
        <v>44825</v>
      </c>
      <c r="E320" s="51">
        <f t="shared" si="84"/>
        <v>47071</v>
      </c>
      <c r="F320" s="52">
        <f t="shared" si="85"/>
        <v>114298</v>
      </c>
      <c r="G320" s="52">
        <f t="shared" si="86"/>
        <v>56349</v>
      </c>
      <c r="H320" s="53">
        <f t="shared" si="87"/>
        <v>57949</v>
      </c>
      <c r="I320" s="53">
        <f t="shared" si="88"/>
        <v>44825</v>
      </c>
      <c r="J320" s="53">
        <f t="shared" si="89"/>
        <v>47071</v>
      </c>
      <c r="K320" s="50">
        <f t="shared" si="90"/>
        <v>11524</v>
      </c>
      <c r="L320" s="51">
        <f t="shared" si="91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>
      <c r="A321" s="31" t="s">
        <v>220</v>
      </c>
      <c r="B321" s="1" t="s">
        <v>486</v>
      </c>
      <c r="C321" s="30" t="str">
        <f t="shared" si="92"/>
        <v>LA England - Horsham</v>
      </c>
      <c r="D321" s="51">
        <f t="shared" si="83"/>
        <v>57103</v>
      </c>
      <c r="E321" s="51">
        <f t="shared" si="84"/>
        <v>61460</v>
      </c>
      <c r="F321" s="52">
        <f t="shared" si="85"/>
        <v>148696</v>
      </c>
      <c r="G321" s="52">
        <f t="shared" si="86"/>
        <v>72638</v>
      </c>
      <c r="H321" s="53">
        <f t="shared" si="87"/>
        <v>76058</v>
      </c>
      <c r="I321" s="53">
        <f t="shared" si="88"/>
        <v>57103</v>
      </c>
      <c r="J321" s="53">
        <f t="shared" si="89"/>
        <v>61460</v>
      </c>
      <c r="K321" s="50">
        <f t="shared" si="90"/>
        <v>15535</v>
      </c>
      <c r="L321" s="51">
        <f t="shared" si="91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>
      <c r="A322" s="31" t="s">
        <v>220</v>
      </c>
      <c r="B322" s="1" t="s">
        <v>487</v>
      </c>
      <c r="C322" s="30" t="str">
        <f t="shared" si="92"/>
        <v>LA England - Hounslow</v>
      </c>
      <c r="D322" s="51">
        <f t="shared" si="83"/>
        <v>110621</v>
      </c>
      <c r="E322" s="51">
        <f t="shared" si="84"/>
        <v>113039</v>
      </c>
      <c r="F322" s="52">
        <f t="shared" si="85"/>
        <v>290488</v>
      </c>
      <c r="G322" s="52">
        <f t="shared" si="86"/>
        <v>145055</v>
      </c>
      <c r="H322" s="53">
        <f t="shared" si="87"/>
        <v>145433</v>
      </c>
      <c r="I322" s="53">
        <f t="shared" si="88"/>
        <v>110621</v>
      </c>
      <c r="J322" s="53">
        <f t="shared" si="89"/>
        <v>113039</v>
      </c>
      <c r="K322" s="50">
        <f t="shared" si="90"/>
        <v>34434</v>
      </c>
      <c r="L322" s="51">
        <f t="shared" si="91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>
      <c r="A323" s="31" t="s">
        <v>220</v>
      </c>
      <c r="B323" s="1" t="s">
        <v>488</v>
      </c>
      <c r="C323" s="30" t="str">
        <f t="shared" si="92"/>
        <v>LA England - Huntingdonshire</v>
      </c>
      <c r="D323" s="51">
        <f t="shared" si="83"/>
        <v>71911</v>
      </c>
      <c r="E323" s="51">
        <f t="shared" si="84"/>
        <v>74728</v>
      </c>
      <c r="F323" s="52">
        <f t="shared" si="85"/>
        <v>184052</v>
      </c>
      <c r="G323" s="52">
        <f t="shared" si="86"/>
        <v>91150</v>
      </c>
      <c r="H323" s="53">
        <f t="shared" si="87"/>
        <v>92902</v>
      </c>
      <c r="I323" s="53">
        <f t="shared" si="88"/>
        <v>71911</v>
      </c>
      <c r="J323" s="53">
        <f t="shared" si="89"/>
        <v>74728</v>
      </c>
      <c r="K323" s="50">
        <f t="shared" si="90"/>
        <v>19239</v>
      </c>
      <c r="L323" s="51">
        <f t="shared" si="91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>
      <c r="A324" s="31" t="s">
        <v>220</v>
      </c>
      <c r="B324" s="1" t="s">
        <v>489</v>
      </c>
      <c r="C324" s="30" t="str">
        <f t="shared" si="92"/>
        <v>LA England - Hyndburn</v>
      </c>
      <c r="D324" s="51">
        <f t="shared" si="83"/>
        <v>31512</v>
      </c>
      <c r="E324" s="51">
        <f t="shared" si="84"/>
        <v>32814</v>
      </c>
      <c r="F324" s="52">
        <f t="shared" si="85"/>
        <v>83213</v>
      </c>
      <c r="G324" s="52">
        <f t="shared" si="86"/>
        <v>41151</v>
      </c>
      <c r="H324" s="53">
        <f t="shared" si="87"/>
        <v>42062</v>
      </c>
      <c r="I324" s="53">
        <f t="shared" si="88"/>
        <v>31512</v>
      </c>
      <c r="J324" s="53">
        <f t="shared" si="89"/>
        <v>32814</v>
      </c>
      <c r="K324" s="50">
        <f t="shared" si="90"/>
        <v>9639</v>
      </c>
      <c r="L324" s="51">
        <f t="shared" si="91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>
      <c r="A325" s="31" t="s">
        <v>220</v>
      </c>
      <c r="B325" s="1" t="s">
        <v>490</v>
      </c>
      <c r="C325" s="30" t="str">
        <f t="shared" si="92"/>
        <v>LA England - Ipswich</v>
      </c>
      <c r="D325" s="51">
        <f t="shared" si="83"/>
        <v>53071</v>
      </c>
      <c r="E325" s="51">
        <f t="shared" si="84"/>
        <v>54883</v>
      </c>
      <c r="F325" s="52">
        <f t="shared" si="85"/>
        <v>139247</v>
      </c>
      <c r="G325" s="52">
        <f t="shared" si="86"/>
        <v>69076</v>
      </c>
      <c r="H325" s="53">
        <f t="shared" si="87"/>
        <v>70171</v>
      </c>
      <c r="I325" s="53">
        <f t="shared" si="88"/>
        <v>53071</v>
      </c>
      <c r="J325" s="53">
        <f t="shared" si="89"/>
        <v>54883</v>
      </c>
      <c r="K325" s="50">
        <f t="shared" si="90"/>
        <v>16005</v>
      </c>
      <c r="L325" s="51">
        <f t="shared" si="91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>
      <c r="A326" s="31" t="s">
        <v>220</v>
      </c>
      <c r="B326" s="1" t="s">
        <v>491</v>
      </c>
      <c r="C326" s="30" t="str">
        <f t="shared" si="92"/>
        <v>LA England - Isle of Wight</v>
      </c>
      <c r="D326" s="51">
        <f t="shared" si="83"/>
        <v>56057</v>
      </c>
      <c r="E326" s="51">
        <f t="shared" si="84"/>
        <v>61177</v>
      </c>
      <c r="F326" s="52">
        <f t="shared" si="85"/>
        <v>140794</v>
      </c>
      <c r="G326" s="52">
        <f t="shared" si="86"/>
        <v>68209</v>
      </c>
      <c r="H326" s="53">
        <f t="shared" si="87"/>
        <v>72585</v>
      </c>
      <c r="I326" s="53">
        <f t="shared" si="88"/>
        <v>56057</v>
      </c>
      <c r="J326" s="53">
        <f t="shared" si="89"/>
        <v>61177</v>
      </c>
      <c r="K326" s="50">
        <f t="shared" si="90"/>
        <v>12152</v>
      </c>
      <c r="L326" s="51">
        <f t="shared" si="91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>
      <c r="A327" s="31" t="s">
        <v>220</v>
      </c>
      <c r="B327" s="1" t="s">
        <v>492</v>
      </c>
      <c r="C327" s="30" t="str">
        <f t="shared" si="92"/>
        <v>LA England - Isles of Scilly</v>
      </c>
      <c r="D327" s="51">
        <f t="shared" si="83"/>
        <v>934</v>
      </c>
      <c r="E327" s="51">
        <f t="shared" si="84"/>
        <v>988</v>
      </c>
      <c r="F327" s="52">
        <f t="shared" si="85"/>
        <v>2281</v>
      </c>
      <c r="G327" s="52">
        <f t="shared" si="86"/>
        <v>1123</v>
      </c>
      <c r="H327" s="53">
        <f t="shared" si="87"/>
        <v>1158</v>
      </c>
      <c r="I327" s="53">
        <f t="shared" si="88"/>
        <v>934</v>
      </c>
      <c r="J327" s="53">
        <f t="shared" si="89"/>
        <v>988</v>
      </c>
      <c r="K327" s="50">
        <f t="shared" si="90"/>
        <v>189</v>
      </c>
      <c r="L327" s="51">
        <f t="shared" si="91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>
      <c r="A328" s="31" t="s">
        <v>220</v>
      </c>
      <c r="B328" s="1" t="s">
        <v>493</v>
      </c>
      <c r="C328" s="30" t="str">
        <f t="shared" si="92"/>
        <v>LA England - Islington</v>
      </c>
      <c r="D328" s="51">
        <f t="shared" si="83"/>
        <v>86159</v>
      </c>
      <c r="E328" s="51">
        <f t="shared" si="84"/>
        <v>97926</v>
      </c>
      <c r="F328" s="52">
        <f t="shared" si="85"/>
        <v>220373</v>
      </c>
      <c r="G328" s="52">
        <f t="shared" si="86"/>
        <v>104519</v>
      </c>
      <c r="H328" s="53">
        <f t="shared" si="87"/>
        <v>115854</v>
      </c>
      <c r="I328" s="53">
        <f t="shared" si="88"/>
        <v>86159</v>
      </c>
      <c r="J328" s="53">
        <f t="shared" si="89"/>
        <v>97926</v>
      </c>
      <c r="K328" s="50">
        <f t="shared" si="90"/>
        <v>18360</v>
      </c>
      <c r="L328" s="51">
        <f t="shared" si="91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>
      <c r="A329" s="31" t="s">
        <v>220</v>
      </c>
      <c r="B329" s="1" t="s">
        <v>494</v>
      </c>
      <c r="C329" s="30" t="str">
        <f t="shared" si="92"/>
        <v>LA England - Kensington and Chelsea</v>
      </c>
      <c r="D329" s="51">
        <f t="shared" si="83"/>
        <v>56925</v>
      </c>
      <c r="E329" s="51">
        <f t="shared" si="84"/>
        <v>66635</v>
      </c>
      <c r="F329" s="52">
        <f t="shared" si="85"/>
        <v>146154</v>
      </c>
      <c r="G329" s="52">
        <f t="shared" si="86"/>
        <v>68296</v>
      </c>
      <c r="H329" s="53">
        <f t="shared" si="87"/>
        <v>77858</v>
      </c>
      <c r="I329" s="53">
        <f t="shared" si="88"/>
        <v>56925</v>
      </c>
      <c r="J329" s="53">
        <f t="shared" si="89"/>
        <v>66635</v>
      </c>
      <c r="K329" s="50">
        <f t="shared" si="90"/>
        <v>11371</v>
      </c>
      <c r="L329" s="51">
        <f t="shared" si="91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>
      <c r="A330" s="31" t="s">
        <v>220</v>
      </c>
      <c r="B330" s="1" t="s">
        <v>495</v>
      </c>
      <c r="C330" s="30" t="str">
        <f t="shared" si="92"/>
        <v>LA England - King's Lynn and West Norfolk</v>
      </c>
      <c r="D330" s="51">
        <f t="shared" ref="D330:D393" si="93">I330</f>
        <v>61469</v>
      </c>
      <c r="E330" s="51">
        <f t="shared" ref="E330:E393" si="94">J330</f>
        <v>65483</v>
      </c>
      <c r="F330" s="52">
        <f t="shared" ref="F330:F393" si="95">G330+H330</f>
        <v>155741</v>
      </c>
      <c r="G330" s="52">
        <f t="shared" ref="G330:G393" si="96">SUM(M330:CY330)</f>
        <v>76209</v>
      </c>
      <c r="H330" s="53">
        <f t="shared" ref="H330:H393" si="97">SUM(CZ330:GL330)</f>
        <v>79532</v>
      </c>
      <c r="I330" s="53">
        <f t="shared" ref="I330:I393" si="98">SUM(AE330:CY330)</f>
        <v>61469</v>
      </c>
      <c r="J330" s="53">
        <f t="shared" ref="J330:J393" si="99">SUM(DR330:GL330)</f>
        <v>65483</v>
      </c>
      <c r="K330" s="50">
        <f t="shared" ref="K330:K390" si="100">SUM(M330:AD330)</f>
        <v>14740</v>
      </c>
      <c r="L330" s="51">
        <f t="shared" ref="L330:L393" si="101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>
      <c r="A331" s="31" t="s">
        <v>220</v>
      </c>
      <c r="B331" s="1" t="s">
        <v>496</v>
      </c>
      <c r="C331" s="30" t="str">
        <f t="shared" si="92"/>
        <v>LA England - Kingston upon Hull, City of</v>
      </c>
      <c r="D331" s="51">
        <f t="shared" si="93"/>
        <v>103768</v>
      </c>
      <c r="E331" s="51">
        <f t="shared" si="94"/>
        <v>104915</v>
      </c>
      <c r="F331" s="52">
        <f t="shared" si="95"/>
        <v>268852</v>
      </c>
      <c r="G331" s="52">
        <f t="shared" si="96"/>
        <v>134568</v>
      </c>
      <c r="H331" s="53">
        <f t="shared" si="97"/>
        <v>134284</v>
      </c>
      <c r="I331" s="53">
        <f t="shared" si="98"/>
        <v>103768</v>
      </c>
      <c r="J331" s="53">
        <f t="shared" si="99"/>
        <v>104915</v>
      </c>
      <c r="K331" s="50">
        <f t="shared" si="100"/>
        <v>30800</v>
      </c>
      <c r="L331" s="51">
        <f t="shared" si="101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>
      <c r="A332" s="31" t="s">
        <v>220</v>
      </c>
      <c r="B332" s="1" t="s">
        <v>497</v>
      </c>
      <c r="C332" s="30" t="str">
        <f t="shared" ref="C332:C395" si="102">CONCATENATE(A332," - ",B332)</f>
        <v>LA England - Kingston upon Thames</v>
      </c>
      <c r="D332" s="51">
        <f t="shared" si="93"/>
        <v>62505</v>
      </c>
      <c r="E332" s="51">
        <f t="shared" si="94"/>
        <v>69337</v>
      </c>
      <c r="F332" s="52">
        <f t="shared" si="95"/>
        <v>168302</v>
      </c>
      <c r="G332" s="52">
        <f t="shared" si="96"/>
        <v>80907</v>
      </c>
      <c r="H332" s="53">
        <f t="shared" si="97"/>
        <v>87395</v>
      </c>
      <c r="I332" s="53">
        <f t="shared" si="98"/>
        <v>62505</v>
      </c>
      <c r="J332" s="53">
        <f t="shared" si="99"/>
        <v>69337</v>
      </c>
      <c r="K332" s="50">
        <f t="shared" si="100"/>
        <v>18402</v>
      </c>
      <c r="L332" s="51">
        <f t="shared" si="101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>
      <c r="A333" s="31" t="s">
        <v>220</v>
      </c>
      <c r="B333" s="1" t="s">
        <v>498</v>
      </c>
      <c r="C333" s="30" t="str">
        <f t="shared" si="102"/>
        <v>LA England - Kirklees</v>
      </c>
      <c r="D333" s="51">
        <f t="shared" si="93"/>
        <v>164518</v>
      </c>
      <c r="E333" s="51">
        <f t="shared" si="94"/>
        <v>174599</v>
      </c>
      <c r="F333" s="52">
        <f t="shared" si="95"/>
        <v>437593</v>
      </c>
      <c r="G333" s="52">
        <f t="shared" si="96"/>
        <v>215001</v>
      </c>
      <c r="H333" s="53">
        <f t="shared" si="97"/>
        <v>222592</v>
      </c>
      <c r="I333" s="53">
        <f t="shared" si="98"/>
        <v>164518</v>
      </c>
      <c r="J333" s="53">
        <f t="shared" si="99"/>
        <v>174599</v>
      </c>
      <c r="K333" s="50">
        <f t="shared" si="100"/>
        <v>50483</v>
      </c>
      <c r="L333" s="51">
        <f t="shared" si="101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>
      <c r="A334" s="31" t="s">
        <v>220</v>
      </c>
      <c r="B334" s="1" t="s">
        <v>499</v>
      </c>
      <c r="C334" s="30" t="str">
        <f t="shared" si="102"/>
        <v>LA England - Knowsley</v>
      </c>
      <c r="D334" s="51">
        <f t="shared" si="93"/>
        <v>57340</v>
      </c>
      <c r="E334" s="51">
        <f t="shared" si="94"/>
        <v>64955</v>
      </c>
      <c r="F334" s="52">
        <f t="shared" si="95"/>
        <v>157103</v>
      </c>
      <c r="G334" s="52">
        <f t="shared" si="96"/>
        <v>75222</v>
      </c>
      <c r="H334" s="53">
        <f t="shared" si="97"/>
        <v>81881</v>
      </c>
      <c r="I334" s="53">
        <f t="shared" si="98"/>
        <v>57340</v>
      </c>
      <c r="J334" s="53">
        <f t="shared" si="99"/>
        <v>64955</v>
      </c>
      <c r="K334" s="50">
        <f t="shared" si="100"/>
        <v>17882</v>
      </c>
      <c r="L334" s="51">
        <f t="shared" si="101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>
      <c r="A335" s="31" t="s">
        <v>220</v>
      </c>
      <c r="B335" s="1" t="s">
        <v>500</v>
      </c>
      <c r="C335" s="30" t="str">
        <f t="shared" si="102"/>
        <v>LA England - Lambeth</v>
      </c>
      <c r="D335" s="51">
        <f t="shared" si="93"/>
        <v>126443</v>
      </c>
      <c r="E335" s="51">
        <f t="shared" si="94"/>
        <v>137097</v>
      </c>
      <c r="F335" s="52">
        <f t="shared" si="95"/>
        <v>316812</v>
      </c>
      <c r="G335" s="52">
        <f t="shared" si="96"/>
        <v>153533</v>
      </c>
      <c r="H335" s="53">
        <f t="shared" si="97"/>
        <v>163279</v>
      </c>
      <c r="I335" s="53">
        <f t="shared" si="98"/>
        <v>126443</v>
      </c>
      <c r="J335" s="53">
        <f t="shared" si="99"/>
        <v>137097</v>
      </c>
      <c r="K335" s="50">
        <f t="shared" si="100"/>
        <v>27090</v>
      </c>
      <c r="L335" s="51">
        <f t="shared" si="101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>
      <c r="A336" s="31" t="s">
        <v>220</v>
      </c>
      <c r="B336" s="1" t="s">
        <v>501</v>
      </c>
      <c r="C336" s="30" t="str">
        <f t="shared" si="102"/>
        <v>LA England - Lancaster</v>
      </c>
      <c r="D336" s="51">
        <f t="shared" si="93"/>
        <v>57302</v>
      </c>
      <c r="E336" s="51">
        <f t="shared" si="94"/>
        <v>60946</v>
      </c>
      <c r="F336" s="52">
        <f t="shared" si="95"/>
        <v>144446</v>
      </c>
      <c r="G336" s="52">
        <f t="shared" si="96"/>
        <v>70625</v>
      </c>
      <c r="H336" s="53">
        <f t="shared" si="97"/>
        <v>73821</v>
      </c>
      <c r="I336" s="53">
        <f t="shared" si="98"/>
        <v>57302</v>
      </c>
      <c r="J336" s="53">
        <f t="shared" si="99"/>
        <v>60946</v>
      </c>
      <c r="K336" s="50">
        <f t="shared" si="100"/>
        <v>13323</v>
      </c>
      <c r="L336" s="51">
        <f t="shared" si="101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>
      <c r="A337" s="31" t="s">
        <v>220</v>
      </c>
      <c r="B337" s="1" t="s">
        <v>502</v>
      </c>
      <c r="C337" s="30" t="str">
        <f t="shared" si="102"/>
        <v>LA England - Leeds</v>
      </c>
      <c r="D337" s="51">
        <f t="shared" si="93"/>
        <v>313860</v>
      </c>
      <c r="E337" s="51">
        <f t="shared" si="94"/>
        <v>335972</v>
      </c>
      <c r="F337" s="52">
        <f t="shared" si="95"/>
        <v>822483</v>
      </c>
      <c r="G337" s="52">
        <f t="shared" si="96"/>
        <v>402324</v>
      </c>
      <c r="H337" s="53">
        <f t="shared" si="97"/>
        <v>420159</v>
      </c>
      <c r="I337" s="53">
        <f t="shared" si="98"/>
        <v>313860</v>
      </c>
      <c r="J337" s="53">
        <f t="shared" si="99"/>
        <v>335972</v>
      </c>
      <c r="K337" s="50">
        <f t="shared" si="100"/>
        <v>88464</v>
      </c>
      <c r="L337" s="51">
        <f t="shared" si="101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>
      <c r="A338" s="31" t="s">
        <v>220</v>
      </c>
      <c r="B338" s="1" t="s">
        <v>503</v>
      </c>
      <c r="C338" s="30" t="str">
        <f t="shared" si="102"/>
        <v>LA England - Leicester</v>
      </c>
      <c r="D338" s="51">
        <f t="shared" si="93"/>
        <v>140844</v>
      </c>
      <c r="E338" s="51">
        <f t="shared" si="94"/>
        <v>144720</v>
      </c>
      <c r="F338" s="52">
        <f t="shared" si="95"/>
        <v>373399</v>
      </c>
      <c r="G338" s="52">
        <f t="shared" si="96"/>
        <v>186254</v>
      </c>
      <c r="H338" s="53">
        <f t="shared" si="97"/>
        <v>187145</v>
      </c>
      <c r="I338" s="53">
        <f t="shared" si="98"/>
        <v>140844</v>
      </c>
      <c r="J338" s="53">
        <f t="shared" si="99"/>
        <v>144720</v>
      </c>
      <c r="K338" s="50">
        <f t="shared" si="100"/>
        <v>45410</v>
      </c>
      <c r="L338" s="51">
        <f t="shared" si="101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>
      <c r="A339" s="31" t="s">
        <v>220</v>
      </c>
      <c r="B339" s="1" t="s">
        <v>504</v>
      </c>
      <c r="C339" s="30" t="str">
        <f t="shared" si="102"/>
        <v>LA England - Lewes</v>
      </c>
      <c r="D339" s="51">
        <f t="shared" si="93"/>
        <v>38633</v>
      </c>
      <c r="E339" s="51">
        <f t="shared" si="94"/>
        <v>43152</v>
      </c>
      <c r="F339" s="52">
        <f t="shared" si="95"/>
        <v>100677</v>
      </c>
      <c r="G339" s="52">
        <f t="shared" si="96"/>
        <v>48428</v>
      </c>
      <c r="H339" s="53">
        <f t="shared" si="97"/>
        <v>52249</v>
      </c>
      <c r="I339" s="53">
        <f t="shared" si="98"/>
        <v>38633</v>
      </c>
      <c r="J339" s="53">
        <f t="shared" si="99"/>
        <v>43152</v>
      </c>
      <c r="K339" s="50">
        <f t="shared" si="100"/>
        <v>9795</v>
      </c>
      <c r="L339" s="51">
        <f t="shared" si="101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>
      <c r="A340" s="31" t="s">
        <v>220</v>
      </c>
      <c r="B340" s="1" t="s">
        <v>505</v>
      </c>
      <c r="C340" s="30" t="str">
        <f t="shared" si="102"/>
        <v>LA England - Lewisham</v>
      </c>
      <c r="D340" s="51">
        <f t="shared" si="93"/>
        <v>109313</v>
      </c>
      <c r="E340" s="51">
        <f t="shared" si="94"/>
        <v>125822</v>
      </c>
      <c r="F340" s="52">
        <f t="shared" si="95"/>
        <v>298653</v>
      </c>
      <c r="G340" s="52">
        <f t="shared" si="96"/>
        <v>141527</v>
      </c>
      <c r="H340" s="53">
        <f t="shared" si="97"/>
        <v>157126</v>
      </c>
      <c r="I340" s="53">
        <f t="shared" si="98"/>
        <v>109313</v>
      </c>
      <c r="J340" s="53">
        <f t="shared" si="99"/>
        <v>125822</v>
      </c>
      <c r="K340" s="50">
        <f t="shared" si="100"/>
        <v>32214</v>
      </c>
      <c r="L340" s="51">
        <f t="shared" si="101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>
      <c r="A341" s="31" t="s">
        <v>220</v>
      </c>
      <c r="B341" s="1" t="s">
        <v>506</v>
      </c>
      <c r="C341" s="30" t="str">
        <f t="shared" si="102"/>
        <v>LA England - Lichfield</v>
      </c>
      <c r="D341" s="51">
        <f t="shared" si="93"/>
        <v>43015</v>
      </c>
      <c r="E341" s="51">
        <f t="shared" si="94"/>
        <v>44818</v>
      </c>
      <c r="F341" s="52">
        <f t="shared" si="95"/>
        <v>108352</v>
      </c>
      <c r="G341" s="52">
        <f t="shared" si="96"/>
        <v>53454</v>
      </c>
      <c r="H341" s="53">
        <f t="shared" si="97"/>
        <v>54898</v>
      </c>
      <c r="I341" s="53">
        <f t="shared" si="98"/>
        <v>43015</v>
      </c>
      <c r="J341" s="53">
        <f t="shared" si="99"/>
        <v>44818</v>
      </c>
      <c r="K341" s="50">
        <f t="shared" si="100"/>
        <v>10439</v>
      </c>
      <c r="L341" s="51">
        <f t="shared" si="101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>
      <c r="A342" s="31" t="s">
        <v>220</v>
      </c>
      <c r="B342" s="1" t="s">
        <v>507</v>
      </c>
      <c r="C342" s="30" t="str">
        <f t="shared" si="102"/>
        <v>LA England - Lincoln</v>
      </c>
      <c r="D342" s="51">
        <f t="shared" si="93"/>
        <v>41121</v>
      </c>
      <c r="E342" s="51">
        <f t="shared" si="94"/>
        <v>42558</v>
      </c>
      <c r="F342" s="52">
        <f t="shared" si="95"/>
        <v>102545</v>
      </c>
      <c r="G342" s="52">
        <f t="shared" si="96"/>
        <v>50965</v>
      </c>
      <c r="H342" s="53">
        <f t="shared" si="97"/>
        <v>51580</v>
      </c>
      <c r="I342" s="53">
        <f t="shared" si="98"/>
        <v>41121</v>
      </c>
      <c r="J342" s="53">
        <f t="shared" si="99"/>
        <v>42558</v>
      </c>
      <c r="K342" s="50">
        <f t="shared" si="100"/>
        <v>9844</v>
      </c>
      <c r="L342" s="51">
        <f t="shared" si="101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>
      <c r="A343" s="31" t="s">
        <v>220</v>
      </c>
      <c r="B343" s="1" t="s">
        <v>508</v>
      </c>
      <c r="C343" s="30" t="str">
        <f t="shared" si="102"/>
        <v>LA England - Liverpool</v>
      </c>
      <c r="D343" s="51">
        <f t="shared" si="93"/>
        <v>194715</v>
      </c>
      <c r="E343" s="51">
        <f t="shared" si="94"/>
        <v>207573</v>
      </c>
      <c r="F343" s="52">
        <f t="shared" si="95"/>
        <v>496770</v>
      </c>
      <c r="G343" s="52">
        <f t="shared" si="96"/>
        <v>243137</v>
      </c>
      <c r="H343" s="53">
        <f t="shared" si="97"/>
        <v>253633</v>
      </c>
      <c r="I343" s="53">
        <f t="shared" si="98"/>
        <v>194715</v>
      </c>
      <c r="J343" s="53">
        <f t="shared" si="99"/>
        <v>207573</v>
      </c>
      <c r="K343" s="50">
        <f t="shared" si="100"/>
        <v>48422</v>
      </c>
      <c r="L343" s="51">
        <f t="shared" si="101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>
      <c r="A344" s="31" t="s">
        <v>220</v>
      </c>
      <c r="B344" s="1" t="s">
        <v>509</v>
      </c>
      <c r="C344" s="30" t="str">
        <f t="shared" si="102"/>
        <v>LA England - Luton</v>
      </c>
      <c r="D344" s="51">
        <f t="shared" si="93"/>
        <v>84338</v>
      </c>
      <c r="E344" s="51">
        <f t="shared" si="94"/>
        <v>83279</v>
      </c>
      <c r="F344" s="52">
        <f t="shared" si="95"/>
        <v>226973</v>
      </c>
      <c r="G344" s="52">
        <f t="shared" si="96"/>
        <v>114850</v>
      </c>
      <c r="H344" s="53">
        <f t="shared" si="97"/>
        <v>112123</v>
      </c>
      <c r="I344" s="53">
        <f t="shared" si="98"/>
        <v>84338</v>
      </c>
      <c r="J344" s="53">
        <f t="shared" si="99"/>
        <v>83279</v>
      </c>
      <c r="K344" s="50">
        <f t="shared" si="100"/>
        <v>30512</v>
      </c>
      <c r="L344" s="51">
        <f t="shared" si="101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>
      <c r="A345" s="31" t="s">
        <v>220</v>
      </c>
      <c r="B345" s="1" t="s">
        <v>510</v>
      </c>
      <c r="C345" s="30" t="str">
        <f t="shared" si="102"/>
        <v>LA England - Maidstone</v>
      </c>
      <c r="D345" s="51">
        <f t="shared" si="93"/>
        <v>68737</v>
      </c>
      <c r="E345" s="51">
        <f t="shared" si="94"/>
        <v>72436</v>
      </c>
      <c r="F345" s="52">
        <f t="shared" si="95"/>
        <v>180428</v>
      </c>
      <c r="G345" s="52">
        <f t="shared" si="96"/>
        <v>88991</v>
      </c>
      <c r="H345" s="53">
        <f t="shared" si="97"/>
        <v>91437</v>
      </c>
      <c r="I345" s="53">
        <f t="shared" si="98"/>
        <v>68737</v>
      </c>
      <c r="J345" s="53">
        <f t="shared" si="99"/>
        <v>72436</v>
      </c>
      <c r="K345" s="50">
        <f t="shared" si="100"/>
        <v>20254</v>
      </c>
      <c r="L345" s="51">
        <f t="shared" si="101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>
      <c r="A346" s="31" t="s">
        <v>220</v>
      </c>
      <c r="B346" s="1" t="s">
        <v>511</v>
      </c>
      <c r="C346" s="30" t="str">
        <f t="shared" si="102"/>
        <v>LA England - Maldon</v>
      </c>
      <c r="D346" s="51">
        <f t="shared" si="93"/>
        <v>26618</v>
      </c>
      <c r="E346" s="51">
        <f t="shared" si="94"/>
        <v>28395</v>
      </c>
      <c r="F346" s="52">
        <f t="shared" si="95"/>
        <v>67554</v>
      </c>
      <c r="G346" s="52">
        <f t="shared" si="96"/>
        <v>33035</v>
      </c>
      <c r="H346" s="53">
        <f t="shared" si="97"/>
        <v>34519</v>
      </c>
      <c r="I346" s="53">
        <f t="shared" si="98"/>
        <v>26618</v>
      </c>
      <c r="J346" s="53">
        <f t="shared" si="99"/>
        <v>28395</v>
      </c>
      <c r="K346" s="50">
        <f t="shared" si="100"/>
        <v>6417</v>
      </c>
      <c r="L346" s="51">
        <f t="shared" si="101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>
      <c r="A347" s="31" t="s">
        <v>220</v>
      </c>
      <c r="B347" s="1" t="s">
        <v>512</v>
      </c>
      <c r="C347" s="30" t="str">
        <f t="shared" si="102"/>
        <v>LA England - Malvern Hills</v>
      </c>
      <c r="D347" s="51">
        <f t="shared" si="93"/>
        <v>32005</v>
      </c>
      <c r="E347" s="51">
        <f t="shared" si="94"/>
        <v>34534</v>
      </c>
      <c r="F347" s="52">
        <f t="shared" si="95"/>
        <v>81024</v>
      </c>
      <c r="G347" s="52">
        <f t="shared" si="96"/>
        <v>39376</v>
      </c>
      <c r="H347" s="53">
        <f t="shared" si="97"/>
        <v>41648</v>
      </c>
      <c r="I347" s="53">
        <f t="shared" si="98"/>
        <v>32005</v>
      </c>
      <c r="J347" s="53">
        <f t="shared" si="99"/>
        <v>34534</v>
      </c>
      <c r="K347" s="50">
        <f t="shared" si="100"/>
        <v>7371</v>
      </c>
      <c r="L347" s="51">
        <f t="shared" si="101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>
      <c r="A348" s="31" t="s">
        <v>220</v>
      </c>
      <c r="B348" s="1" t="s">
        <v>513</v>
      </c>
      <c r="C348" s="30" t="str">
        <f t="shared" si="102"/>
        <v>LA England - Manchester</v>
      </c>
      <c r="D348" s="51">
        <f t="shared" si="93"/>
        <v>217609</v>
      </c>
      <c r="E348" s="51">
        <f t="shared" si="94"/>
        <v>223000</v>
      </c>
      <c r="F348" s="52">
        <f t="shared" si="95"/>
        <v>568996</v>
      </c>
      <c r="G348" s="52">
        <f t="shared" si="96"/>
        <v>282913</v>
      </c>
      <c r="H348" s="53">
        <f t="shared" si="97"/>
        <v>286083</v>
      </c>
      <c r="I348" s="53">
        <f t="shared" si="98"/>
        <v>217609</v>
      </c>
      <c r="J348" s="53">
        <f t="shared" si="99"/>
        <v>223000</v>
      </c>
      <c r="K348" s="50">
        <f t="shared" si="100"/>
        <v>65304</v>
      </c>
      <c r="L348" s="51">
        <f t="shared" si="101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>
      <c r="A349" s="31" t="s">
        <v>220</v>
      </c>
      <c r="B349" s="1" t="s">
        <v>514</v>
      </c>
      <c r="C349" s="30" t="str">
        <f t="shared" si="102"/>
        <v>LA England - Mansfield</v>
      </c>
      <c r="D349" s="51">
        <f t="shared" si="93"/>
        <v>42964</v>
      </c>
      <c r="E349" s="51">
        <f t="shared" si="94"/>
        <v>45199</v>
      </c>
      <c r="F349" s="52">
        <f t="shared" si="95"/>
        <v>111117</v>
      </c>
      <c r="G349" s="52">
        <f t="shared" si="96"/>
        <v>54636</v>
      </c>
      <c r="H349" s="53">
        <f t="shared" si="97"/>
        <v>56481</v>
      </c>
      <c r="I349" s="53">
        <f t="shared" si="98"/>
        <v>42964</v>
      </c>
      <c r="J349" s="53">
        <f t="shared" si="99"/>
        <v>45199</v>
      </c>
      <c r="K349" s="50">
        <f t="shared" si="100"/>
        <v>11672</v>
      </c>
      <c r="L349" s="51">
        <f t="shared" si="101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>
      <c r="A350" s="31" t="s">
        <v>220</v>
      </c>
      <c r="B350" s="1" t="s">
        <v>515</v>
      </c>
      <c r="C350" s="30" t="str">
        <f t="shared" si="102"/>
        <v>LA England - Medway</v>
      </c>
      <c r="D350" s="51">
        <f t="shared" si="93"/>
        <v>105144</v>
      </c>
      <c r="E350" s="51">
        <f t="shared" si="94"/>
        <v>112269</v>
      </c>
      <c r="F350" s="52">
        <f t="shared" si="95"/>
        <v>282702</v>
      </c>
      <c r="G350" s="52">
        <f t="shared" si="96"/>
        <v>138474</v>
      </c>
      <c r="H350" s="53">
        <f t="shared" si="97"/>
        <v>144228</v>
      </c>
      <c r="I350" s="53">
        <f t="shared" si="98"/>
        <v>105144</v>
      </c>
      <c r="J350" s="53">
        <f t="shared" si="99"/>
        <v>112269</v>
      </c>
      <c r="K350" s="50">
        <f t="shared" si="100"/>
        <v>33330</v>
      </c>
      <c r="L350" s="51">
        <f t="shared" si="101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>
      <c r="A351" s="31" t="s">
        <v>220</v>
      </c>
      <c r="B351" s="1" t="s">
        <v>516</v>
      </c>
      <c r="C351" s="30" t="str">
        <f t="shared" si="102"/>
        <v>LA England - Melton</v>
      </c>
      <c r="D351" s="51">
        <f t="shared" si="93"/>
        <v>20471</v>
      </c>
      <c r="E351" s="51">
        <f t="shared" si="94"/>
        <v>21944</v>
      </c>
      <c r="F351" s="52">
        <f t="shared" si="95"/>
        <v>52433</v>
      </c>
      <c r="G351" s="52">
        <f t="shared" si="96"/>
        <v>25534</v>
      </c>
      <c r="H351" s="53">
        <f t="shared" si="97"/>
        <v>26899</v>
      </c>
      <c r="I351" s="53">
        <f t="shared" si="98"/>
        <v>20471</v>
      </c>
      <c r="J351" s="53">
        <f t="shared" si="99"/>
        <v>21944</v>
      </c>
      <c r="K351" s="50">
        <f t="shared" si="100"/>
        <v>5063</v>
      </c>
      <c r="L351" s="51">
        <f t="shared" si="101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>
      <c r="A352" s="31" t="s">
        <v>220</v>
      </c>
      <c r="B352" s="1" t="s">
        <v>517</v>
      </c>
      <c r="C352" s="30" t="str">
        <f t="shared" si="102"/>
        <v>LA England - Merton</v>
      </c>
      <c r="D352" s="51">
        <f t="shared" si="93"/>
        <v>80172</v>
      </c>
      <c r="E352" s="51">
        <f t="shared" si="94"/>
        <v>87337</v>
      </c>
      <c r="F352" s="52">
        <f t="shared" si="95"/>
        <v>214709</v>
      </c>
      <c r="G352" s="52">
        <f t="shared" si="96"/>
        <v>104479</v>
      </c>
      <c r="H352" s="53">
        <f t="shared" si="97"/>
        <v>110230</v>
      </c>
      <c r="I352" s="53">
        <f t="shared" si="98"/>
        <v>80172</v>
      </c>
      <c r="J352" s="53">
        <f t="shared" si="99"/>
        <v>87337</v>
      </c>
      <c r="K352" s="50">
        <f t="shared" si="100"/>
        <v>24307</v>
      </c>
      <c r="L352" s="51">
        <f t="shared" si="101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>
      <c r="A353" s="31" t="s">
        <v>220</v>
      </c>
      <c r="B353" s="1" t="s">
        <v>518</v>
      </c>
      <c r="C353" s="30" t="str">
        <f t="shared" si="102"/>
        <v>LA England - Mid Devon</v>
      </c>
      <c r="D353" s="51">
        <f t="shared" si="93"/>
        <v>32315</v>
      </c>
      <c r="E353" s="51">
        <f t="shared" si="94"/>
        <v>34809</v>
      </c>
      <c r="F353" s="52">
        <f t="shared" si="95"/>
        <v>83786</v>
      </c>
      <c r="G353" s="52">
        <f t="shared" si="96"/>
        <v>40955</v>
      </c>
      <c r="H353" s="53">
        <f t="shared" si="97"/>
        <v>42831</v>
      </c>
      <c r="I353" s="53">
        <f t="shared" si="98"/>
        <v>32315</v>
      </c>
      <c r="J353" s="53">
        <f t="shared" si="99"/>
        <v>34809</v>
      </c>
      <c r="K353" s="50">
        <f t="shared" si="100"/>
        <v>8640</v>
      </c>
      <c r="L353" s="51">
        <f t="shared" si="101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>
      <c r="A354" s="31" t="s">
        <v>220</v>
      </c>
      <c r="B354" s="1" t="s">
        <v>519</v>
      </c>
      <c r="C354" s="30" t="str">
        <f t="shared" si="102"/>
        <v>LA England - Mid Suffolk</v>
      </c>
      <c r="D354" s="51">
        <f t="shared" si="93"/>
        <v>42291</v>
      </c>
      <c r="E354" s="51">
        <f t="shared" si="94"/>
        <v>44223</v>
      </c>
      <c r="F354" s="52">
        <f t="shared" si="95"/>
        <v>105723</v>
      </c>
      <c r="G354" s="52">
        <f t="shared" si="96"/>
        <v>52191</v>
      </c>
      <c r="H354" s="53">
        <f t="shared" si="97"/>
        <v>53532</v>
      </c>
      <c r="I354" s="53">
        <f t="shared" si="98"/>
        <v>42291</v>
      </c>
      <c r="J354" s="53">
        <f t="shared" si="99"/>
        <v>44223</v>
      </c>
      <c r="K354" s="50">
        <f t="shared" si="100"/>
        <v>9900</v>
      </c>
      <c r="L354" s="51">
        <f t="shared" si="101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>
      <c r="A355" s="31" t="s">
        <v>220</v>
      </c>
      <c r="B355" s="1" t="s">
        <v>520</v>
      </c>
      <c r="C355" s="30" t="str">
        <f t="shared" si="102"/>
        <v>LA England - Mid Sussex</v>
      </c>
      <c r="D355" s="51">
        <f t="shared" si="93"/>
        <v>58149</v>
      </c>
      <c r="E355" s="51">
        <f t="shared" si="94"/>
        <v>63165</v>
      </c>
      <c r="F355" s="52">
        <f t="shared" si="95"/>
        <v>154930</v>
      </c>
      <c r="G355" s="52">
        <f t="shared" si="96"/>
        <v>75265</v>
      </c>
      <c r="H355" s="53">
        <f t="shared" si="97"/>
        <v>79665</v>
      </c>
      <c r="I355" s="53">
        <f t="shared" si="98"/>
        <v>58149</v>
      </c>
      <c r="J355" s="53">
        <f t="shared" si="99"/>
        <v>63165</v>
      </c>
      <c r="K355" s="50">
        <f t="shared" si="100"/>
        <v>17116</v>
      </c>
      <c r="L355" s="51">
        <f t="shared" si="101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>
      <c r="A356" s="31" t="s">
        <v>220</v>
      </c>
      <c r="B356" s="1" t="s">
        <v>521</v>
      </c>
      <c r="C356" s="30" t="str">
        <f t="shared" si="102"/>
        <v>LA England - Middlesbrough</v>
      </c>
      <c r="D356" s="51">
        <f t="shared" si="93"/>
        <v>56441</v>
      </c>
      <c r="E356" s="51">
        <f t="shared" si="94"/>
        <v>57704</v>
      </c>
      <c r="F356" s="52">
        <f t="shared" si="95"/>
        <v>148285</v>
      </c>
      <c r="G356" s="52">
        <f t="shared" si="96"/>
        <v>73893</v>
      </c>
      <c r="H356" s="53">
        <f t="shared" si="97"/>
        <v>74392</v>
      </c>
      <c r="I356" s="53">
        <f t="shared" si="98"/>
        <v>56441</v>
      </c>
      <c r="J356" s="53">
        <f t="shared" si="99"/>
        <v>57704</v>
      </c>
      <c r="K356" s="50">
        <f t="shared" si="100"/>
        <v>17452</v>
      </c>
      <c r="L356" s="51">
        <f t="shared" si="101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>
      <c r="A357" s="31" t="s">
        <v>220</v>
      </c>
      <c r="B357" s="1" t="s">
        <v>522</v>
      </c>
      <c r="C357" s="30" t="str">
        <f t="shared" si="102"/>
        <v>LA England - Milton Keynes</v>
      </c>
      <c r="D357" s="51">
        <f t="shared" si="93"/>
        <v>107834</v>
      </c>
      <c r="E357" s="51">
        <f t="shared" si="94"/>
        <v>113512</v>
      </c>
      <c r="F357" s="52">
        <f t="shared" si="95"/>
        <v>292180</v>
      </c>
      <c r="G357" s="52">
        <f t="shared" si="96"/>
        <v>144248</v>
      </c>
      <c r="H357" s="53">
        <f t="shared" si="97"/>
        <v>147932</v>
      </c>
      <c r="I357" s="53">
        <f t="shared" si="98"/>
        <v>107834</v>
      </c>
      <c r="J357" s="53">
        <f t="shared" si="99"/>
        <v>113512</v>
      </c>
      <c r="K357" s="50">
        <f t="shared" si="100"/>
        <v>36414</v>
      </c>
      <c r="L357" s="51">
        <f t="shared" si="101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>
      <c r="A358" s="31" t="s">
        <v>220</v>
      </c>
      <c r="B358" s="1" t="s">
        <v>523</v>
      </c>
      <c r="C358" s="30" t="str">
        <f t="shared" si="102"/>
        <v>LA England - Mole Valley</v>
      </c>
      <c r="D358" s="51">
        <f t="shared" si="93"/>
        <v>33978</v>
      </c>
      <c r="E358" s="51">
        <f t="shared" si="94"/>
        <v>36578</v>
      </c>
      <c r="F358" s="52">
        <f t="shared" si="95"/>
        <v>87769</v>
      </c>
      <c r="G358" s="52">
        <f t="shared" si="96"/>
        <v>42730</v>
      </c>
      <c r="H358" s="53">
        <f t="shared" si="97"/>
        <v>45039</v>
      </c>
      <c r="I358" s="53">
        <f t="shared" si="98"/>
        <v>33978</v>
      </c>
      <c r="J358" s="53">
        <f t="shared" si="99"/>
        <v>36578</v>
      </c>
      <c r="K358" s="50">
        <f t="shared" si="100"/>
        <v>8752</v>
      </c>
      <c r="L358" s="51">
        <f t="shared" si="101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>
      <c r="A359" s="31" t="s">
        <v>220</v>
      </c>
      <c r="B359" s="1" t="s">
        <v>524</v>
      </c>
      <c r="C359" s="30" t="str">
        <f t="shared" si="102"/>
        <v>LA England - New Forest</v>
      </c>
      <c r="D359" s="51">
        <f t="shared" si="93"/>
        <v>68961</v>
      </c>
      <c r="E359" s="51">
        <f t="shared" si="94"/>
        <v>76537</v>
      </c>
      <c r="F359" s="52">
        <f t="shared" si="95"/>
        <v>175942</v>
      </c>
      <c r="G359" s="52">
        <f t="shared" si="96"/>
        <v>84573</v>
      </c>
      <c r="H359" s="53">
        <f t="shared" si="97"/>
        <v>91369</v>
      </c>
      <c r="I359" s="53">
        <f t="shared" si="98"/>
        <v>68961</v>
      </c>
      <c r="J359" s="53">
        <f t="shared" si="99"/>
        <v>76537</v>
      </c>
      <c r="K359" s="50">
        <f t="shared" si="100"/>
        <v>15612</v>
      </c>
      <c r="L359" s="51">
        <f t="shared" si="101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>
      <c r="A360" s="31" t="s">
        <v>220</v>
      </c>
      <c r="B360" s="1" t="s">
        <v>525</v>
      </c>
      <c r="C360" s="30" t="str">
        <f t="shared" si="102"/>
        <v>LA England - Newark and Sherwood</v>
      </c>
      <c r="D360" s="51">
        <f t="shared" si="93"/>
        <v>49311</v>
      </c>
      <c r="E360" s="51">
        <f t="shared" si="94"/>
        <v>51541</v>
      </c>
      <c r="F360" s="52">
        <f t="shared" si="95"/>
        <v>125089</v>
      </c>
      <c r="G360" s="52">
        <f t="shared" si="96"/>
        <v>61623</v>
      </c>
      <c r="H360" s="53">
        <f t="shared" si="97"/>
        <v>63466</v>
      </c>
      <c r="I360" s="53">
        <f t="shared" si="98"/>
        <v>49311</v>
      </c>
      <c r="J360" s="53">
        <f t="shared" si="99"/>
        <v>51541</v>
      </c>
      <c r="K360" s="50">
        <f t="shared" si="100"/>
        <v>12312</v>
      </c>
      <c r="L360" s="51">
        <f t="shared" si="101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>
      <c r="A361" s="31" t="s">
        <v>220</v>
      </c>
      <c r="B361" s="1" t="s">
        <v>526</v>
      </c>
      <c r="C361" s="30" t="str">
        <f t="shared" si="102"/>
        <v>LA England - Newcastle upon Tyne</v>
      </c>
      <c r="D361" s="51">
        <f t="shared" si="93"/>
        <v>122298</v>
      </c>
      <c r="E361" s="51">
        <f t="shared" si="94"/>
        <v>126308</v>
      </c>
      <c r="F361" s="52">
        <f t="shared" si="95"/>
        <v>307565</v>
      </c>
      <c r="G361" s="52">
        <f t="shared" si="96"/>
        <v>152597</v>
      </c>
      <c r="H361" s="53">
        <f t="shared" si="97"/>
        <v>154968</v>
      </c>
      <c r="I361" s="53">
        <f t="shared" si="98"/>
        <v>122298</v>
      </c>
      <c r="J361" s="53">
        <f t="shared" si="99"/>
        <v>126308</v>
      </c>
      <c r="K361" s="50">
        <f t="shared" si="100"/>
        <v>30299</v>
      </c>
      <c r="L361" s="51">
        <f t="shared" si="101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>
      <c r="A362" s="31" t="s">
        <v>220</v>
      </c>
      <c r="B362" s="1" t="s">
        <v>527</v>
      </c>
      <c r="C362" s="30" t="str">
        <f t="shared" si="102"/>
        <v>LA England - Newcastle-under-Lyme</v>
      </c>
      <c r="D362" s="51">
        <f t="shared" si="93"/>
        <v>49470</v>
      </c>
      <c r="E362" s="51">
        <f t="shared" si="94"/>
        <v>52892</v>
      </c>
      <c r="F362" s="52">
        <f t="shared" si="95"/>
        <v>125297</v>
      </c>
      <c r="G362" s="52">
        <f t="shared" si="96"/>
        <v>61266</v>
      </c>
      <c r="H362" s="53">
        <f t="shared" si="97"/>
        <v>64031</v>
      </c>
      <c r="I362" s="53">
        <f t="shared" si="98"/>
        <v>49470</v>
      </c>
      <c r="J362" s="53">
        <f t="shared" si="99"/>
        <v>52892</v>
      </c>
      <c r="K362" s="50">
        <f t="shared" si="100"/>
        <v>11796</v>
      </c>
      <c r="L362" s="51">
        <f t="shared" si="101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>
      <c r="A363" s="31" t="s">
        <v>220</v>
      </c>
      <c r="B363" s="1" t="s">
        <v>528</v>
      </c>
      <c r="C363" s="30" t="str">
        <f t="shared" si="102"/>
        <v>LA England - Newham</v>
      </c>
      <c r="D363" s="51">
        <f t="shared" si="93"/>
        <v>137947</v>
      </c>
      <c r="E363" s="51">
        <f t="shared" si="94"/>
        <v>136704</v>
      </c>
      <c r="F363" s="52">
        <f t="shared" si="95"/>
        <v>358645</v>
      </c>
      <c r="G363" s="52">
        <f t="shared" si="96"/>
        <v>180140</v>
      </c>
      <c r="H363" s="53">
        <f t="shared" si="97"/>
        <v>178505</v>
      </c>
      <c r="I363" s="53">
        <f t="shared" si="98"/>
        <v>137947</v>
      </c>
      <c r="J363" s="53">
        <f t="shared" si="99"/>
        <v>136704</v>
      </c>
      <c r="K363" s="50">
        <f t="shared" si="100"/>
        <v>42193</v>
      </c>
      <c r="L363" s="51">
        <f t="shared" si="101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>
      <c r="A364" s="31" t="s">
        <v>220</v>
      </c>
      <c r="B364" s="1" t="s">
        <v>529</v>
      </c>
      <c r="C364" s="30" t="str">
        <f t="shared" si="102"/>
        <v>LA England - North Devon</v>
      </c>
      <c r="D364" s="51">
        <f t="shared" si="93"/>
        <v>39496</v>
      </c>
      <c r="E364" s="51">
        <f t="shared" si="94"/>
        <v>42200</v>
      </c>
      <c r="F364" s="52">
        <f t="shared" si="95"/>
        <v>100505</v>
      </c>
      <c r="G364" s="52">
        <f t="shared" si="96"/>
        <v>49055</v>
      </c>
      <c r="H364" s="53">
        <f t="shared" si="97"/>
        <v>51450</v>
      </c>
      <c r="I364" s="53">
        <f t="shared" si="98"/>
        <v>39496</v>
      </c>
      <c r="J364" s="53">
        <f t="shared" si="99"/>
        <v>42200</v>
      </c>
      <c r="K364" s="50">
        <f t="shared" si="100"/>
        <v>9559</v>
      </c>
      <c r="L364" s="51">
        <f t="shared" si="101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>
      <c r="A365" s="31" t="s">
        <v>220</v>
      </c>
      <c r="B365" s="1" t="s">
        <v>530</v>
      </c>
      <c r="C365" s="30" t="str">
        <f t="shared" si="102"/>
        <v>LA England - North East Derbyshire</v>
      </c>
      <c r="D365" s="51">
        <f t="shared" si="93"/>
        <v>40786</v>
      </c>
      <c r="E365" s="51">
        <f t="shared" si="94"/>
        <v>43768</v>
      </c>
      <c r="F365" s="52">
        <f t="shared" si="95"/>
        <v>103783</v>
      </c>
      <c r="G365" s="52">
        <f t="shared" si="96"/>
        <v>50502</v>
      </c>
      <c r="H365" s="53">
        <f t="shared" si="97"/>
        <v>53281</v>
      </c>
      <c r="I365" s="53">
        <f t="shared" si="98"/>
        <v>40786</v>
      </c>
      <c r="J365" s="53">
        <f t="shared" si="99"/>
        <v>43768</v>
      </c>
      <c r="K365" s="50">
        <f t="shared" si="100"/>
        <v>9716</v>
      </c>
      <c r="L365" s="51">
        <f t="shared" si="101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>
      <c r="A366" s="31" t="s">
        <v>220</v>
      </c>
      <c r="B366" s="1" t="s">
        <v>531</v>
      </c>
      <c r="C366" s="30" t="str">
        <f t="shared" si="102"/>
        <v>LA England - North East Lincolnshire</v>
      </c>
      <c r="D366" s="51">
        <f t="shared" si="93"/>
        <v>60371</v>
      </c>
      <c r="E366" s="51">
        <f t="shared" si="94"/>
        <v>64235</v>
      </c>
      <c r="F366" s="52">
        <f t="shared" si="95"/>
        <v>157754</v>
      </c>
      <c r="G366" s="52">
        <f t="shared" si="96"/>
        <v>77352</v>
      </c>
      <c r="H366" s="53">
        <f t="shared" si="97"/>
        <v>80402</v>
      </c>
      <c r="I366" s="53">
        <f t="shared" si="98"/>
        <v>60371</v>
      </c>
      <c r="J366" s="53">
        <f t="shared" si="99"/>
        <v>64235</v>
      </c>
      <c r="K366" s="50">
        <f t="shared" si="100"/>
        <v>16981</v>
      </c>
      <c r="L366" s="51">
        <f t="shared" si="101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>
      <c r="A367" s="31" t="s">
        <v>220</v>
      </c>
      <c r="B367" s="1" t="s">
        <v>532</v>
      </c>
      <c r="C367" s="30" t="str">
        <f t="shared" si="102"/>
        <v>LA England - North Hertfordshire</v>
      </c>
      <c r="D367" s="51">
        <f t="shared" si="93"/>
        <v>50497</v>
      </c>
      <c r="E367" s="51">
        <f t="shared" si="94"/>
        <v>55060</v>
      </c>
      <c r="F367" s="52">
        <f t="shared" si="95"/>
        <v>134159</v>
      </c>
      <c r="G367" s="52">
        <f t="shared" si="96"/>
        <v>65127</v>
      </c>
      <c r="H367" s="53">
        <f t="shared" si="97"/>
        <v>69032</v>
      </c>
      <c r="I367" s="53">
        <f t="shared" si="98"/>
        <v>50497</v>
      </c>
      <c r="J367" s="53">
        <f t="shared" si="99"/>
        <v>55060</v>
      </c>
      <c r="K367" s="50">
        <f t="shared" si="100"/>
        <v>14630</v>
      </c>
      <c r="L367" s="51">
        <f t="shared" si="101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>
      <c r="A368" s="31" t="s">
        <v>220</v>
      </c>
      <c r="B368" s="1" t="s">
        <v>533</v>
      </c>
      <c r="C368" s="30" t="str">
        <f t="shared" si="102"/>
        <v>LA England - North Kesteven</v>
      </c>
      <c r="D368" s="51">
        <f t="shared" si="93"/>
        <v>47221</v>
      </c>
      <c r="E368" s="51">
        <f t="shared" si="94"/>
        <v>49744</v>
      </c>
      <c r="F368" s="52">
        <f t="shared" si="95"/>
        <v>119709</v>
      </c>
      <c r="G368" s="52">
        <f t="shared" si="96"/>
        <v>58672</v>
      </c>
      <c r="H368" s="53">
        <f t="shared" si="97"/>
        <v>61037</v>
      </c>
      <c r="I368" s="53">
        <f t="shared" si="98"/>
        <v>47221</v>
      </c>
      <c r="J368" s="53">
        <f t="shared" si="99"/>
        <v>49744</v>
      </c>
      <c r="K368" s="50">
        <f t="shared" si="100"/>
        <v>11451</v>
      </c>
      <c r="L368" s="51">
        <f t="shared" si="101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>
      <c r="A369" s="31" t="s">
        <v>220</v>
      </c>
      <c r="B369" s="1" t="s">
        <v>534</v>
      </c>
      <c r="C369" s="30" t="str">
        <f t="shared" si="102"/>
        <v>LA England - North Lincolnshire</v>
      </c>
      <c r="D369" s="51">
        <f t="shared" si="93"/>
        <v>66371</v>
      </c>
      <c r="E369" s="51">
        <f t="shared" si="94"/>
        <v>69310</v>
      </c>
      <c r="F369" s="52">
        <f t="shared" si="95"/>
        <v>170042</v>
      </c>
      <c r="G369" s="52">
        <f t="shared" si="96"/>
        <v>83843</v>
      </c>
      <c r="H369" s="53">
        <f t="shared" si="97"/>
        <v>86199</v>
      </c>
      <c r="I369" s="53">
        <f t="shared" si="98"/>
        <v>66371</v>
      </c>
      <c r="J369" s="53">
        <f t="shared" si="99"/>
        <v>69310</v>
      </c>
      <c r="K369" s="50">
        <f t="shared" si="100"/>
        <v>17472</v>
      </c>
      <c r="L369" s="51">
        <f t="shared" si="101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>
      <c r="A370" s="31" t="s">
        <v>220</v>
      </c>
      <c r="B370" s="1" t="s">
        <v>535</v>
      </c>
      <c r="C370" s="30" t="str">
        <f t="shared" si="102"/>
        <v>LA England - North Norfolk</v>
      </c>
      <c r="D370" s="51">
        <f t="shared" si="93"/>
        <v>42202</v>
      </c>
      <c r="E370" s="51">
        <f t="shared" si="94"/>
        <v>45374</v>
      </c>
      <c r="F370" s="52">
        <f t="shared" si="95"/>
        <v>103227</v>
      </c>
      <c r="G370" s="52">
        <f t="shared" si="96"/>
        <v>50383</v>
      </c>
      <c r="H370" s="53">
        <f t="shared" si="97"/>
        <v>52844</v>
      </c>
      <c r="I370" s="53">
        <f t="shared" si="98"/>
        <v>42202</v>
      </c>
      <c r="J370" s="53">
        <f t="shared" si="99"/>
        <v>45374</v>
      </c>
      <c r="K370" s="50">
        <f t="shared" si="100"/>
        <v>8181</v>
      </c>
      <c r="L370" s="51">
        <f t="shared" si="101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>
      <c r="A371" s="31" t="s">
        <v>220</v>
      </c>
      <c r="B371" s="1" t="s">
        <v>980</v>
      </c>
      <c r="C371" s="30" t="str">
        <f t="shared" si="102"/>
        <v>LA England - North Northamptonshire</v>
      </c>
      <c r="D371" s="51">
        <f t="shared" si="93"/>
        <v>138007</v>
      </c>
      <c r="E371" s="51">
        <f t="shared" si="94"/>
        <v>145289</v>
      </c>
      <c r="F371" s="52">
        <f t="shared" si="95"/>
        <v>363408</v>
      </c>
      <c r="G371" s="52">
        <f t="shared" si="96"/>
        <v>179073</v>
      </c>
      <c r="H371" s="53">
        <f t="shared" si="97"/>
        <v>184335</v>
      </c>
      <c r="I371" s="53">
        <f t="shared" si="98"/>
        <v>138007</v>
      </c>
      <c r="J371" s="53">
        <f t="shared" si="99"/>
        <v>145289</v>
      </c>
      <c r="K371" s="50">
        <f t="shared" si="100"/>
        <v>41066</v>
      </c>
      <c r="L371" s="51">
        <f t="shared" si="101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>
      <c r="A372" s="31" t="s">
        <v>220</v>
      </c>
      <c r="B372" s="1" t="s">
        <v>536</v>
      </c>
      <c r="C372" s="30" t="str">
        <f t="shared" si="102"/>
        <v>LA England - North Somerset</v>
      </c>
      <c r="D372" s="51">
        <f t="shared" si="93"/>
        <v>84352</v>
      </c>
      <c r="E372" s="51">
        <f t="shared" si="94"/>
        <v>91426</v>
      </c>
      <c r="F372" s="52">
        <f t="shared" si="95"/>
        <v>219145</v>
      </c>
      <c r="G372" s="52">
        <f t="shared" si="96"/>
        <v>106653</v>
      </c>
      <c r="H372" s="53">
        <f t="shared" si="97"/>
        <v>112492</v>
      </c>
      <c r="I372" s="53">
        <f t="shared" si="98"/>
        <v>84352</v>
      </c>
      <c r="J372" s="53">
        <f t="shared" si="99"/>
        <v>91426</v>
      </c>
      <c r="K372" s="50">
        <f t="shared" si="100"/>
        <v>22301</v>
      </c>
      <c r="L372" s="51">
        <f t="shared" si="101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>
      <c r="A373" s="31" t="s">
        <v>220</v>
      </c>
      <c r="B373" s="1" t="s">
        <v>537</v>
      </c>
      <c r="C373" s="30" t="str">
        <f t="shared" si="102"/>
        <v>LA England - North Tyneside</v>
      </c>
      <c r="D373" s="51">
        <f t="shared" si="93"/>
        <v>80464</v>
      </c>
      <c r="E373" s="51">
        <f t="shared" si="94"/>
        <v>87929</v>
      </c>
      <c r="F373" s="52">
        <f t="shared" si="95"/>
        <v>210487</v>
      </c>
      <c r="G373" s="52">
        <f t="shared" si="96"/>
        <v>102303</v>
      </c>
      <c r="H373" s="53">
        <f t="shared" si="97"/>
        <v>108184</v>
      </c>
      <c r="I373" s="53">
        <f t="shared" si="98"/>
        <v>80464</v>
      </c>
      <c r="J373" s="53">
        <f t="shared" si="99"/>
        <v>87929</v>
      </c>
      <c r="K373" s="50">
        <f t="shared" si="100"/>
        <v>21839</v>
      </c>
      <c r="L373" s="51">
        <f t="shared" si="101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>
      <c r="A374" s="31" t="s">
        <v>220</v>
      </c>
      <c r="B374" s="1" t="s">
        <v>538</v>
      </c>
      <c r="C374" s="30" t="str">
        <f t="shared" si="102"/>
        <v>LA England - North Warwickshire</v>
      </c>
      <c r="D374" s="51">
        <f t="shared" si="93"/>
        <v>25831</v>
      </c>
      <c r="E374" s="51">
        <f t="shared" si="94"/>
        <v>27256</v>
      </c>
      <c r="F374" s="52">
        <f t="shared" si="95"/>
        <v>65946</v>
      </c>
      <c r="G374" s="52">
        <f t="shared" si="96"/>
        <v>32219</v>
      </c>
      <c r="H374" s="53">
        <f t="shared" si="97"/>
        <v>33727</v>
      </c>
      <c r="I374" s="53">
        <f t="shared" si="98"/>
        <v>25831</v>
      </c>
      <c r="J374" s="53">
        <f t="shared" si="99"/>
        <v>27256</v>
      </c>
      <c r="K374" s="50">
        <f t="shared" si="100"/>
        <v>6388</v>
      </c>
      <c r="L374" s="51">
        <f t="shared" si="101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>
      <c r="A375" s="31" t="s">
        <v>220</v>
      </c>
      <c r="B375" s="1" t="s">
        <v>539</v>
      </c>
      <c r="C375" s="30" t="str">
        <f t="shared" si="102"/>
        <v>LA England - North West Leicestershire</v>
      </c>
      <c r="D375" s="51">
        <f t="shared" si="93"/>
        <v>41923</v>
      </c>
      <c r="E375" s="51">
        <f t="shared" si="94"/>
        <v>44299</v>
      </c>
      <c r="F375" s="52">
        <f t="shared" si="95"/>
        <v>107672</v>
      </c>
      <c r="G375" s="52">
        <f t="shared" si="96"/>
        <v>52971</v>
      </c>
      <c r="H375" s="53">
        <f t="shared" si="97"/>
        <v>54701</v>
      </c>
      <c r="I375" s="53">
        <f t="shared" si="98"/>
        <v>41923</v>
      </c>
      <c r="J375" s="53">
        <f t="shared" si="99"/>
        <v>44299</v>
      </c>
      <c r="K375" s="50">
        <f t="shared" si="100"/>
        <v>11048</v>
      </c>
      <c r="L375" s="51">
        <f t="shared" si="101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>
      <c r="A376" s="31" t="s">
        <v>220</v>
      </c>
      <c r="B376" s="1" t="s">
        <v>981</v>
      </c>
      <c r="C376" s="30" t="str">
        <f t="shared" si="102"/>
        <v>LA England - North Yorkshire</v>
      </c>
      <c r="D376" s="51">
        <f t="shared" si="93"/>
        <v>246935</v>
      </c>
      <c r="E376" s="51">
        <f t="shared" si="94"/>
        <v>262378</v>
      </c>
      <c r="F376" s="52">
        <f t="shared" si="95"/>
        <v>623501</v>
      </c>
      <c r="G376" s="52">
        <f t="shared" si="96"/>
        <v>305722</v>
      </c>
      <c r="H376" s="53">
        <f t="shared" si="97"/>
        <v>317779</v>
      </c>
      <c r="I376" s="53">
        <f t="shared" si="98"/>
        <v>246935</v>
      </c>
      <c r="J376" s="53">
        <f t="shared" si="99"/>
        <v>262378</v>
      </c>
      <c r="K376" s="50">
        <f t="shared" si="100"/>
        <v>58787</v>
      </c>
      <c r="L376" s="51">
        <f t="shared" si="101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>
      <c r="A377" s="31" t="s">
        <v>220</v>
      </c>
      <c r="B377" s="1" t="s">
        <v>540</v>
      </c>
      <c r="C377" s="30" t="str">
        <f t="shared" si="102"/>
        <v>LA England - Northumberland</v>
      </c>
      <c r="D377" s="51">
        <f t="shared" si="93"/>
        <v>128234</v>
      </c>
      <c r="E377" s="51">
        <f t="shared" si="94"/>
        <v>137538</v>
      </c>
      <c r="F377" s="52">
        <f t="shared" si="95"/>
        <v>324362</v>
      </c>
      <c r="G377" s="52">
        <f t="shared" si="96"/>
        <v>158454</v>
      </c>
      <c r="H377" s="53">
        <f t="shared" si="97"/>
        <v>165908</v>
      </c>
      <c r="I377" s="53">
        <f t="shared" si="98"/>
        <v>128234</v>
      </c>
      <c r="J377" s="53">
        <f t="shared" si="99"/>
        <v>137538</v>
      </c>
      <c r="K377" s="50">
        <f t="shared" si="100"/>
        <v>30220</v>
      </c>
      <c r="L377" s="51">
        <f t="shared" si="101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>
      <c r="A378" s="31" t="s">
        <v>220</v>
      </c>
      <c r="B378" s="1" t="s">
        <v>541</v>
      </c>
      <c r="C378" s="30" t="str">
        <f t="shared" si="102"/>
        <v>LA England - Norwich</v>
      </c>
      <c r="D378" s="51">
        <f t="shared" si="93"/>
        <v>58504</v>
      </c>
      <c r="E378" s="51">
        <f t="shared" si="94"/>
        <v>60393</v>
      </c>
      <c r="F378" s="52">
        <f t="shared" si="95"/>
        <v>144525</v>
      </c>
      <c r="G378" s="52">
        <f t="shared" si="96"/>
        <v>71583</v>
      </c>
      <c r="H378" s="53">
        <f t="shared" si="97"/>
        <v>72942</v>
      </c>
      <c r="I378" s="53">
        <f t="shared" si="98"/>
        <v>58504</v>
      </c>
      <c r="J378" s="53">
        <f t="shared" si="99"/>
        <v>60393</v>
      </c>
      <c r="K378" s="50">
        <f t="shared" si="100"/>
        <v>13079</v>
      </c>
      <c r="L378" s="51">
        <f t="shared" si="101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>
      <c r="A379" s="31" t="s">
        <v>220</v>
      </c>
      <c r="B379" s="1" t="s">
        <v>542</v>
      </c>
      <c r="C379" s="30" t="str">
        <f t="shared" si="102"/>
        <v>LA England - Nottingham</v>
      </c>
      <c r="D379" s="51">
        <f t="shared" si="93"/>
        <v>127293</v>
      </c>
      <c r="E379" s="51">
        <f t="shared" si="94"/>
        <v>134119</v>
      </c>
      <c r="F379" s="52">
        <f t="shared" si="95"/>
        <v>328513</v>
      </c>
      <c r="G379" s="52">
        <f t="shared" si="96"/>
        <v>161634</v>
      </c>
      <c r="H379" s="53">
        <f t="shared" si="97"/>
        <v>166879</v>
      </c>
      <c r="I379" s="53">
        <f t="shared" si="98"/>
        <v>127293</v>
      </c>
      <c r="J379" s="53">
        <f t="shared" si="99"/>
        <v>134119</v>
      </c>
      <c r="K379" s="50">
        <f t="shared" si="100"/>
        <v>34341</v>
      </c>
      <c r="L379" s="51">
        <f t="shared" si="101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>
      <c r="A380" s="31" t="s">
        <v>220</v>
      </c>
      <c r="B380" s="1" t="s">
        <v>543</v>
      </c>
      <c r="C380" s="30" t="str">
        <f t="shared" si="102"/>
        <v>LA England - Nuneaton and Bedworth</v>
      </c>
      <c r="D380" s="51">
        <f t="shared" si="93"/>
        <v>51571</v>
      </c>
      <c r="E380" s="51">
        <f t="shared" si="94"/>
        <v>54789</v>
      </c>
      <c r="F380" s="52">
        <f t="shared" si="95"/>
        <v>135481</v>
      </c>
      <c r="G380" s="52">
        <f t="shared" si="96"/>
        <v>66464</v>
      </c>
      <c r="H380" s="53">
        <f t="shared" si="97"/>
        <v>69017</v>
      </c>
      <c r="I380" s="53">
        <f t="shared" si="98"/>
        <v>51571</v>
      </c>
      <c r="J380" s="53">
        <f t="shared" si="99"/>
        <v>54789</v>
      </c>
      <c r="K380" s="50">
        <f t="shared" si="100"/>
        <v>14893</v>
      </c>
      <c r="L380" s="51">
        <f t="shared" si="101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>
      <c r="A381" s="31" t="s">
        <v>220</v>
      </c>
      <c r="B381" s="1" t="s">
        <v>544</v>
      </c>
      <c r="C381" s="30" t="str">
        <f t="shared" si="102"/>
        <v>LA England - Oadby and Wigston</v>
      </c>
      <c r="D381" s="51">
        <f t="shared" si="93"/>
        <v>22147</v>
      </c>
      <c r="E381" s="51">
        <f t="shared" si="94"/>
        <v>23994</v>
      </c>
      <c r="F381" s="52">
        <f t="shared" si="95"/>
        <v>58341</v>
      </c>
      <c r="G381" s="52">
        <f t="shared" si="96"/>
        <v>28391</v>
      </c>
      <c r="H381" s="53">
        <f t="shared" si="97"/>
        <v>29950</v>
      </c>
      <c r="I381" s="53">
        <f t="shared" si="98"/>
        <v>22147</v>
      </c>
      <c r="J381" s="53">
        <f t="shared" si="99"/>
        <v>23994</v>
      </c>
      <c r="K381" s="50">
        <f t="shared" si="100"/>
        <v>6244</v>
      </c>
      <c r="L381" s="51">
        <f t="shared" si="101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>
      <c r="A382" s="31" t="s">
        <v>220</v>
      </c>
      <c r="B382" s="1" t="s">
        <v>545</v>
      </c>
      <c r="C382" s="30" t="str">
        <f t="shared" si="102"/>
        <v>LA England - Oldham</v>
      </c>
      <c r="D382" s="51">
        <f t="shared" si="93"/>
        <v>87601</v>
      </c>
      <c r="E382" s="51">
        <f t="shared" si="94"/>
        <v>93872</v>
      </c>
      <c r="F382" s="52">
        <f t="shared" si="95"/>
        <v>243912</v>
      </c>
      <c r="G382" s="52">
        <f t="shared" si="96"/>
        <v>119371</v>
      </c>
      <c r="H382" s="53">
        <f t="shared" si="97"/>
        <v>124541</v>
      </c>
      <c r="I382" s="53">
        <f t="shared" si="98"/>
        <v>87601</v>
      </c>
      <c r="J382" s="53">
        <f t="shared" si="99"/>
        <v>93872</v>
      </c>
      <c r="K382" s="50">
        <f t="shared" si="100"/>
        <v>31770</v>
      </c>
      <c r="L382" s="51">
        <f t="shared" si="101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>
      <c r="A383" s="31" t="s">
        <v>220</v>
      </c>
      <c r="B383" s="1" t="s">
        <v>546</v>
      </c>
      <c r="C383" s="30" t="str">
        <f t="shared" si="102"/>
        <v>LA England - Oxford</v>
      </c>
      <c r="D383" s="51">
        <f t="shared" si="93"/>
        <v>65363</v>
      </c>
      <c r="E383" s="51">
        <f t="shared" si="94"/>
        <v>69154</v>
      </c>
      <c r="F383" s="52">
        <f t="shared" si="95"/>
        <v>163257</v>
      </c>
      <c r="G383" s="52">
        <f t="shared" si="96"/>
        <v>80220</v>
      </c>
      <c r="H383" s="53">
        <f t="shared" si="97"/>
        <v>83037</v>
      </c>
      <c r="I383" s="53">
        <f t="shared" si="98"/>
        <v>65363</v>
      </c>
      <c r="J383" s="53">
        <f t="shared" si="99"/>
        <v>69154</v>
      </c>
      <c r="K383" s="50">
        <f t="shared" si="100"/>
        <v>14857</v>
      </c>
      <c r="L383" s="51">
        <f t="shared" si="101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>
      <c r="A384" s="31" t="s">
        <v>220</v>
      </c>
      <c r="B384" s="1" t="s">
        <v>547</v>
      </c>
      <c r="C384" s="30" t="str">
        <f t="shared" si="102"/>
        <v>LA England - Pendle</v>
      </c>
      <c r="D384" s="51">
        <f t="shared" si="93"/>
        <v>35807</v>
      </c>
      <c r="E384" s="51">
        <f t="shared" si="94"/>
        <v>37259</v>
      </c>
      <c r="F384" s="52">
        <f t="shared" si="95"/>
        <v>96110</v>
      </c>
      <c r="G384" s="52">
        <f t="shared" si="96"/>
        <v>47583</v>
      </c>
      <c r="H384" s="53">
        <f t="shared" si="97"/>
        <v>48527</v>
      </c>
      <c r="I384" s="53">
        <f t="shared" si="98"/>
        <v>35807</v>
      </c>
      <c r="J384" s="53">
        <f t="shared" si="99"/>
        <v>37259</v>
      </c>
      <c r="K384" s="50">
        <f t="shared" si="100"/>
        <v>11776</v>
      </c>
      <c r="L384" s="51">
        <f t="shared" si="101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>
      <c r="A385" s="31" t="s">
        <v>220</v>
      </c>
      <c r="B385" s="1" t="s">
        <v>548</v>
      </c>
      <c r="C385" s="30" t="str">
        <f t="shared" si="102"/>
        <v>LA England - Peterborough</v>
      </c>
      <c r="D385" s="51">
        <f t="shared" si="93"/>
        <v>79208</v>
      </c>
      <c r="E385" s="51">
        <f t="shared" si="94"/>
        <v>83683</v>
      </c>
      <c r="F385" s="52">
        <f t="shared" si="95"/>
        <v>217705</v>
      </c>
      <c r="G385" s="52">
        <f t="shared" si="96"/>
        <v>107535</v>
      </c>
      <c r="H385" s="53">
        <f t="shared" si="97"/>
        <v>110170</v>
      </c>
      <c r="I385" s="53">
        <f t="shared" si="98"/>
        <v>79208</v>
      </c>
      <c r="J385" s="53">
        <f t="shared" si="99"/>
        <v>83683</v>
      </c>
      <c r="K385" s="50">
        <f t="shared" si="100"/>
        <v>28327</v>
      </c>
      <c r="L385" s="51">
        <f t="shared" si="101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>
      <c r="A386" s="31" t="s">
        <v>220</v>
      </c>
      <c r="B386" s="1" t="s">
        <v>549</v>
      </c>
      <c r="C386" s="30" t="str">
        <f t="shared" si="102"/>
        <v>LA England - Plymouth</v>
      </c>
      <c r="D386" s="51">
        <f t="shared" si="93"/>
        <v>104314</v>
      </c>
      <c r="E386" s="51">
        <f t="shared" si="94"/>
        <v>110592</v>
      </c>
      <c r="F386" s="52">
        <f t="shared" si="95"/>
        <v>266862</v>
      </c>
      <c r="G386" s="52">
        <f t="shared" si="96"/>
        <v>131031</v>
      </c>
      <c r="H386" s="53">
        <f t="shared" si="97"/>
        <v>135831</v>
      </c>
      <c r="I386" s="53">
        <f t="shared" si="98"/>
        <v>104314</v>
      </c>
      <c r="J386" s="53">
        <f t="shared" si="99"/>
        <v>110592</v>
      </c>
      <c r="K386" s="50">
        <f t="shared" si="100"/>
        <v>26717</v>
      </c>
      <c r="L386" s="51">
        <f t="shared" si="101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>
      <c r="A387" s="31" t="s">
        <v>220</v>
      </c>
      <c r="B387" s="1" t="s">
        <v>550</v>
      </c>
      <c r="C387" s="30" t="str">
        <f t="shared" si="102"/>
        <v>LA England - Portsmouth</v>
      </c>
      <c r="D387" s="51">
        <f t="shared" si="93"/>
        <v>82264</v>
      </c>
      <c r="E387" s="51">
        <f t="shared" si="94"/>
        <v>84108</v>
      </c>
      <c r="F387" s="52">
        <f t="shared" si="95"/>
        <v>208420</v>
      </c>
      <c r="G387" s="52">
        <f t="shared" si="96"/>
        <v>103763</v>
      </c>
      <c r="H387" s="53">
        <f t="shared" si="97"/>
        <v>104657</v>
      </c>
      <c r="I387" s="53">
        <f t="shared" si="98"/>
        <v>82264</v>
      </c>
      <c r="J387" s="53">
        <f t="shared" si="99"/>
        <v>84108</v>
      </c>
      <c r="K387" s="50">
        <f t="shared" si="100"/>
        <v>21499</v>
      </c>
      <c r="L387" s="51">
        <f t="shared" si="101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>
      <c r="A388" s="31" t="s">
        <v>220</v>
      </c>
      <c r="B388" s="1" t="s">
        <v>551</v>
      </c>
      <c r="C388" s="30" t="str">
        <f t="shared" si="102"/>
        <v>LA England - Preston</v>
      </c>
      <c r="D388" s="51">
        <f t="shared" si="93"/>
        <v>58655</v>
      </c>
      <c r="E388" s="51">
        <f t="shared" si="94"/>
        <v>59296</v>
      </c>
      <c r="F388" s="52">
        <f t="shared" si="95"/>
        <v>151582</v>
      </c>
      <c r="G388" s="52">
        <f t="shared" si="96"/>
        <v>75998</v>
      </c>
      <c r="H388" s="53">
        <f t="shared" si="97"/>
        <v>75584</v>
      </c>
      <c r="I388" s="53">
        <f t="shared" si="98"/>
        <v>58655</v>
      </c>
      <c r="J388" s="53">
        <f t="shared" si="99"/>
        <v>59296</v>
      </c>
      <c r="K388" s="50">
        <f t="shared" si="100"/>
        <v>17343</v>
      </c>
      <c r="L388" s="51">
        <f t="shared" si="101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>
      <c r="A389" s="31" t="s">
        <v>220</v>
      </c>
      <c r="B389" s="1" t="s">
        <v>552</v>
      </c>
      <c r="C389" s="30" t="str">
        <f t="shared" si="102"/>
        <v>LA England - Reading</v>
      </c>
      <c r="D389" s="51">
        <f t="shared" si="93"/>
        <v>68589</v>
      </c>
      <c r="E389" s="51">
        <f t="shared" si="94"/>
        <v>69305</v>
      </c>
      <c r="F389" s="52">
        <f t="shared" si="95"/>
        <v>174820</v>
      </c>
      <c r="G389" s="52">
        <f t="shared" si="96"/>
        <v>87515</v>
      </c>
      <c r="H389" s="53">
        <f t="shared" si="97"/>
        <v>87305</v>
      </c>
      <c r="I389" s="53">
        <f t="shared" si="98"/>
        <v>68589</v>
      </c>
      <c r="J389" s="53">
        <f t="shared" si="99"/>
        <v>69305</v>
      </c>
      <c r="K389" s="50">
        <f t="shared" si="100"/>
        <v>18926</v>
      </c>
      <c r="L389" s="51">
        <f t="shared" si="101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>
      <c r="A390" s="31" t="s">
        <v>220</v>
      </c>
      <c r="B390" s="1" t="s">
        <v>553</v>
      </c>
      <c r="C390" s="30" t="str">
        <f t="shared" si="102"/>
        <v>LA England - Redbridge</v>
      </c>
      <c r="D390" s="51">
        <f t="shared" si="93"/>
        <v>114653</v>
      </c>
      <c r="E390" s="51">
        <f t="shared" si="94"/>
        <v>119425</v>
      </c>
      <c r="F390" s="52">
        <f t="shared" si="95"/>
        <v>310911</v>
      </c>
      <c r="G390" s="52">
        <f t="shared" si="96"/>
        <v>153994</v>
      </c>
      <c r="H390" s="53">
        <f t="shared" si="97"/>
        <v>156917</v>
      </c>
      <c r="I390" s="53">
        <f t="shared" si="98"/>
        <v>114653</v>
      </c>
      <c r="J390" s="53">
        <f t="shared" si="99"/>
        <v>119425</v>
      </c>
      <c r="K390" s="50">
        <f t="shared" si="100"/>
        <v>39341</v>
      </c>
      <c r="L390" s="51">
        <f t="shared" si="101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>
      <c r="A391" s="31" t="s">
        <v>220</v>
      </c>
      <c r="B391" s="1" t="s">
        <v>554</v>
      </c>
      <c r="C391" s="30" t="str">
        <f t="shared" si="102"/>
        <v>LA England - Redcar and Cleveland</v>
      </c>
      <c r="D391" s="51">
        <f t="shared" si="93"/>
        <v>52655</v>
      </c>
      <c r="E391" s="51">
        <f t="shared" si="94"/>
        <v>57290</v>
      </c>
      <c r="F391" s="52">
        <f t="shared" si="95"/>
        <v>137175</v>
      </c>
      <c r="G391" s="52">
        <f t="shared" si="96"/>
        <v>66603</v>
      </c>
      <c r="H391" s="53">
        <f t="shared" si="97"/>
        <v>70572</v>
      </c>
      <c r="I391" s="53">
        <f t="shared" si="98"/>
        <v>52655</v>
      </c>
      <c r="J391" s="53">
        <f t="shared" si="99"/>
        <v>57290</v>
      </c>
      <c r="K391" s="50">
        <f>SUM(M391:AD391)</f>
        <v>13948</v>
      </c>
      <c r="L391" s="51">
        <f t="shared" si="101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>
      <c r="A392" s="31" t="s">
        <v>220</v>
      </c>
      <c r="B392" s="1" t="s">
        <v>555</v>
      </c>
      <c r="C392" s="30" t="str">
        <f t="shared" si="102"/>
        <v>LA England - Redditch</v>
      </c>
      <c r="D392" s="51">
        <f t="shared" si="93"/>
        <v>33200</v>
      </c>
      <c r="E392" s="51">
        <f t="shared" si="94"/>
        <v>35017</v>
      </c>
      <c r="F392" s="52">
        <f t="shared" si="95"/>
        <v>87132</v>
      </c>
      <c r="G392" s="52">
        <f t="shared" si="96"/>
        <v>42934</v>
      </c>
      <c r="H392" s="53">
        <f t="shared" si="97"/>
        <v>44198</v>
      </c>
      <c r="I392" s="53">
        <f t="shared" si="98"/>
        <v>33200</v>
      </c>
      <c r="J392" s="53">
        <f t="shared" si="99"/>
        <v>35017</v>
      </c>
      <c r="K392" s="50">
        <f>SUM(M392:AD392)</f>
        <v>9734</v>
      </c>
      <c r="L392" s="51">
        <f t="shared" si="101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>
      <c r="A393" s="31" t="s">
        <v>220</v>
      </c>
      <c r="B393" s="1" t="s">
        <v>556</v>
      </c>
      <c r="C393" s="30" t="str">
        <f t="shared" si="102"/>
        <v>LA England - Reigate and Banstead</v>
      </c>
      <c r="D393" s="51">
        <f t="shared" si="93"/>
        <v>57326</v>
      </c>
      <c r="E393" s="51">
        <f t="shared" si="94"/>
        <v>61482</v>
      </c>
      <c r="F393" s="52">
        <f t="shared" si="95"/>
        <v>153629</v>
      </c>
      <c r="G393" s="52">
        <f t="shared" si="96"/>
        <v>75130</v>
      </c>
      <c r="H393" s="53">
        <f t="shared" si="97"/>
        <v>78499</v>
      </c>
      <c r="I393" s="53">
        <f t="shared" si="98"/>
        <v>57326</v>
      </c>
      <c r="J393" s="53">
        <f t="shared" si="99"/>
        <v>61482</v>
      </c>
      <c r="K393" s="50">
        <f>SUM(M393:AD393)</f>
        <v>17804</v>
      </c>
      <c r="L393" s="51">
        <f t="shared" si="101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>
      <c r="A394" s="31" t="s">
        <v>220</v>
      </c>
      <c r="B394" s="1" t="s">
        <v>557</v>
      </c>
      <c r="C394" s="30" t="str">
        <f t="shared" si="102"/>
        <v>LA England - Ribble Valley</v>
      </c>
      <c r="D394" s="51">
        <f t="shared" ref="D394:D457" si="103">I394</f>
        <v>24766</v>
      </c>
      <c r="E394" s="51">
        <f t="shared" ref="E394:E457" si="104">J394</f>
        <v>26411</v>
      </c>
      <c r="F394" s="52">
        <f t="shared" ref="F394:F457" si="105">G394+H394</f>
        <v>63107</v>
      </c>
      <c r="G394" s="52">
        <f t="shared" ref="G394:G457" si="106">SUM(M394:CY394)</f>
        <v>30876</v>
      </c>
      <c r="H394" s="53">
        <f t="shared" ref="H394:H457" si="107">SUM(CZ394:GL394)</f>
        <v>32231</v>
      </c>
      <c r="I394" s="53">
        <f t="shared" ref="I394:I457" si="108">SUM(AE394:CY394)</f>
        <v>24766</v>
      </c>
      <c r="J394" s="53">
        <f t="shared" ref="J394:J457" si="109">SUM(DR394:GL394)</f>
        <v>26411</v>
      </c>
      <c r="K394" s="50">
        <f t="shared" ref="K394:K457" si="110">SUM(M394:AD394)</f>
        <v>6110</v>
      </c>
      <c r="L394" s="51">
        <f t="shared" ref="L394:L457" si="111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>
      <c r="A395" s="31" t="s">
        <v>220</v>
      </c>
      <c r="B395" s="1" t="s">
        <v>558</v>
      </c>
      <c r="C395" s="30" t="str">
        <f t="shared" si="102"/>
        <v>LA England - Richmond upon Thames</v>
      </c>
      <c r="D395" s="51">
        <f t="shared" si="103"/>
        <v>71343</v>
      </c>
      <c r="E395" s="51">
        <f t="shared" si="104"/>
        <v>79557</v>
      </c>
      <c r="F395" s="52">
        <f t="shared" si="105"/>
        <v>194894</v>
      </c>
      <c r="G395" s="52">
        <f t="shared" si="106"/>
        <v>93837</v>
      </c>
      <c r="H395" s="53">
        <f t="shared" si="107"/>
        <v>101057</v>
      </c>
      <c r="I395" s="53">
        <f t="shared" si="108"/>
        <v>71343</v>
      </c>
      <c r="J395" s="53">
        <f t="shared" si="109"/>
        <v>79557</v>
      </c>
      <c r="K395" s="50">
        <f t="shared" si="110"/>
        <v>22494</v>
      </c>
      <c r="L395" s="51">
        <f t="shared" si="111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>
      <c r="A396" s="31" t="s">
        <v>220</v>
      </c>
      <c r="B396" s="1" t="s">
        <v>559</v>
      </c>
      <c r="C396" s="30" t="str">
        <f t="shared" ref="C396:C459" si="112">CONCATENATE(A396," - ",B396)</f>
        <v>LA England - Rochdale</v>
      </c>
      <c r="D396" s="51">
        <f t="shared" si="103"/>
        <v>82750</v>
      </c>
      <c r="E396" s="51">
        <f t="shared" si="104"/>
        <v>88568</v>
      </c>
      <c r="F396" s="52">
        <f t="shared" si="105"/>
        <v>226992</v>
      </c>
      <c r="G396" s="52">
        <f t="shared" si="106"/>
        <v>111355</v>
      </c>
      <c r="H396" s="53">
        <f t="shared" si="107"/>
        <v>115637</v>
      </c>
      <c r="I396" s="53">
        <f t="shared" si="108"/>
        <v>82750</v>
      </c>
      <c r="J396" s="53">
        <f t="shared" si="109"/>
        <v>88568</v>
      </c>
      <c r="K396" s="50">
        <f t="shared" si="110"/>
        <v>28605</v>
      </c>
      <c r="L396" s="51">
        <f t="shared" si="111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>
      <c r="A397" s="31" t="s">
        <v>220</v>
      </c>
      <c r="B397" s="1" t="s">
        <v>560</v>
      </c>
      <c r="C397" s="30" t="str">
        <f t="shared" si="112"/>
        <v>LA England - Rochford</v>
      </c>
      <c r="D397" s="51">
        <f t="shared" si="103"/>
        <v>33399</v>
      </c>
      <c r="E397" s="51">
        <f t="shared" si="104"/>
        <v>36525</v>
      </c>
      <c r="F397" s="52">
        <f t="shared" si="105"/>
        <v>87216</v>
      </c>
      <c r="G397" s="52">
        <f t="shared" si="106"/>
        <v>42260</v>
      </c>
      <c r="H397" s="53">
        <f t="shared" si="107"/>
        <v>44956</v>
      </c>
      <c r="I397" s="53">
        <f t="shared" si="108"/>
        <v>33399</v>
      </c>
      <c r="J397" s="53">
        <f t="shared" si="109"/>
        <v>36525</v>
      </c>
      <c r="K397" s="50">
        <f t="shared" si="110"/>
        <v>8861</v>
      </c>
      <c r="L397" s="51">
        <f t="shared" si="111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>
      <c r="A398" s="31" t="s">
        <v>220</v>
      </c>
      <c r="B398" s="1" t="s">
        <v>561</v>
      </c>
      <c r="C398" s="30" t="str">
        <f t="shared" si="112"/>
        <v>LA England - Rossendale</v>
      </c>
      <c r="D398" s="51">
        <f t="shared" si="103"/>
        <v>27113</v>
      </c>
      <c r="E398" s="51">
        <f t="shared" si="104"/>
        <v>28718</v>
      </c>
      <c r="F398" s="52">
        <f t="shared" si="105"/>
        <v>71169</v>
      </c>
      <c r="G398" s="52">
        <f t="shared" si="106"/>
        <v>34978</v>
      </c>
      <c r="H398" s="53">
        <f t="shared" si="107"/>
        <v>36191</v>
      </c>
      <c r="I398" s="53">
        <f t="shared" si="108"/>
        <v>27113</v>
      </c>
      <c r="J398" s="53">
        <f t="shared" si="109"/>
        <v>28718</v>
      </c>
      <c r="K398" s="50">
        <f t="shared" si="110"/>
        <v>7865</v>
      </c>
      <c r="L398" s="51">
        <f t="shared" si="111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>
      <c r="A399" s="31" t="s">
        <v>220</v>
      </c>
      <c r="B399" s="1" t="s">
        <v>562</v>
      </c>
      <c r="C399" s="30" t="str">
        <f t="shared" si="112"/>
        <v>LA England - Rother</v>
      </c>
      <c r="D399" s="51">
        <f t="shared" si="103"/>
        <v>36694</v>
      </c>
      <c r="E399" s="51">
        <f t="shared" si="104"/>
        <v>41811</v>
      </c>
      <c r="F399" s="52">
        <f t="shared" si="105"/>
        <v>94162</v>
      </c>
      <c r="G399" s="52">
        <f t="shared" si="106"/>
        <v>44734</v>
      </c>
      <c r="H399" s="53">
        <f t="shared" si="107"/>
        <v>49428</v>
      </c>
      <c r="I399" s="53">
        <f t="shared" si="108"/>
        <v>36694</v>
      </c>
      <c r="J399" s="53">
        <f t="shared" si="109"/>
        <v>41811</v>
      </c>
      <c r="K399" s="50">
        <f t="shared" si="110"/>
        <v>8040</v>
      </c>
      <c r="L399" s="51">
        <f t="shared" si="111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>
      <c r="A400" s="31" t="s">
        <v>220</v>
      </c>
      <c r="B400" s="1" t="s">
        <v>563</v>
      </c>
      <c r="C400" s="30" t="str">
        <f t="shared" si="112"/>
        <v>LA England - Rotherham</v>
      </c>
      <c r="D400" s="51">
        <f t="shared" si="103"/>
        <v>102546</v>
      </c>
      <c r="E400" s="51">
        <f t="shared" si="104"/>
        <v>108578</v>
      </c>
      <c r="F400" s="52">
        <f t="shared" si="105"/>
        <v>268354</v>
      </c>
      <c r="G400" s="52">
        <f t="shared" si="106"/>
        <v>131784</v>
      </c>
      <c r="H400" s="53">
        <f t="shared" si="107"/>
        <v>136570</v>
      </c>
      <c r="I400" s="53">
        <f t="shared" si="108"/>
        <v>102546</v>
      </c>
      <c r="J400" s="53">
        <f t="shared" si="109"/>
        <v>108578</v>
      </c>
      <c r="K400" s="50">
        <f t="shared" si="110"/>
        <v>29238</v>
      </c>
      <c r="L400" s="51">
        <f t="shared" si="111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>
      <c r="A401" s="31" t="s">
        <v>220</v>
      </c>
      <c r="B401" s="1" t="s">
        <v>564</v>
      </c>
      <c r="C401" s="30" t="str">
        <f t="shared" si="112"/>
        <v>LA England - Rugby</v>
      </c>
      <c r="D401" s="51">
        <f t="shared" si="103"/>
        <v>44751</v>
      </c>
      <c r="E401" s="51">
        <f t="shared" si="104"/>
        <v>45862</v>
      </c>
      <c r="F401" s="52">
        <f t="shared" si="105"/>
        <v>116436</v>
      </c>
      <c r="G401" s="52">
        <f t="shared" si="106"/>
        <v>57920</v>
      </c>
      <c r="H401" s="53">
        <f t="shared" si="107"/>
        <v>58516</v>
      </c>
      <c r="I401" s="53">
        <f t="shared" si="108"/>
        <v>44751</v>
      </c>
      <c r="J401" s="53">
        <f t="shared" si="109"/>
        <v>45862</v>
      </c>
      <c r="K401" s="50">
        <f t="shared" si="110"/>
        <v>13169</v>
      </c>
      <c r="L401" s="51">
        <f t="shared" si="111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>
      <c r="A402" s="31" t="s">
        <v>220</v>
      </c>
      <c r="B402" s="1" t="s">
        <v>565</v>
      </c>
      <c r="C402" s="30" t="str">
        <f t="shared" si="112"/>
        <v>LA England - Runnymede</v>
      </c>
      <c r="D402" s="51">
        <f t="shared" si="103"/>
        <v>33925</v>
      </c>
      <c r="E402" s="51">
        <f t="shared" si="104"/>
        <v>37223</v>
      </c>
      <c r="F402" s="52">
        <f t="shared" si="105"/>
        <v>88524</v>
      </c>
      <c r="G402" s="52">
        <f t="shared" si="106"/>
        <v>42769</v>
      </c>
      <c r="H402" s="53">
        <f t="shared" si="107"/>
        <v>45755</v>
      </c>
      <c r="I402" s="53">
        <f t="shared" si="108"/>
        <v>33925</v>
      </c>
      <c r="J402" s="53">
        <f t="shared" si="109"/>
        <v>37223</v>
      </c>
      <c r="K402" s="50">
        <f t="shared" si="110"/>
        <v>8844</v>
      </c>
      <c r="L402" s="51">
        <f t="shared" si="111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>
      <c r="A403" s="31" t="s">
        <v>220</v>
      </c>
      <c r="B403" s="1" t="s">
        <v>566</v>
      </c>
      <c r="C403" s="30" t="str">
        <f t="shared" si="112"/>
        <v>LA England - Rushcliffe</v>
      </c>
      <c r="D403" s="51">
        <f t="shared" si="103"/>
        <v>46826</v>
      </c>
      <c r="E403" s="51">
        <f t="shared" si="104"/>
        <v>49888</v>
      </c>
      <c r="F403" s="52">
        <f t="shared" si="105"/>
        <v>121582</v>
      </c>
      <c r="G403" s="52">
        <f t="shared" si="106"/>
        <v>59659</v>
      </c>
      <c r="H403" s="53">
        <f t="shared" si="107"/>
        <v>61923</v>
      </c>
      <c r="I403" s="53">
        <f t="shared" si="108"/>
        <v>46826</v>
      </c>
      <c r="J403" s="53">
        <f t="shared" si="109"/>
        <v>49888</v>
      </c>
      <c r="K403" s="50">
        <f t="shared" si="110"/>
        <v>12833</v>
      </c>
      <c r="L403" s="51">
        <f t="shared" si="111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>
      <c r="A404" s="31" t="s">
        <v>220</v>
      </c>
      <c r="B404" s="1" t="s">
        <v>567</v>
      </c>
      <c r="C404" s="30" t="str">
        <f t="shared" si="112"/>
        <v>LA England - Rushmoor</v>
      </c>
      <c r="D404" s="51">
        <f t="shared" si="103"/>
        <v>39743</v>
      </c>
      <c r="E404" s="51">
        <f t="shared" si="104"/>
        <v>39973</v>
      </c>
      <c r="F404" s="52">
        <f t="shared" si="105"/>
        <v>101060</v>
      </c>
      <c r="G404" s="52">
        <f t="shared" si="106"/>
        <v>50789</v>
      </c>
      <c r="H404" s="53">
        <f t="shared" si="107"/>
        <v>50271</v>
      </c>
      <c r="I404" s="53">
        <f t="shared" si="108"/>
        <v>39743</v>
      </c>
      <c r="J404" s="53">
        <f t="shared" si="109"/>
        <v>39973</v>
      </c>
      <c r="K404" s="50">
        <f t="shared" si="110"/>
        <v>11046</v>
      </c>
      <c r="L404" s="51">
        <f t="shared" si="111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>
      <c r="A405" s="31" t="s">
        <v>220</v>
      </c>
      <c r="B405" s="1" t="s">
        <v>568</v>
      </c>
      <c r="C405" s="30" t="str">
        <f t="shared" si="112"/>
        <v>LA England - Rutland</v>
      </c>
      <c r="D405" s="51">
        <f t="shared" si="103"/>
        <v>16942</v>
      </c>
      <c r="E405" s="51">
        <f t="shared" si="104"/>
        <v>16235</v>
      </c>
      <c r="F405" s="52">
        <f t="shared" si="105"/>
        <v>41151</v>
      </c>
      <c r="G405" s="52">
        <f t="shared" si="106"/>
        <v>21127</v>
      </c>
      <c r="H405" s="53">
        <f t="shared" si="107"/>
        <v>20024</v>
      </c>
      <c r="I405" s="53">
        <f t="shared" si="108"/>
        <v>16942</v>
      </c>
      <c r="J405" s="53">
        <f t="shared" si="109"/>
        <v>16235</v>
      </c>
      <c r="K405" s="50">
        <f t="shared" si="110"/>
        <v>4185</v>
      </c>
      <c r="L405" s="51">
        <f t="shared" si="111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>
      <c r="A406" s="31" t="s">
        <v>220</v>
      </c>
      <c r="B406" s="1" t="s">
        <v>569</v>
      </c>
      <c r="C406" s="30" t="str">
        <f t="shared" si="112"/>
        <v>LA England - Salford</v>
      </c>
      <c r="D406" s="51">
        <f t="shared" si="103"/>
        <v>108861</v>
      </c>
      <c r="E406" s="51">
        <f t="shared" si="104"/>
        <v>108908</v>
      </c>
      <c r="F406" s="52">
        <f t="shared" si="105"/>
        <v>278064</v>
      </c>
      <c r="G406" s="52">
        <f t="shared" si="106"/>
        <v>139829</v>
      </c>
      <c r="H406" s="53">
        <f t="shared" si="107"/>
        <v>138235</v>
      </c>
      <c r="I406" s="53">
        <f t="shared" si="108"/>
        <v>108861</v>
      </c>
      <c r="J406" s="53">
        <f t="shared" si="109"/>
        <v>108908</v>
      </c>
      <c r="K406" s="50">
        <f t="shared" si="110"/>
        <v>30968</v>
      </c>
      <c r="L406" s="51">
        <f t="shared" si="111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>
      <c r="A407" s="31" t="s">
        <v>220</v>
      </c>
      <c r="B407" s="1" t="s">
        <v>570</v>
      </c>
      <c r="C407" s="30" t="str">
        <f t="shared" si="112"/>
        <v>LA England - Sandwell</v>
      </c>
      <c r="D407" s="51">
        <f t="shared" si="103"/>
        <v>125772</v>
      </c>
      <c r="E407" s="51">
        <f t="shared" si="104"/>
        <v>132614</v>
      </c>
      <c r="F407" s="52">
        <f t="shared" si="105"/>
        <v>344210</v>
      </c>
      <c r="G407" s="52">
        <f t="shared" si="106"/>
        <v>170114</v>
      </c>
      <c r="H407" s="53">
        <f t="shared" si="107"/>
        <v>174096</v>
      </c>
      <c r="I407" s="53">
        <f t="shared" si="108"/>
        <v>125772</v>
      </c>
      <c r="J407" s="53">
        <f t="shared" si="109"/>
        <v>132614</v>
      </c>
      <c r="K407" s="50">
        <f t="shared" si="110"/>
        <v>44342</v>
      </c>
      <c r="L407" s="51">
        <f t="shared" si="111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>
      <c r="A408" s="31" t="s">
        <v>220</v>
      </c>
      <c r="B408" s="1" t="s">
        <v>571</v>
      </c>
      <c r="C408" s="30" t="str">
        <f t="shared" si="112"/>
        <v>LA England - Sefton</v>
      </c>
      <c r="D408" s="51">
        <f t="shared" si="103"/>
        <v>108849</v>
      </c>
      <c r="E408" s="51">
        <f t="shared" si="104"/>
        <v>118743</v>
      </c>
      <c r="F408" s="52">
        <f t="shared" si="105"/>
        <v>281027</v>
      </c>
      <c r="G408" s="52">
        <f t="shared" si="106"/>
        <v>136313</v>
      </c>
      <c r="H408" s="53">
        <f t="shared" si="107"/>
        <v>144714</v>
      </c>
      <c r="I408" s="53">
        <f t="shared" si="108"/>
        <v>108849</v>
      </c>
      <c r="J408" s="53">
        <f t="shared" si="109"/>
        <v>118743</v>
      </c>
      <c r="K408" s="50">
        <f t="shared" si="110"/>
        <v>27464</v>
      </c>
      <c r="L408" s="51">
        <f t="shared" si="111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>
      <c r="A409" s="31" t="s">
        <v>220</v>
      </c>
      <c r="B409" s="1" t="s">
        <v>572</v>
      </c>
      <c r="C409" s="30" t="str">
        <f t="shared" si="112"/>
        <v>LA England - Sevenoaks</v>
      </c>
      <c r="D409" s="51">
        <f t="shared" si="103"/>
        <v>44614</v>
      </c>
      <c r="E409" s="51">
        <f t="shared" si="104"/>
        <v>49425</v>
      </c>
      <c r="F409" s="52">
        <f t="shared" si="105"/>
        <v>121106</v>
      </c>
      <c r="G409" s="52">
        <f t="shared" si="106"/>
        <v>58375</v>
      </c>
      <c r="H409" s="53">
        <f t="shared" si="107"/>
        <v>62731</v>
      </c>
      <c r="I409" s="53">
        <f t="shared" si="108"/>
        <v>44614</v>
      </c>
      <c r="J409" s="53">
        <f t="shared" si="109"/>
        <v>49425</v>
      </c>
      <c r="K409" s="50">
        <f t="shared" si="110"/>
        <v>13761</v>
      </c>
      <c r="L409" s="51">
        <f t="shared" si="111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>
      <c r="A410" s="31" t="s">
        <v>220</v>
      </c>
      <c r="B410" s="1" t="s">
        <v>573</v>
      </c>
      <c r="C410" s="30" t="str">
        <f t="shared" si="112"/>
        <v>LA England - Sheffield</v>
      </c>
      <c r="D410" s="51">
        <f t="shared" si="103"/>
        <v>221985</v>
      </c>
      <c r="E410" s="51">
        <f t="shared" si="104"/>
        <v>230539</v>
      </c>
      <c r="F410" s="52">
        <f t="shared" si="105"/>
        <v>566242</v>
      </c>
      <c r="G410" s="52">
        <f t="shared" si="106"/>
        <v>280173</v>
      </c>
      <c r="H410" s="53">
        <f t="shared" si="107"/>
        <v>286069</v>
      </c>
      <c r="I410" s="53">
        <f t="shared" si="108"/>
        <v>221985</v>
      </c>
      <c r="J410" s="53">
        <f t="shared" si="109"/>
        <v>230539</v>
      </c>
      <c r="K410" s="50">
        <f t="shared" si="110"/>
        <v>58188</v>
      </c>
      <c r="L410" s="51">
        <f t="shared" si="111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>
      <c r="A411" s="31" t="s">
        <v>220</v>
      </c>
      <c r="B411" s="1" t="s">
        <v>574</v>
      </c>
      <c r="C411" s="30" t="str">
        <f t="shared" si="112"/>
        <v>LA England - Shropshire</v>
      </c>
      <c r="D411" s="51">
        <f t="shared" si="103"/>
        <v>131142</v>
      </c>
      <c r="E411" s="51">
        <f t="shared" si="104"/>
        <v>137200</v>
      </c>
      <c r="F411" s="52">
        <f t="shared" si="105"/>
        <v>327178</v>
      </c>
      <c r="G411" s="52">
        <f t="shared" si="106"/>
        <v>161354</v>
      </c>
      <c r="H411" s="53">
        <f t="shared" si="107"/>
        <v>165824</v>
      </c>
      <c r="I411" s="53">
        <f t="shared" si="108"/>
        <v>131142</v>
      </c>
      <c r="J411" s="53">
        <f t="shared" si="109"/>
        <v>137200</v>
      </c>
      <c r="K411" s="50">
        <f t="shared" si="110"/>
        <v>30212</v>
      </c>
      <c r="L411" s="51">
        <f t="shared" si="111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>
      <c r="A412" s="31" t="s">
        <v>220</v>
      </c>
      <c r="B412" s="1" t="s">
        <v>575</v>
      </c>
      <c r="C412" s="30" t="str">
        <f t="shared" si="112"/>
        <v>LA England - Slough</v>
      </c>
      <c r="D412" s="51">
        <f t="shared" si="103"/>
        <v>56441</v>
      </c>
      <c r="E412" s="51">
        <f t="shared" si="104"/>
        <v>58435</v>
      </c>
      <c r="F412" s="52">
        <f t="shared" si="105"/>
        <v>159182</v>
      </c>
      <c r="G412" s="52">
        <f t="shared" si="106"/>
        <v>78924</v>
      </c>
      <c r="H412" s="53">
        <f t="shared" si="107"/>
        <v>80258</v>
      </c>
      <c r="I412" s="53">
        <f t="shared" si="108"/>
        <v>56441</v>
      </c>
      <c r="J412" s="53">
        <f t="shared" si="109"/>
        <v>58435</v>
      </c>
      <c r="K412" s="50">
        <f t="shared" si="110"/>
        <v>22483</v>
      </c>
      <c r="L412" s="51">
        <f t="shared" si="111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>
      <c r="A413" s="31" t="s">
        <v>220</v>
      </c>
      <c r="B413" s="1" t="s">
        <v>576</v>
      </c>
      <c r="C413" s="30" t="str">
        <f t="shared" si="112"/>
        <v>LA England - Solihull</v>
      </c>
      <c r="D413" s="51">
        <f t="shared" si="103"/>
        <v>81126</v>
      </c>
      <c r="E413" s="51">
        <f t="shared" si="104"/>
        <v>88740</v>
      </c>
      <c r="F413" s="52">
        <f t="shared" si="105"/>
        <v>217678</v>
      </c>
      <c r="G413" s="52">
        <f t="shared" si="106"/>
        <v>105819</v>
      </c>
      <c r="H413" s="53">
        <f t="shared" si="107"/>
        <v>111859</v>
      </c>
      <c r="I413" s="53">
        <f t="shared" si="108"/>
        <v>81126</v>
      </c>
      <c r="J413" s="53">
        <f t="shared" si="109"/>
        <v>88740</v>
      </c>
      <c r="K413" s="50">
        <f t="shared" si="110"/>
        <v>24693</v>
      </c>
      <c r="L413" s="51">
        <f t="shared" si="111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>
      <c r="A414" s="31" t="s">
        <v>220</v>
      </c>
      <c r="B414" s="1" t="s">
        <v>367</v>
      </c>
      <c r="C414" s="30" t="str">
        <f t="shared" si="112"/>
        <v>LA England - Somerset</v>
      </c>
      <c r="D414" s="51">
        <f t="shared" si="103"/>
        <v>225653</v>
      </c>
      <c r="E414" s="51">
        <f t="shared" si="104"/>
        <v>240687</v>
      </c>
      <c r="F414" s="52">
        <f t="shared" si="105"/>
        <v>576852</v>
      </c>
      <c r="G414" s="52">
        <f t="shared" si="106"/>
        <v>282176</v>
      </c>
      <c r="H414" s="53">
        <f t="shared" si="107"/>
        <v>294676</v>
      </c>
      <c r="I414" s="53">
        <f t="shared" si="108"/>
        <v>225653</v>
      </c>
      <c r="J414" s="53">
        <f t="shared" si="109"/>
        <v>240687</v>
      </c>
      <c r="K414" s="50">
        <f t="shared" si="110"/>
        <v>56523</v>
      </c>
      <c r="L414" s="51">
        <f t="shared" si="111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>
      <c r="A415" s="31" t="s">
        <v>220</v>
      </c>
      <c r="B415" s="1" t="s">
        <v>577</v>
      </c>
      <c r="C415" s="30" t="str">
        <f t="shared" si="112"/>
        <v>LA England - South Cambridgeshire</v>
      </c>
      <c r="D415" s="51">
        <f t="shared" si="103"/>
        <v>62452</v>
      </c>
      <c r="E415" s="51">
        <f t="shared" si="104"/>
        <v>66468</v>
      </c>
      <c r="F415" s="52">
        <f t="shared" si="105"/>
        <v>165633</v>
      </c>
      <c r="G415" s="52">
        <f t="shared" si="106"/>
        <v>81130</v>
      </c>
      <c r="H415" s="53">
        <f t="shared" si="107"/>
        <v>84503</v>
      </c>
      <c r="I415" s="53">
        <f t="shared" si="108"/>
        <v>62452</v>
      </c>
      <c r="J415" s="53">
        <f t="shared" si="109"/>
        <v>66468</v>
      </c>
      <c r="K415" s="50">
        <f t="shared" si="110"/>
        <v>18678</v>
      </c>
      <c r="L415" s="51">
        <f t="shared" si="111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>
      <c r="A416" s="31" t="s">
        <v>220</v>
      </c>
      <c r="B416" s="1" t="s">
        <v>578</v>
      </c>
      <c r="C416" s="30" t="str">
        <f t="shared" si="112"/>
        <v>LA England - South Derbyshire</v>
      </c>
      <c r="D416" s="51">
        <f t="shared" si="103"/>
        <v>42386</v>
      </c>
      <c r="E416" s="51">
        <f t="shared" si="104"/>
        <v>45156</v>
      </c>
      <c r="F416" s="52">
        <f t="shared" si="105"/>
        <v>111133</v>
      </c>
      <c r="G416" s="52">
        <f t="shared" si="106"/>
        <v>54368</v>
      </c>
      <c r="H416" s="53">
        <f t="shared" si="107"/>
        <v>56765</v>
      </c>
      <c r="I416" s="53">
        <f t="shared" si="108"/>
        <v>42386</v>
      </c>
      <c r="J416" s="53">
        <f t="shared" si="109"/>
        <v>45156</v>
      </c>
      <c r="K416" s="50">
        <f t="shared" si="110"/>
        <v>11982</v>
      </c>
      <c r="L416" s="51">
        <f t="shared" si="111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>
      <c r="A417" s="31" t="s">
        <v>220</v>
      </c>
      <c r="B417" s="1" t="s">
        <v>579</v>
      </c>
      <c r="C417" s="30" t="str">
        <f t="shared" si="112"/>
        <v>LA England - South Gloucestershire</v>
      </c>
      <c r="D417" s="51">
        <f t="shared" si="103"/>
        <v>115036</v>
      </c>
      <c r="E417" s="51">
        <f t="shared" si="104"/>
        <v>119572</v>
      </c>
      <c r="F417" s="52">
        <f t="shared" si="105"/>
        <v>294765</v>
      </c>
      <c r="G417" s="52">
        <f t="shared" si="106"/>
        <v>145963</v>
      </c>
      <c r="H417" s="53">
        <f t="shared" si="107"/>
        <v>148802</v>
      </c>
      <c r="I417" s="53">
        <f t="shared" si="108"/>
        <v>115036</v>
      </c>
      <c r="J417" s="53">
        <f t="shared" si="109"/>
        <v>119572</v>
      </c>
      <c r="K417" s="50">
        <f t="shared" si="110"/>
        <v>30927</v>
      </c>
      <c r="L417" s="51">
        <f t="shared" si="111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>
      <c r="A418" s="31" t="s">
        <v>220</v>
      </c>
      <c r="B418" s="1" t="s">
        <v>580</v>
      </c>
      <c r="C418" s="30" t="str">
        <f t="shared" si="112"/>
        <v>LA England - South Hams</v>
      </c>
      <c r="D418" s="51">
        <f t="shared" si="103"/>
        <v>35333</v>
      </c>
      <c r="E418" s="51">
        <f t="shared" si="104"/>
        <v>38702</v>
      </c>
      <c r="F418" s="52">
        <f t="shared" si="105"/>
        <v>89812</v>
      </c>
      <c r="G418" s="52">
        <f t="shared" si="106"/>
        <v>43356</v>
      </c>
      <c r="H418" s="53">
        <f t="shared" si="107"/>
        <v>46456</v>
      </c>
      <c r="I418" s="53">
        <f t="shared" si="108"/>
        <v>35333</v>
      </c>
      <c r="J418" s="53">
        <f t="shared" si="109"/>
        <v>38702</v>
      </c>
      <c r="K418" s="50">
        <f t="shared" si="110"/>
        <v>8023</v>
      </c>
      <c r="L418" s="51">
        <f t="shared" si="111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>
      <c r="A419" s="31" t="s">
        <v>220</v>
      </c>
      <c r="B419" s="1" t="s">
        <v>581</v>
      </c>
      <c r="C419" s="30" t="str">
        <f t="shared" si="112"/>
        <v>LA England - South Holland</v>
      </c>
      <c r="D419" s="51">
        <f t="shared" si="103"/>
        <v>38009</v>
      </c>
      <c r="E419" s="51">
        <f t="shared" si="104"/>
        <v>40343</v>
      </c>
      <c r="F419" s="52">
        <f t="shared" si="105"/>
        <v>96983</v>
      </c>
      <c r="G419" s="52">
        <f t="shared" si="106"/>
        <v>47572</v>
      </c>
      <c r="H419" s="53">
        <f t="shared" si="107"/>
        <v>49411</v>
      </c>
      <c r="I419" s="53">
        <f t="shared" si="108"/>
        <v>38009</v>
      </c>
      <c r="J419" s="53">
        <f t="shared" si="109"/>
        <v>40343</v>
      </c>
      <c r="K419" s="50">
        <f t="shared" si="110"/>
        <v>9563</v>
      </c>
      <c r="L419" s="51">
        <f t="shared" si="111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>
      <c r="A420" s="31" t="s">
        <v>220</v>
      </c>
      <c r="B420" s="1" t="s">
        <v>582</v>
      </c>
      <c r="C420" s="30" t="str">
        <f t="shared" si="112"/>
        <v>LA England - South Kesteven</v>
      </c>
      <c r="D420" s="51">
        <f t="shared" si="103"/>
        <v>55210</v>
      </c>
      <c r="E420" s="51">
        <f t="shared" si="104"/>
        <v>60301</v>
      </c>
      <c r="F420" s="52">
        <f t="shared" si="105"/>
        <v>144249</v>
      </c>
      <c r="G420" s="52">
        <f t="shared" si="106"/>
        <v>69829</v>
      </c>
      <c r="H420" s="53">
        <f t="shared" si="107"/>
        <v>74420</v>
      </c>
      <c r="I420" s="53">
        <f t="shared" si="108"/>
        <v>55210</v>
      </c>
      <c r="J420" s="53">
        <f t="shared" si="109"/>
        <v>60301</v>
      </c>
      <c r="K420" s="50">
        <f t="shared" si="110"/>
        <v>14619</v>
      </c>
      <c r="L420" s="51">
        <f t="shared" si="111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>
      <c r="A421" s="31" t="s">
        <v>220</v>
      </c>
      <c r="B421" s="1" t="s">
        <v>583</v>
      </c>
      <c r="C421" s="30" t="str">
        <f t="shared" si="112"/>
        <v>LA England - South Norfolk</v>
      </c>
      <c r="D421" s="51">
        <f t="shared" si="103"/>
        <v>55945</v>
      </c>
      <c r="E421" s="51">
        <f t="shared" si="104"/>
        <v>60231</v>
      </c>
      <c r="F421" s="52">
        <f t="shared" si="105"/>
        <v>144593</v>
      </c>
      <c r="G421" s="52">
        <f t="shared" si="106"/>
        <v>70458</v>
      </c>
      <c r="H421" s="53">
        <f t="shared" si="107"/>
        <v>74135</v>
      </c>
      <c r="I421" s="53">
        <f t="shared" si="108"/>
        <v>55945</v>
      </c>
      <c r="J421" s="53">
        <f t="shared" si="109"/>
        <v>60231</v>
      </c>
      <c r="K421" s="50">
        <f t="shared" si="110"/>
        <v>14513</v>
      </c>
      <c r="L421" s="51">
        <f t="shared" si="111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>
      <c r="A422" s="31" t="s">
        <v>220</v>
      </c>
      <c r="B422" s="1" t="s">
        <v>584</v>
      </c>
      <c r="C422" s="30" t="str">
        <f t="shared" si="112"/>
        <v>LA England - South Oxfordshire</v>
      </c>
      <c r="D422" s="51">
        <f t="shared" si="103"/>
        <v>58831</v>
      </c>
      <c r="E422" s="51">
        <f t="shared" si="104"/>
        <v>61584</v>
      </c>
      <c r="F422" s="52">
        <f t="shared" si="105"/>
        <v>151820</v>
      </c>
      <c r="G422" s="52">
        <f t="shared" si="106"/>
        <v>74852</v>
      </c>
      <c r="H422" s="53">
        <f t="shared" si="107"/>
        <v>76968</v>
      </c>
      <c r="I422" s="53">
        <f t="shared" si="108"/>
        <v>58831</v>
      </c>
      <c r="J422" s="53">
        <f t="shared" si="109"/>
        <v>61584</v>
      </c>
      <c r="K422" s="50">
        <f t="shared" si="110"/>
        <v>16021</v>
      </c>
      <c r="L422" s="51">
        <f t="shared" si="111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>
      <c r="A423" s="31" t="s">
        <v>220</v>
      </c>
      <c r="B423" s="1" t="s">
        <v>585</v>
      </c>
      <c r="C423" s="30" t="str">
        <f t="shared" si="112"/>
        <v>LA England - South Ribble</v>
      </c>
      <c r="D423" s="51">
        <f t="shared" si="103"/>
        <v>43597</v>
      </c>
      <c r="E423" s="51">
        <f t="shared" si="104"/>
        <v>46503</v>
      </c>
      <c r="F423" s="52">
        <f t="shared" si="105"/>
        <v>112166</v>
      </c>
      <c r="G423" s="52">
        <f t="shared" si="106"/>
        <v>54874</v>
      </c>
      <c r="H423" s="53">
        <f t="shared" si="107"/>
        <v>57292</v>
      </c>
      <c r="I423" s="53">
        <f t="shared" si="108"/>
        <v>43597</v>
      </c>
      <c r="J423" s="53">
        <f t="shared" si="109"/>
        <v>46503</v>
      </c>
      <c r="K423" s="50">
        <f t="shared" si="110"/>
        <v>11277</v>
      </c>
      <c r="L423" s="51">
        <f t="shared" si="111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>
      <c r="A424" s="31" t="s">
        <v>220</v>
      </c>
      <c r="B424" s="1" t="s">
        <v>586</v>
      </c>
      <c r="C424" s="30" t="str">
        <f t="shared" si="112"/>
        <v>LA England - South Staffordshire</v>
      </c>
      <c r="D424" s="51">
        <f t="shared" si="103"/>
        <v>45750</v>
      </c>
      <c r="E424" s="51">
        <f t="shared" si="104"/>
        <v>46074</v>
      </c>
      <c r="F424" s="52">
        <f t="shared" si="105"/>
        <v>111527</v>
      </c>
      <c r="G424" s="52">
        <f t="shared" si="106"/>
        <v>55746</v>
      </c>
      <c r="H424" s="53">
        <f t="shared" si="107"/>
        <v>55781</v>
      </c>
      <c r="I424" s="53">
        <f t="shared" si="108"/>
        <v>45750</v>
      </c>
      <c r="J424" s="53">
        <f t="shared" si="109"/>
        <v>46074</v>
      </c>
      <c r="K424" s="50">
        <f t="shared" si="110"/>
        <v>9996</v>
      </c>
      <c r="L424" s="51">
        <f t="shared" si="111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>
      <c r="A425" s="31" t="s">
        <v>220</v>
      </c>
      <c r="B425" s="1" t="s">
        <v>587</v>
      </c>
      <c r="C425" s="30" t="str">
        <f t="shared" si="112"/>
        <v>LA England - South Tyneside</v>
      </c>
      <c r="D425" s="51">
        <f t="shared" si="103"/>
        <v>56904</v>
      </c>
      <c r="E425" s="51">
        <f t="shared" si="104"/>
        <v>61816</v>
      </c>
      <c r="F425" s="52">
        <f t="shared" si="105"/>
        <v>148667</v>
      </c>
      <c r="G425" s="52">
        <f t="shared" si="106"/>
        <v>72355</v>
      </c>
      <c r="H425" s="53">
        <f t="shared" si="107"/>
        <v>76312</v>
      </c>
      <c r="I425" s="53">
        <f t="shared" si="108"/>
        <v>56904</v>
      </c>
      <c r="J425" s="53">
        <f t="shared" si="109"/>
        <v>61816</v>
      </c>
      <c r="K425" s="50">
        <f t="shared" si="110"/>
        <v>15451</v>
      </c>
      <c r="L425" s="51">
        <f t="shared" si="111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>
      <c r="A426" s="31" t="s">
        <v>220</v>
      </c>
      <c r="B426" s="1" t="s">
        <v>588</v>
      </c>
      <c r="C426" s="30" t="str">
        <f t="shared" si="112"/>
        <v>LA England - Southampton</v>
      </c>
      <c r="D426" s="51">
        <f t="shared" si="103"/>
        <v>100951</v>
      </c>
      <c r="E426" s="51">
        <f t="shared" si="104"/>
        <v>101874</v>
      </c>
      <c r="F426" s="52">
        <f t="shared" si="105"/>
        <v>252689</v>
      </c>
      <c r="G426" s="52">
        <f t="shared" si="106"/>
        <v>126412</v>
      </c>
      <c r="H426" s="53">
        <f t="shared" si="107"/>
        <v>126277</v>
      </c>
      <c r="I426" s="53">
        <f t="shared" si="108"/>
        <v>100951</v>
      </c>
      <c r="J426" s="53">
        <f t="shared" si="109"/>
        <v>101874</v>
      </c>
      <c r="K426" s="50">
        <f t="shared" si="110"/>
        <v>25461</v>
      </c>
      <c r="L426" s="51">
        <f t="shared" si="111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>
      <c r="A427" s="31" t="s">
        <v>220</v>
      </c>
      <c r="B427" s="1" t="s">
        <v>589</v>
      </c>
      <c r="C427" s="30" t="str">
        <f t="shared" si="112"/>
        <v>LA England - Southend-on-Sea</v>
      </c>
      <c r="D427" s="51">
        <f t="shared" si="103"/>
        <v>68646</v>
      </c>
      <c r="E427" s="51">
        <f t="shared" si="104"/>
        <v>73948</v>
      </c>
      <c r="F427" s="52">
        <f t="shared" si="105"/>
        <v>180915</v>
      </c>
      <c r="G427" s="52">
        <f t="shared" si="106"/>
        <v>88198</v>
      </c>
      <c r="H427" s="53">
        <f t="shared" si="107"/>
        <v>92717</v>
      </c>
      <c r="I427" s="53">
        <f t="shared" si="108"/>
        <v>68646</v>
      </c>
      <c r="J427" s="53">
        <f t="shared" si="109"/>
        <v>73948</v>
      </c>
      <c r="K427" s="50">
        <f t="shared" si="110"/>
        <v>19552</v>
      </c>
      <c r="L427" s="51">
        <f t="shared" si="111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>
      <c r="A428" s="31" t="s">
        <v>220</v>
      </c>
      <c r="B428" s="1" t="s">
        <v>590</v>
      </c>
      <c r="C428" s="30" t="str">
        <f t="shared" si="112"/>
        <v>LA England - Southwark</v>
      </c>
      <c r="D428" s="51">
        <f t="shared" si="103"/>
        <v>122213</v>
      </c>
      <c r="E428" s="51">
        <f t="shared" si="104"/>
        <v>132671</v>
      </c>
      <c r="F428" s="52">
        <f t="shared" si="105"/>
        <v>311913</v>
      </c>
      <c r="G428" s="52">
        <f t="shared" si="106"/>
        <v>151277</v>
      </c>
      <c r="H428" s="53">
        <f t="shared" si="107"/>
        <v>160636</v>
      </c>
      <c r="I428" s="53">
        <f t="shared" si="108"/>
        <v>122213</v>
      </c>
      <c r="J428" s="53">
        <f t="shared" si="109"/>
        <v>132671</v>
      </c>
      <c r="K428" s="50">
        <f t="shared" si="110"/>
        <v>29064</v>
      </c>
      <c r="L428" s="51">
        <f t="shared" si="111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>
      <c r="A429" s="31" t="s">
        <v>220</v>
      </c>
      <c r="B429" s="1" t="s">
        <v>591</v>
      </c>
      <c r="C429" s="30" t="str">
        <f t="shared" si="112"/>
        <v>LA England - Spelthorne</v>
      </c>
      <c r="D429" s="51">
        <f t="shared" si="103"/>
        <v>39462</v>
      </c>
      <c r="E429" s="51">
        <f t="shared" si="104"/>
        <v>41979</v>
      </c>
      <c r="F429" s="52">
        <f t="shared" si="105"/>
        <v>103551</v>
      </c>
      <c r="G429" s="52">
        <f t="shared" si="106"/>
        <v>50846</v>
      </c>
      <c r="H429" s="53">
        <f t="shared" si="107"/>
        <v>52705</v>
      </c>
      <c r="I429" s="53">
        <f t="shared" si="108"/>
        <v>39462</v>
      </c>
      <c r="J429" s="53">
        <f t="shared" si="109"/>
        <v>41979</v>
      </c>
      <c r="K429" s="50">
        <f t="shared" si="110"/>
        <v>11384</v>
      </c>
      <c r="L429" s="51">
        <f t="shared" si="111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>
      <c r="A430" s="31" t="s">
        <v>220</v>
      </c>
      <c r="B430" s="1" t="s">
        <v>592</v>
      </c>
      <c r="C430" s="30" t="str">
        <f t="shared" si="112"/>
        <v>LA England - St Albans</v>
      </c>
      <c r="D430" s="51">
        <f t="shared" si="103"/>
        <v>53988</v>
      </c>
      <c r="E430" s="51">
        <f t="shared" si="104"/>
        <v>58356</v>
      </c>
      <c r="F430" s="52">
        <f t="shared" si="105"/>
        <v>148358</v>
      </c>
      <c r="G430" s="52">
        <f t="shared" si="106"/>
        <v>72473</v>
      </c>
      <c r="H430" s="53">
        <f t="shared" si="107"/>
        <v>75885</v>
      </c>
      <c r="I430" s="53">
        <f t="shared" si="108"/>
        <v>53988</v>
      </c>
      <c r="J430" s="53">
        <f t="shared" si="109"/>
        <v>58356</v>
      </c>
      <c r="K430" s="50">
        <f t="shared" si="110"/>
        <v>18485</v>
      </c>
      <c r="L430" s="51">
        <f t="shared" si="111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>
      <c r="A431" s="31" t="s">
        <v>220</v>
      </c>
      <c r="B431" s="1" t="s">
        <v>593</v>
      </c>
      <c r="C431" s="30" t="str">
        <f t="shared" si="112"/>
        <v>LA England - St. Helens</v>
      </c>
      <c r="D431" s="51">
        <f t="shared" si="103"/>
        <v>71708</v>
      </c>
      <c r="E431" s="51">
        <f t="shared" si="104"/>
        <v>76120</v>
      </c>
      <c r="F431" s="52">
        <f t="shared" si="105"/>
        <v>184728</v>
      </c>
      <c r="G431" s="52">
        <f t="shared" si="106"/>
        <v>90663</v>
      </c>
      <c r="H431" s="53">
        <f t="shared" si="107"/>
        <v>94065</v>
      </c>
      <c r="I431" s="53">
        <f t="shared" si="108"/>
        <v>71708</v>
      </c>
      <c r="J431" s="53">
        <f t="shared" si="109"/>
        <v>76120</v>
      </c>
      <c r="K431" s="50">
        <f t="shared" si="110"/>
        <v>18955</v>
      </c>
      <c r="L431" s="51">
        <f t="shared" si="111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>
      <c r="A432" s="31" t="s">
        <v>220</v>
      </c>
      <c r="B432" s="1" t="s">
        <v>594</v>
      </c>
      <c r="C432" s="30" t="str">
        <f t="shared" si="112"/>
        <v>LA England - Stafford</v>
      </c>
      <c r="D432" s="51">
        <f t="shared" si="103"/>
        <v>54925</v>
      </c>
      <c r="E432" s="51">
        <f t="shared" si="104"/>
        <v>57357</v>
      </c>
      <c r="F432" s="52">
        <f t="shared" si="105"/>
        <v>138670</v>
      </c>
      <c r="G432" s="52">
        <f t="shared" si="106"/>
        <v>68380</v>
      </c>
      <c r="H432" s="53">
        <f t="shared" si="107"/>
        <v>70290</v>
      </c>
      <c r="I432" s="53">
        <f t="shared" si="108"/>
        <v>54925</v>
      </c>
      <c r="J432" s="53">
        <f t="shared" si="109"/>
        <v>57357</v>
      </c>
      <c r="K432" s="50">
        <f t="shared" si="110"/>
        <v>13455</v>
      </c>
      <c r="L432" s="51">
        <f t="shared" si="111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>
      <c r="A433" s="31" t="s">
        <v>220</v>
      </c>
      <c r="B433" s="1" t="s">
        <v>595</v>
      </c>
      <c r="C433" s="30" t="str">
        <f t="shared" si="112"/>
        <v>LA England - Staffordshire Moorlands</v>
      </c>
      <c r="D433" s="51">
        <f t="shared" si="103"/>
        <v>38487</v>
      </c>
      <c r="E433" s="51">
        <f t="shared" si="104"/>
        <v>40418</v>
      </c>
      <c r="F433" s="52">
        <f t="shared" si="105"/>
        <v>95899</v>
      </c>
      <c r="G433" s="52">
        <f t="shared" si="106"/>
        <v>47233</v>
      </c>
      <c r="H433" s="53">
        <f t="shared" si="107"/>
        <v>48666</v>
      </c>
      <c r="I433" s="53">
        <f t="shared" si="108"/>
        <v>38487</v>
      </c>
      <c r="J433" s="53">
        <f t="shared" si="109"/>
        <v>40418</v>
      </c>
      <c r="K433" s="50">
        <f t="shared" si="110"/>
        <v>8746</v>
      </c>
      <c r="L433" s="51">
        <f t="shared" si="111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>
      <c r="A434" s="31" t="s">
        <v>220</v>
      </c>
      <c r="B434" s="1" t="s">
        <v>596</v>
      </c>
      <c r="C434" s="30" t="str">
        <f t="shared" si="112"/>
        <v>LA England - Stevenage</v>
      </c>
      <c r="D434" s="51">
        <f t="shared" si="103"/>
        <v>33692</v>
      </c>
      <c r="E434" s="51">
        <f t="shared" si="104"/>
        <v>35549</v>
      </c>
      <c r="F434" s="52">
        <f t="shared" si="105"/>
        <v>89737</v>
      </c>
      <c r="G434" s="52">
        <f t="shared" si="106"/>
        <v>44356</v>
      </c>
      <c r="H434" s="53">
        <f t="shared" si="107"/>
        <v>45381</v>
      </c>
      <c r="I434" s="53">
        <f t="shared" si="108"/>
        <v>33692</v>
      </c>
      <c r="J434" s="53">
        <f t="shared" si="109"/>
        <v>35549</v>
      </c>
      <c r="K434" s="50">
        <f t="shared" si="110"/>
        <v>10664</v>
      </c>
      <c r="L434" s="51">
        <f t="shared" si="111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>
      <c r="A435" s="31" t="s">
        <v>220</v>
      </c>
      <c r="B435" s="1" t="s">
        <v>597</v>
      </c>
      <c r="C435" s="30" t="str">
        <f t="shared" si="112"/>
        <v>LA England - Stockport</v>
      </c>
      <c r="D435" s="51">
        <f t="shared" si="103"/>
        <v>112123</v>
      </c>
      <c r="E435" s="51">
        <f t="shared" si="104"/>
        <v>121529</v>
      </c>
      <c r="F435" s="52">
        <f t="shared" si="105"/>
        <v>297107</v>
      </c>
      <c r="G435" s="52">
        <f t="shared" si="106"/>
        <v>144724</v>
      </c>
      <c r="H435" s="53">
        <f t="shared" si="107"/>
        <v>152383</v>
      </c>
      <c r="I435" s="53">
        <f t="shared" si="108"/>
        <v>112123</v>
      </c>
      <c r="J435" s="53">
        <f t="shared" si="109"/>
        <v>121529</v>
      </c>
      <c r="K435" s="50">
        <f t="shared" si="110"/>
        <v>32601</v>
      </c>
      <c r="L435" s="51">
        <f t="shared" si="111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>
      <c r="A436" s="31" t="s">
        <v>220</v>
      </c>
      <c r="B436" s="1" t="s">
        <v>598</v>
      </c>
      <c r="C436" s="30" t="str">
        <f t="shared" si="112"/>
        <v>LA England - Stockton-on-Tees</v>
      </c>
      <c r="D436" s="51">
        <f t="shared" si="103"/>
        <v>76156</v>
      </c>
      <c r="E436" s="51">
        <f t="shared" si="104"/>
        <v>80008</v>
      </c>
      <c r="F436" s="52">
        <f t="shared" si="105"/>
        <v>199966</v>
      </c>
      <c r="G436" s="52">
        <f t="shared" si="106"/>
        <v>98511</v>
      </c>
      <c r="H436" s="53">
        <f t="shared" si="107"/>
        <v>101455</v>
      </c>
      <c r="I436" s="53">
        <f t="shared" si="108"/>
        <v>76156</v>
      </c>
      <c r="J436" s="53">
        <f t="shared" si="109"/>
        <v>80008</v>
      </c>
      <c r="K436" s="50">
        <f t="shared" si="110"/>
        <v>22355</v>
      </c>
      <c r="L436" s="51">
        <f t="shared" si="111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>
      <c r="A437" s="31" t="s">
        <v>220</v>
      </c>
      <c r="B437" s="1" t="s">
        <v>599</v>
      </c>
      <c r="C437" s="30" t="str">
        <f t="shared" si="112"/>
        <v>LA England - Stoke-on-Trent</v>
      </c>
      <c r="D437" s="51">
        <f t="shared" si="103"/>
        <v>99573</v>
      </c>
      <c r="E437" s="51">
        <f t="shared" si="104"/>
        <v>101147</v>
      </c>
      <c r="F437" s="52">
        <f t="shared" si="105"/>
        <v>259965</v>
      </c>
      <c r="G437" s="52">
        <f t="shared" si="106"/>
        <v>129616</v>
      </c>
      <c r="H437" s="53">
        <f t="shared" si="107"/>
        <v>130349</v>
      </c>
      <c r="I437" s="53">
        <f t="shared" si="108"/>
        <v>99573</v>
      </c>
      <c r="J437" s="53">
        <f t="shared" si="109"/>
        <v>101147</v>
      </c>
      <c r="K437" s="50">
        <f t="shared" si="110"/>
        <v>30043</v>
      </c>
      <c r="L437" s="51">
        <f t="shared" si="111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>
      <c r="A438" s="31" t="s">
        <v>220</v>
      </c>
      <c r="B438" s="1" t="s">
        <v>600</v>
      </c>
      <c r="C438" s="30" t="str">
        <f t="shared" si="112"/>
        <v>LA England - Stratford-on-Avon</v>
      </c>
      <c r="D438" s="51">
        <f t="shared" si="103"/>
        <v>54171</v>
      </c>
      <c r="E438" s="51">
        <f t="shared" si="104"/>
        <v>58699</v>
      </c>
      <c r="F438" s="52">
        <f t="shared" si="105"/>
        <v>138583</v>
      </c>
      <c r="G438" s="52">
        <f t="shared" si="106"/>
        <v>67296</v>
      </c>
      <c r="H438" s="53">
        <f t="shared" si="107"/>
        <v>71287</v>
      </c>
      <c r="I438" s="53">
        <f t="shared" si="108"/>
        <v>54171</v>
      </c>
      <c r="J438" s="53">
        <f t="shared" si="109"/>
        <v>58699</v>
      </c>
      <c r="K438" s="50">
        <f t="shared" si="110"/>
        <v>13125</v>
      </c>
      <c r="L438" s="51">
        <f t="shared" si="111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>
      <c r="A439" s="31" t="s">
        <v>220</v>
      </c>
      <c r="B439" s="1" t="s">
        <v>601</v>
      </c>
      <c r="C439" s="30" t="str">
        <f t="shared" si="112"/>
        <v>LA England - Stroud</v>
      </c>
      <c r="D439" s="51">
        <f t="shared" si="103"/>
        <v>47896</v>
      </c>
      <c r="E439" s="51">
        <f t="shared" si="104"/>
        <v>51332</v>
      </c>
      <c r="F439" s="52">
        <f t="shared" si="105"/>
        <v>123205</v>
      </c>
      <c r="G439" s="52">
        <f t="shared" si="106"/>
        <v>60231</v>
      </c>
      <c r="H439" s="53">
        <f t="shared" si="107"/>
        <v>62974</v>
      </c>
      <c r="I439" s="53">
        <f t="shared" si="108"/>
        <v>47896</v>
      </c>
      <c r="J439" s="53">
        <f t="shared" si="109"/>
        <v>51332</v>
      </c>
      <c r="K439" s="50">
        <f t="shared" si="110"/>
        <v>12335</v>
      </c>
      <c r="L439" s="51">
        <f t="shared" si="111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>
      <c r="A440" s="31" t="s">
        <v>220</v>
      </c>
      <c r="B440" s="1" t="s">
        <v>602</v>
      </c>
      <c r="C440" s="30" t="str">
        <f t="shared" si="112"/>
        <v>LA England - Sunderland</v>
      </c>
      <c r="D440" s="51">
        <f t="shared" si="103"/>
        <v>106856</v>
      </c>
      <c r="E440" s="51">
        <f t="shared" si="104"/>
        <v>115417</v>
      </c>
      <c r="F440" s="52">
        <f t="shared" si="105"/>
        <v>277354</v>
      </c>
      <c r="G440" s="52">
        <f t="shared" si="106"/>
        <v>135038</v>
      </c>
      <c r="H440" s="53">
        <f t="shared" si="107"/>
        <v>142316</v>
      </c>
      <c r="I440" s="53">
        <f t="shared" si="108"/>
        <v>106856</v>
      </c>
      <c r="J440" s="53">
        <f t="shared" si="109"/>
        <v>115417</v>
      </c>
      <c r="K440" s="50">
        <f t="shared" si="110"/>
        <v>28182</v>
      </c>
      <c r="L440" s="51">
        <f t="shared" si="111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>
      <c r="A441" s="31" t="s">
        <v>220</v>
      </c>
      <c r="B441" s="1" t="s">
        <v>603</v>
      </c>
      <c r="C441" s="30" t="str">
        <f t="shared" si="112"/>
        <v>LA England - Surrey Heath</v>
      </c>
      <c r="D441" s="51">
        <f t="shared" si="103"/>
        <v>35098</v>
      </c>
      <c r="E441" s="51">
        <f t="shared" si="104"/>
        <v>37088</v>
      </c>
      <c r="F441" s="52">
        <f t="shared" si="105"/>
        <v>91237</v>
      </c>
      <c r="G441" s="52">
        <f t="shared" si="106"/>
        <v>44936</v>
      </c>
      <c r="H441" s="53">
        <f t="shared" si="107"/>
        <v>46301</v>
      </c>
      <c r="I441" s="53">
        <f t="shared" si="108"/>
        <v>35098</v>
      </c>
      <c r="J441" s="53">
        <f t="shared" si="109"/>
        <v>37088</v>
      </c>
      <c r="K441" s="50">
        <f t="shared" si="110"/>
        <v>9838</v>
      </c>
      <c r="L441" s="51">
        <f t="shared" si="111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>
      <c r="A442" s="31" t="s">
        <v>220</v>
      </c>
      <c r="B442" s="1" t="s">
        <v>604</v>
      </c>
      <c r="C442" s="30" t="str">
        <f t="shared" si="112"/>
        <v>LA England - Sutton</v>
      </c>
      <c r="D442" s="51">
        <f t="shared" si="103"/>
        <v>76298</v>
      </c>
      <c r="E442" s="51">
        <f t="shared" si="104"/>
        <v>84273</v>
      </c>
      <c r="F442" s="52">
        <f t="shared" si="105"/>
        <v>210053</v>
      </c>
      <c r="G442" s="52">
        <f t="shared" si="106"/>
        <v>101742</v>
      </c>
      <c r="H442" s="53">
        <f t="shared" si="107"/>
        <v>108311</v>
      </c>
      <c r="I442" s="53">
        <f t="shared" si="108"/>
        <v>76298</v>
      </c>
      <c r="J442" s="53">
        <f t="shared" si="109"/>
        <v>84273</v>
      </c>
      <c r="K442" s="50">
        <f t="shared" si="110"/>
        <v>25444</v>
      </c>
      <c r="L442" s="51">
        <f t="shared" si="111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>
      <c r="A443" s="31" t="s">
        <v>220</v>
      </c>
      <c r="B443" s="1" t="s">
        <v>605</v>
      </c>
      <c r="C443" s="30" t="str">
        <f t="shared" si="112"/>
        <v>LA England - Swale</v>
      </c>
      <c r="D443" s="51">
        <f t="shared" si="103"/>
        <v>59250</v>
      </c>
      <c r="E443" s="51">
        <f t="shared" si="104"/>
        <v>61367</v>
      </c>
      <c r="F443" s="52">
        <f t="shared" si="105"/>
        <v>154619</v>
      </c>
      <c r="G443" s="52">
        <f t="shared" si="106"/>
        <v>76731</v>
      </c>
      <c r="H443" s="53">
        <f t="shared" si="107"/>
        <v>77888</v>
      </c>
      <c r="I443" s="53">
        <f t="shared" si="108"/>
        <v>59250</v>
      </c>
      <c r="J443" s="53">
        <f t="shared" si="109"/>
        <v>61367</v>
      </c>
      <c r="K443" s="50">
        <f t="shared" si="110"/>
        <v>17481</v>
      </c>
      <c r="L443" s="51">
        <f t="shared" si="111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>
      <c r="A444" s="31" t="s">
        <v>220</v>
      </c>
      <c r="B444" s="1" t="s">
        <v>606</v>
      </c>
      <c r="C444" s="30" t="str">
        <f t="shared" si="112"/>
        <v>LA England - Swindon</v>
      </c>
      <c r="D444" s="51">
        <f t="shared" si="103"/>
        <v>90470</v>
      </c>
      <c r="E444" s="51">
        <f t="shared" si="104"/>
        <v>92993</v>
      </c>
      <c r="F444" s="52">
        <f t="shared" si="105"/>
        <v>235657</v>
      </c>
      <c r="G444" s="52">
        <f t="shared" si="106"/>
        <v>117144</v>
      </c>
      <c r="H444" s="53">
        <f t="shared" si="107"/>
        <v>118513</v>
      </c>
      <c r="I444" s="53">
        <f t="shared" si="108"/>
        <v>90470</v>
      </c>
      <c r="J444" s="53">
        <f t="shared" si="109"/>
        <v>92993</v>
      </c>
      <c r="K444" s="50">
        <f t="shared" si="110"/>
        <v>26674</v>
      </c>
      <c r="L444" s="51">
        <f t="shared" si="111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>
      <c r="A445" s="31" t="s">
        <v>220</v>
      </c>
      <c r="B445" s="1" t="s">
        <v>607</v>
      </c>
      <c r="C445" s="30" t="str">
        <f t="shared" si="112"/>
        <v>LA England - Tameside</v>
      </c>
      <c r="D445" s="51">
        <f t="shared" si="103"/>
        <v>87749</v>
      </c>
      <c r="E445" s="51">
        <f t="shared" si="104"/>
        <v>93356</v>
      </c>
      <c r="F445" s="52">
        <f t="shared" si="105"/>
        <v>232753</v>
      </c>
      <c r="G445" s="52">
        <f t="shared" si="106"/>
        <v>114289</v>
      </c>
      <c r="H445" s="53">
        <f t="shared" si="107"/>
        <v>118464</v>
      </c>
      <c r="I445" s="53">
        <f t="shared" si="108"/>
        <v>87749</v>
      </c>
      <c r="J445" s="53">
        <f t="shared" si="109"/>
        <v>93356</v>
      </c>
      <c r="K445" s="50">
        <f t="shared" si="110"/>
        <v>26540</v>
      </c>
      <c r="L445" s="51">
        <f t="shared" si="111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>
      <c r="A446" s="31" t="s">
        <v>220</v>
      </c>
      <c r="B446" s="1" t="s">
        <v>608</v>
      </c>
      <c r="C446" s="30" t="str">
        <f t="shared" si="112"/>
        <v>LA England - Tamworth</v>
      </c>
      <c r="D446" s="51">
        <f t="shared" si="103"/>
        <v>30375</v>
      </c>
      <c r="E446" s="51">
        <f t="shared" si="104"/>
        <v>32366</v>
      </c>
      <c r="F446" s="52">
        <f t="shared" si="105"/>
        <v>79639</v>
      </c>
      <c r="G446" s="52">
        <f t="shared" si="106"/>
        <v>39099</v>
      </c>
      <c r="H446" s="53">
        <f t="shared" si="107"/>
        <v>40540</v>
      </c>
      <c r="I446" s="53">
        <f t="shared" si="108"/>
        <v>30375</v>
      </c>
      <c r="J446" s="53">
        <f t="shared" si="109"/>
        <v>32366</v>
      </c>
      <c r="K446" s="50">
        <f t="shared" si="110"/>
        <v>8724</v>
      </c>
      <c r="L446" s="51">
        <f t="shared" si="111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>
      <c r="A447" s="31" t="s">
        <v>220</v>
      </c>
      <c r="B447" s="1" t="s">
        <v>609</v>
      </c>
      <c r="C447" s="30" t="str">
        <f t="shared" si="112"/>
        <v>LA England - Tandridge</v>
      </c>
      <c r="D447" s="51">
        <f t="shared" si="103"/>
        <v>32937</v>
      </c>
      <c r="E447" s="51">
        <f t="shared" si="104"/>
        <v>36216</v>
      </c>
      <c r="F447" s="52">
        <f t="shared" si="105"/>
        <v>88707</v>
      </c>
      <c r="G447" s="52">
        <f t="shared" si="106"/>
        <v>42751</v>
      </c>
      <c r="H447" s="53">
        <f t="shared" si="107"/>
        <v>45956</v>
      </c>
      <c r="I447" s="53">
        <f t="shared" si="108"/>
        <v>32937</v>
      </c>
      <c r="J447" s="53">
        <f t="shared" si="109"/>
        <v>36216</v>
      </c>
      <c r="K447" s="50">
        <f t="shared" si="110"/>
        <v>9814</v>
      </c>
      <c r="L447" s="51">
        <f t="shared" si="111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>
      <c r="A448" s="31" t="s">
        <v>220</v>
      </c>
      <c r="B448" s="1" t="s">
        <v>610</v>
      </c>
      <c r="C448" s="30" t="str">
        <f t="shared" si="112"/>
        <v>LA England - Teignbridge</v>
      </c>
      <c r="D448" s="51">
        <f t="shared" si="103"/>
        <v>53523</v>
      </c>
      <c r="E448" s="51">
        <f t="shared" si="104"/>
        <v>58246</v>
      </c>
      <c r="F448" s="52">
        <f t="shared" si="105"/>
        <v>135952</v>
      </c>
      <c r="G448" s="52">
        <f t="shared" si="106"/>
        <v>66022</v>
      </c>
      <c r="H448" s="53">
        <f t="shared" si="107"/>
        <v>69930</v>
      </c>
      <c r="I448" s="53">
        <f t="shared" si="108"/>
        <v>53523</v>
      </c>
      <c r="J448" s="53">
        <f t="shared" si="109"/>
        <v>58246</v>
      </c>
      <c r="K448" s="50">
        <f t="shared" si="110"/>
        <v>12499</v>
      </c>
      <c r="L448" s="51">
        <f t="shared" si="111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>
      <c r="A449" s="31" t="s">
        <v>220</v>
      </c>
      <c r="B449" s="1" t="s">
        <v>611</v>
      </c>
      <c r="C449" s="30" t="str">
        <f t="shared" si="112"/>
        <v>LA England - Telford and Wrekin</v>
      </c>
      <c r="D449" s="51">
        <f t="shared" si="103"/>
        <v>71191</v>
      </c>
      <c r="E449" s="51">
        <f t="shared" si="104"/>
        <v>75392</v>
      </c>
      <c r="F449" s="52">
        <f t="shared" si="105"/>
        <v>188871</v>
      </c>
      <c r="G449" s="52">
        <f t="shared" si="106"/>
        <v>92843</v>
      </c>
      <c r="H449" s="53">
        <f t="shared" si="107"/>
        <v>96028</v>
      </c>
      <c r="I449" s="53">
        <f t="shared" si="108"/>
        <v>71191</v>
      </c>
      <c r="J449" s="53">
        <f t="shared" si="109"/>
        <v>75392</v>
      </c>
      <c r="K449" s="50">
        <f t="shared" si="110"/>
        <v>21652</v>
      </c>
      <c r="L449" s="51">
        <f t="shared" si="111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>
      <c r="A450" s="31" t="s">
        <v>220</v>
      </c>
      <c r="B450" s="1" t="s">
        <v>612</v>
      </c>
      <c r="C450" s="30" t="str">
        <f t="shared" si="112"/>
        <v>LA England - Tendring</v>
      </c>
      <c r="D450" s="51">
        <f t="shared" si="103"/>
        <v>59275</v>
      </c>
      <c r="E450" s="51">
        <f t="shared" si="104"/>
        <v>65302</v>
      </c>
      <c r="F450" s="52">
        <f t="shared" si="105"/>
        <v>151451</v>
      </c>
      <c r="G450" s="52">
        <f t="shared" si="106"/>
        <v>72970</v>
      </c>
      <c r="H450" s="53">
        <f t="shared" si="107"/>
        <v>78481</v>
      </c>
      <c r="I450" s="53">
        <f t="shared" si="108"/>
        <v>59275</v>
      </c>
      <c r="J450" s="53">
        <f t="shared" si="109"/>
        <v>65302</v>
      </c>
      <c r="K450" s="50">
        <f t="shared" si="110"/>
        <v>13695</v>
      </c>
      <c r="L450" s="51">
        <f t="shared" si="111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>
      <c r="A451" s="31" t="s">
        <v>220</v>
      </c>
      <c r="B451" s="1" t="s">
        <v>613</v>
      </c>
      <c r="C451" s="30" t="str">
        <f t="shared" si="112"/>
        <v>LA England - Test Valley</v>
      </c>
      <c r="D451" s="51">
        <f t="shared" si="103"/>
        <v>51126</v>
      </c>
      <c r="E451" s="51">
        <f t="shared" si="104"/>
        <v>54565</v>
      </c>
      <c r="F451" s="52">
        <f t="shared" si="105"/>
        <v>132871</v>
      </c>
      <c r="G451" s="52">
        <f t="shared" si="106"/>
        <v>64891</v>
      </c>
      <c r="H451" s="53">
        <f t="shared" si="107"/>
        <v>67980</v>
      </c>
      <c r="I451" s="53">
        <f t="shared" si="108"/>
        <v>51126</v>
      </c>
      <c r="J451" s="53">
        <f t="shared" si="109"/>
        <v>54565</v>
      </c>
      <c r="K451" s="50">
        <f t="shared" si="110"/>
        <v>13765</v>
      </c>
      <c r="L451" s="51">
        <f t="shared" si="111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>
      <c r="A452" s="31" t="s">
        <v>220</v>
      </c>
      <c r="B452" s="1" t="s">
        <v>614</v>
      </c>
      <c r="C452" s="30" t="str">
        <f t="shared" si="112"/>
        <v>LA England - Tewkesbury</v>
      </c>
      <c r="D452" s="51">
        <f t="shared" si="103"/>
        <v>36746</v>
      </c>
      <c r="E452" s="51">
        <f t="shared" si="104"/>
        <v>40256</v>
      </c>
      <c r="F452" s="52">
        <f t="shared" si="105"/>
        <v>97000</v>
      </c>
      <c r="G452" s="52">
        <f t="shared" si="106"/>
        <v>47040</v>
      </c>
      <c r="H452" s="53">
        <f t="shared" si="107"/>
        <v>49960</v>
      </c>
      <c r="I452" s="53">
        <f t="shared" si="108"/>
        <v>36746</v>
      </c>
      <c r="J452" s="53">
        <f t="shared" si="109"/>
        <v>40256</v>
      </c>
      <c r="K452" s="50">
        <f t="shared" si="110"/>
        <v>10294</v>
      </c>
      <c r="L452" s="51">
        <f t="shared" si="111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>
      <c r="A453" s="31" t="s">
        <v>220</v>
      </c>
      <c r="B453" s="1" t="s">
        <v>615</v>
      </c>
      <c r="C453" s="30" t="str">
        <f t="shared" si="112"/>
        <v>LA England - Thanet</v>
      </c>
      <c r="D453" s="51">
        <f t="shared" si="103"/>
        <v>52906</v>
      </c>
      <c r="E453" s="51">
        <f t="shared" si="104"/>
        <v>59428</v>
      </c>
      <c r="F453" s="52">
        <f t="shared" si="105"/>
        <v>140689</v>
      </c>
      <c r="G453" s="52">
        <f t="shared" si="106"/>
        <v>67694</v>
      </c>
      <c r="H453" s="53">
        <f t="shared" si="107"/>
        <v>72995</v>
      </c>
      <c r="I453" s="53">
        <f t="shared" si="108"/>
        <v>52906</v>
      </c>
      <c r="J453" s="53">
        <f t="shared" si="109"/>
        <v>59428</v>
      </c>
      <c r="K453" s="50">
        <f t="shared" si="110"/>
        <v>14788</v>
      </c>
      <c r="L453" s="51">
        <f t="shared" si="111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>
      <c r="A454" s="31" t="s">
        <v>220</v>
      </c>
      <c r="B454" s="1" t="s">
        <v>616</v>
      </c>
      <c r="C454" s="30" t="str">
        <f t="shared" si="112"/>
        <v>LA England - Three Rivers</v>
      </c>
      <c r="D454" s="51">
        <f t="shared" si="103"/>
        <v>35006</v>
      </c>
      <c r="E454" s="51">
        <f t="shared" si="104"/>
        <v>37853</v>
      </c>
      <c r="F454" s="52">
        <f t="shared" si="105"/>
        <v>94123</v>
      </c>
      <c r="G454" s="52">
        <f t="shared" si="106"/>
        <v>45800</v>
      </c>
      <c r="H454" s="53">
        <f t="shared" si="107"/>
        <v>48323</v>
      </c>
      <c r="I454" s="53">
        <f t="shared" si="108"/>
        <v>35006</v>
      </c>
      <c r="J454" s="53">
        <f t="shared" si="109"/>
        <v>37853</v>
      </c>
      <c r="K454" s="50">
        <f t="shared" si="110"/>
        <v>10794</v>
      </c>
      <c r="L454" s="51">
        <f t="shared" si="111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>
      <c r="A455" s="31" t="s">
        <v>220</v>
      </c>
      <c r="B455" s="1" t="s">
        <v>617</v>
      </c>
      <c r="C455" s="30" t="str">
        <f t="shared" si="112"/>
        <v>LA England - Thurrock</v>
      </c>
      <c r="D455" s="51">
        <f t="shared" si="103"/>
        <v>63582</v>
      </c>
      <c r="E455" s="51">
        <f t="shared" si="104"/>
        <v>68415</v>
      </c>
      <c r="F455" s="52">
        <f t="shared" si="105"/>
        <v>176877</v>
      </c>
      <c r="G455" s="52">
        <f t="shared" si="106"/>
        <v>86665</v>
      </c>
      <c r="H455" s="53">
        <f t="shared" si="107"/>
        <v>90212</v>
      </c>
      <c r="I455" s="53">
        <f t="shared" si="108"/>
        <v>63582</v>
      </c>
      <c r="J455" s="53">
        <f t="shared" si="109"/>
        <v>68415</v>
      </c>
      <c r="K455" s="50">
        <f t="shared" si="110"/>
        <v>23083</v>
      </c>
      <c r="L455" s="51">
        <f t="shared" si="111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>
      <c r="A456" s="31" t="s">
        <v>220</v>
      </c>
      <c r="B456" s="1" t="s">
        <v>618</v>
      </c>
      <c r="C456" s="30" t="str">
        <f t="shared" si="112"/>
        <v>LA England - Tonbridge and Malling</v>
      </c>
      <c r="D456" s="51">
        <f t="shared" si="103"/>
        <v>49279</v>
      </c>
      <c r="E456" s="51">
        <f t="shared" si="104"/>
        <v>54077</v>
      </c>
      <c r="F456" s="52">
        <f t="shared" si="105"/>
        <v>133661</v>
      </c>
      <c r="G456" s="52">
        <f t="shared" si="106"/>
        <v>64931</v>
      </c>
      <c r="H456" s="53">
        <f t="shared" si="107"/>
        <v>68730</v>
      </c>
      <c r="I456" s="53">
        <f t="shared" si="108"/>
        <v>49279</v>
      </c>
      <c r="J456" s="53">
        <f t="shared" si="109"/>
        <v>54077</v>
      </c>
      <c r="K456" s="50">
        <f t="shared" si="110"/>
        <v>15652</v>
      </c>
      <c r="L456" s="51">
        <f t="shared" si="111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>
      <c r="A457" s="31" t="s">
        <v>220</v>
      </c>
      <c r="B457" s="1" t="s">
        <v>619</v>
      </c>
      <c r="C457" s="30" t="str">
        <f t="shared" si="112"/>
        <v>LA England - Torbay</v>
      </c>
      <c r="D457" s="51">
        <f t="shared" si="103"/>
        <v>55034</v>
      </c>
      <c r="E457" s="51">
        <f t="shared" si="104"/>
        <v>59323</v>
      </c>
      <c r="F457" s="52">
        <f t="shared" si="105"/>
        <v>139479</v>
      </c>
      <c r="G457" s="52">
        <f t="shared" si="106"/>
        <v>67916</v>
      </c>
      <c r="H457" s="53">
        <f t="shared" si="107"/>
        <v>71563</v>
      </c>
      <c r="I457" s="53">
        <f t="shared" si="108"/>
        <v>55034</v>
      </c>
      <c r="J457" s="53">
        <f t="shared" si="109"/>
        <v>59323</v>
      </c>
      <c r="K457" s="50">
        <f t="shared" si="110"/>
        <v>12882</v>
      </c>
      <c r="L457" s="51">
        <f t="shared" si="111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>
      <c r="A458" s="31" t="s">
        <v>220</v>
      </c>
      <c r="B458" s="1" t="s">
        <v>620</v>
      </c>
      <c r="C458" s="30" t="str">
        <f t="shared" si="112"/>
        <v>LA England - Torridge</v>
      </c>
      <c r="D458" s="51">
        <f t="shared" ref="D458:D496" si="113">I458</f>
        <v>27392</v>
      </c>
      <c r="E458" s="51">
        <f t="shared" ref="E458:E496" si="114">J458</f>
        <v>29329</v>
      </c>
      <c r="F458" s="52">
        <f t="shared" ref="F458:F496" si="115">G458+H458</f>
        <v>68635</v>
      </c>
      <c r="G458" s="52">
        <f t="shared" ref="G458:G496" si="116">SUM(M458:CY458)</f>
        <v>33615</v>
      </c>
      <c r="H458" s="53">
        <f t="shared" ref="H458:H496" si="117">SUM(CZ458:GL458)</f>
        <v>35020</v>
      </c>
      <c r="I458" s="53">
        <f t="shared" ref="I458:I496" si="118">SUM(AE458:CY458)</f>
        <v>27392</v>
      </c>
      <c r="J458" s="53">
        <f t="shared" ref="J458:J496" si="119">SUM(DR458:GL458)</f>
        <v>29329</v>
      </c>
      <c r="K458" s="50">
        <f t="shared" ref="K458:K496" si="120">SUM(M458:AD458)</f>
        <v>6223</v>
      </c>
      <c r="L458" s="51">
        <f t="shared" ref="L458:L496" si="121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>
      <c r="A459" s="31" t="s">
        <v>220</v>
      </c>
      <c r="B459" s="1" t="s">
        <v>621</v>
      </c>
      <c r="C459" s="30" t="str">
        <f t="shared" si="112"/>
        <v>LA England - Tower Hamlets</v>
      </c>
      <c r="D459" s="51">
        <f t="shared" si="113"/>
        <v>131116</v>
      </c>
      <c r="E459" s="51">
        <f t="shared" si="114"/>
        <v>130385</v>
      </c>
      <c r="F459" s="52">
        <f t="shared" si="115"/>
        <v>325789</v>
      </c>
      <c r="G459" s="52">
        <f t="shared" si="116"/>
        <v>163842</v>
      </c>
      <c r="H459" s="53">
        <f t="shared" si="117"/>
        <v>161947</v>
      </c>
      <c r="I459" s="53">
        <f t="shared" si="118"/>
        <v>131116</v>
      </c>
      <c r="J459" s="53">
        <f t="shared" si="119"/>
        <v>130385</v>
      </c>
      <c r="K459" s="50">
        <f t="shared" si="120"/>
        <v>32726</v>
      </c>
      <c r="L459" s="51">
        <f t="shared" si="121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>
      <c r="A460" s="31" t="s">
        <v>220</v>
      </c>
      <c r="B460" s="1" t="s">
        <v>622</v>
      </c>
      <c r="C460" s="30" t="str">
        <f t="shared" ref="C460:C496" si="122">CONCATENATE(A460," - ",B460)</f>
        <v>LA England - Trafford</v>
      </c>
      <c r="D460" s="51">
        <f t="shared" si="113"/>
        <v>86869</v>
      </c>
      <c r="E460" s="51">
        <f t="shared" si="114"/>
        <v>94098</v>
      </c>
      <c r="F460" s="52">
        <f t="shared" si="115"/>
        <v>236301</v>
      </c>
      <c r="G460" s="52">
        <f t="shared" si="116"/>
        <v>115249</v>
      </c>
      <c r="H460" s="53">
        <f t="shared" si="117"/>
        <v>121052</v>
      </c>
      <c r="I460" s="53">
        <f t="shared" si="118"/>
        <v>86869</v>
      </c>
      <c r="J460" s="53">
        <f t="shared" si="119"/>
        <v>94098</v>
      </c>
      <c r="K460" s="50">
        <f t="shared" si="120"/>
        <v>28380</v>
      </c>
      <c r="L460" s="51">
        <f t="shared" si="121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>
      <c r="A461" s="31" t="s">
        <v>220</v>
      </c>
      <c r="B461" s="1" t="s">
        <v>623</v>
      </c>
      <c r="C461" s="30" t="str">
        <f t="shared" si="122"/>
        <v>LA England - Tunbridge Wells</v>
      </c>
      <c r="D461" s="51">
        <f t="shared" si="113"/>
        <v>43174</v>
      </c>
      <c r="E461" s="51">
        <f t="shared" si="114"/>
        <v>46777</v>
      </c>
      <c r="F461" s="52">
        <f t="shared" si="115"/>
        <v>116028</v>
      </c>
      <c r="G461" s="52">
        <f t="shared" si="116"/>
        <v>56457</v>
      </c>
      <c r="H461" s="53">
        <f t="shared" si="117"/>
        <v>59571</v>
      </c>
      <c r="I461" s="53">
        <f t="shared" si="118"/>
        <v>43174</v>
      </c>
      <c r="J461" s="53">
        <f t="shared" si="119"/>
        <v>46777</v>
      </c>
      <c r="K461" s="50">
        <f t="shared" si="120"/>
        <v>13283</v>
      </c>
      <c r="L461" s="51">
        <f t="shared" si="121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>
      <c r="A462" s="31" t="s">
        <v>220</v>
      </c>
      <c r="B462" s="1" t="s">
        <v>624</v>
      </c>
      <c r="C462" s="30" t="str">
        <f t="shared" si="122"/>
        <v>LA England - Uttlesford</v>
      </c>
      <c r="D462" s="51">
        <f t="shared" si="113"/>
        <v>35068</v>
      </c>
      <c r="E462" s="51">
        <f t="shared" si="114"/>
        <v>37411</v>
      </c>
      <c r="F462" s="52">
        <f t="shared" si="115"/>
        <v>92578</v>
      </c>
      <c r="G462" s="52">
        <f t="shared" si="116"/>
        <v>45371</v>
      </c>
      <c r="H462" s="53">
        <f t="shared" si="117"/>
        <v>47207</v>
      </c>
      <c r="I462" s="53">
        <f t="shared" si="118"/>
        <v>35068</v>
      </c>
      <c r="J462" s="53">
        <f t="shared" si="119"/>
        <v>37411</v>
      </c>
      <c r="K462" s="50">
        <f t="shared" si="120"/>
        <v>10303</v>
      </c>
      <c r="L462" s="51">
        <f t="shared" si="121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>
      <c r="A463" s="31" t="s">
        <v>220</v>
      </c>
      <c r="B463" s="1" t="s">
        <v>625</v>
      </c>
      <c r="C463" s="30" t="str">
        <f t="shared" si="122"/>
        <v>LA England - Vale of White Horse</v>
      </c>
      <c r="D463" s="51">
        <f t="shared" si="113"/>
        <v>54457</v>
      </c>
      <c r="E463" s="51">
        <f t="shared" si="114"/>
        <v>56871</v>
      </c>
      <c r="F463" s="52">
        <f t="shared" si="115"/>
        <v>142116</v>
      </c>
      <c r="G463" s="52">
        <f t="shared" si="116"/>
        <v>70559</v>
      </c>
      <c r="H463" s="53">
        <f t="shared" si="117"/>
        <v>71557</v>
      </c>
      <c r="I463" s="53">
        <f t="shared" si="118"/>
        <v>54457</v>
      </c>
      <c r="J463" s="53">
        <f t="shared" si="119"/>
        <v>56871</v>
      </c>
      <c r="K463" s="50">
        <f t="shared" si="120"/>
        <v>16102</v>
      </c>
      <c r="L463" s="51">
        <f t="shared" si="121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>
      <c r="A464" s="31" t="s">
        <v>220</v>
      </c>
      <c r="B464" s="1" t="s">
        <v>626</v>
      </c>
      <c r="C464" s="30" t="str">
        <f t="shared" si="122"/>
        <v>LA England - Wakefield</v>
      </c>
      <c r="D464" s="51">
        <f t="shared" si="113"/>
        <v>137621</v>
      </c>
      <c r="E464" s="51">
        <f t="shared" si="114"/>
        <v>145330</v>
      </c>
      <c r="F464" s="52">
        <f t="shared" si="115"/>
        <v>357729</v>
      </c>
      <c r="G464" s="52">
        <f t="shared" si="116"/>
        <v>176034</v>
      </c>
      <c r="H464" s="53">
        <f t="shared" si="117"/>
        <v>181695</v>
      </c>
      <c r="I464" s="53">
        <f t="shared" si="118"/>
        <v>137621</v>
      </c>
      <c r="J464" s="53">
        <f t="shared" si="119"/>
        <v>145330</v>
      </c>
      <c r="K464" s="50">
        <f t="shared" si="120"/>
        <v>38413</v>
      </c>
      <c r="L464" s="51">
        <f t="shared" si="121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>
      <c r="A465" s="31" t="s">
        <v>220</v>
      </c>
      <c r="B465" s="1" t="s">
        <v>627</v>
      </c>
      <c r="C465" s="30" t="str">
        <f t="shared" si="122"/>
        <v>LA England - Walsall</v>
      </c>
      <c r="D465" s="51">
        <f t="shared" si="113"/>
        <v>104721</v>
      </c>
      <c r="E465" s="51">
        <f t="shared" si="114"/>
        <v>112263</v>
      </c>
      <c r="F465" s="52">
        <f t="shared" si="115"/>
        <v>286105</v>
      </c>
      <c r="G465" s="52">
        <f t="shared" si="116"/>
        <v>140018</v>
      </c>
      <c r="H465" s="53">
        <f t="shared" si="117"/>
        <v>146087</v>
      </c>
      <c r="I465" s="53">
        <f t="shared" si="118"/>
        <v>104721</v>
      </c>
      <c r="J465" s="53">
        <f t="shared" si="119"/>
        <v>112263</v>
      </c>
      <c r="K465" s="50">
        <f t="shared" si="120"/>
        <v>35297</v>
      </c>
      <c r="L465" s="51">
        <f t="shared" si="121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>
      <c r="A466" s="31" t="s">
        <v>220</v>
      </c>
      <c r="B466" s="1" t="s">
        <v>628</v>
      </c>
      <c r="C466" s="30" t="str">
        <f t="shared" si="122"/>
        <v>LA England - Waltham Forest</v>
      </c>
      <c r="D466" s="51">
        <f t="shared" si="113"/>
        <v>103110</v>
      </c>
      <c r="E466" s="51">
        <f t="shared" si="114"/>
        <v>110543</v>
      </c>
      <c r="F466" s="52">
        <f t="shared" si="115"/>
        <v>275887</v>
      </c>
      <c r="G466" s="52">
        <f t="shared" si="116"/>
        <v>134906</v>
      </c>
      <c r="H466" s="53">
        <f t="shared" si="117"/>
        <v>140981</v>
      </c>
      <c r="I466" s="53">
        <f t="shared" si="118"/>
        <v>103110</v>
      </c>
      <c r="J466" s="53">
        <f t="shared" si="119"/>
        <v>110543</v>
      </c>
      <c r="K466" s="50">
        <f t="shared" si="120"/>
        <v>31796</v>
      </c>
      <c r="L466" s="51">
        <f t="shared" si="121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>
      <c r="A467" s="31" t="s">
        <v>220</v>
      </c>
      <c r="B467" s="1" t="s">
        <v>629</v>
      </c>
      <c r="C467" s="30" t="str">
        <f t="shared" si="122"/>
        <v>LA England - Wandsworth</v>
      </c>
      <c r="D467" s="51">
        <f t="shared" si="113"/>
        <v>125772</v>
      </c>
      <c r="E467" s="51">
        <f t="shared" si="114"/>
        <v>144662</v>
      </c>
      <c r="F467" s="52">
        <f t="shared" si="115"/>
        <v>329035</v>
      </c>
      <c r="G467" s="52">
        <f t="shared" si="116"/>
        <v>155750</v>
      </c>
      <c r="H467" s="53">
        <f t="shared" si="117"/>
        <v>173285</v>
      </c>
      <c r="I467" s="53">
        <f t="shared" si="118"/>
        <v>125772</v>
      </c>
      <c r="J467" s="53">
        <f t="shared" si="119"/>
        <v>144662</v>
      </c>
      <c r="K467" s="50">
        <f t="shared" si="120"/>
        <v>29978</v>
      </c>
      <c r="L467" s="51">
        <f t="shared" si="121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>
      <c r="A468" s="31" t="s">
        <v>220</v>
      </c>
      <c r="B468" s="1" t="s">
        <v>630</v>
      </c>
      <c r="C468" s="30" t="str">
        <f t="shared" si="122"/>
        <v>LA England - Warrington</v>
      </c>
      <c r="D468" s="51">
        <f t="shared" si="113"/>
        <v>82284</v>
      </c>
      <c r="E468" s="51">
        <f t="shared" si="114"/>
        <v>85828</v>
      </c>
      <c r="F468" s="52">
        <f t="shared" si="115"/>
        <v>211580</v>
      </c>
      <c r="G468" s="52">
        <f t="shared" si="116"/>
        <v>104613</v>
      </c>
      <c r="H468" s="53">
        <f t="shared" si="117"/>
        <v>106967</v>
      </c>
      <c r="I468" s="53">
        <f t="shared" si="118"/>
        <v>82284</v>
      </c>
      <c r="J468" s="53">
        <f t="shared" si="119"/>
        <v>85828</v>
      </c>
      <c r="K468" s="50">
        <f t="shared" si="120"/>
        <v>22329</v>
      </c>
      <c r="L468" s="51">
        <f t="shared" si="121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>
      <c r="A469" s="31" t="s">
        <v>220</v>
      </c>
      <c r="B469" s="1" t="s">
        <v>631</v>
      </c>
      <c r="C469" s="30" t="str">
        <f t="shared" si="122"/>
        <v>LA England - Warwick</v>
      </c>
      <c r="D469" s="51">
        <f t="shared" si="113"/>
        <v>60382</v>
      </c>
      <c r="E469" s="51">
        <f t="shared" si="114"/>
        <v>61789</v>
      </c>
      <c r="F469" s="52">
        <f t="shared" si="115"/>
        <v>151158</v>
      </c>
      <c r="G469" s="52">
        <f t="shared" si="116"/>
        <v>75257</v>
      </c>
      <c r="H469" s="53">
        <f t="shared" si="117"/>
        <v>75901</v>
      </c>
      <c r="I469" s="53">
        <f t="shared" si="118"/>
        <v>60382</v>
      </c>
      <c r="J469" s="53">
        <f t="shared" si="119"/>
        <v>61789</v>
      </c>
      <c r="K469" s="50">
        <f t="shared" si="120"/>
        <v>14875</v>
      </c>
      <c r="L469" s="51">
        <f t="shared" si="121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>
      <c r="A470" s="31" t="s">
        <v>220</v>
      </c>
      <c r="B470" s="1" t="s">
        <v>632</v>
      </c>
      <c r="C470" s="30" t="str">
        <f t="shared" si="122"/>
        <v>LA England - Watford</v>
      </c>
      <c r="D470" s="51">
        <f t="shared" si="113"/>
        <v>38247</v>
      </c>
      <c r="E470" s="51">
        <f t="shared" si="114"/>
        <v>40598</v>
      </c>
      <c r="F470" s="52">
        <f t="shared" si="115"/>
        <v>103031</v>
      </c>
      <c r="G470" s="52">
        <f t="shared" si="116"/>
        <v>50602</v>
      </c>
      <c r="H470" s="53">
        <f t="shared" si="117"/>
        <v>52429</v>
      </c>
      <c r="I470" s="53">
        <f t="shared" si="118"/>
        <v>38247</v>
      </c>
      <c r="J470" s="53">
        <f t="shared" si="119"/>
        <v>40598</v>
      </c>
      <c r="K470" s="50">
        <f t="shared" si="120"/>
        <v>12355</v>
      </c>
      <c r="L470" s="51">
        <f t="shared" si="121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>
      <c r="A471" s="31" t="s">
        <v>220</v>
      </c>
      <c r="B471" s="1" t="s">
        <v>633</v>
      </c>
      <c r="C471" s="30" t="str">
        <f t="shared" si="122"/>
        <v>LA England - Waverley</v>
      </c>
      <c r="D471" s="51">
        <f t="shared" si="113"/>
        <v>48174</v>
      </c>
      <c r="E471" s="51">
        <f t="shared" si="114"/>
        <v>53203</v>
      </c>
      <c r="F471" s="52">
        <f t="shared" si="115"/>
        <v>130063</v>
      </c>
      <c r="G471" s="52">
        <f t="shared" si="116"/>
        <v>62934</v>
      </c>
      <c r="H471" s="53">
        <f t="shared" si="117"/>
        <v>67129</v>
      </c>
      <c r="I471" s="53">
        <f t="shared" si="118"/>
        <v>48174</v>
      </c>
      <c r="J471" s="53">
        <f t="shared" si="119"/>
        <v>53203</v>
      </c>
      <c r="K471" s="50">
        <f t="shared" si="120"/>
        <v>14760</v>
      </c>
      <c r="L471" s="51">
        <f t="shared" si="121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>
      <c r="A472" s="31" t="s">
        <v>220</v>
      </c>
      <c r="B472" s="1" t="s">
        <v>634</v>
      </c>
      <c r="C472" s="30" t="str">
        <f t="shared" si="122"/>
        <v>LA England - Wealden</v>
      </c>
      <c r="D472" s="51">
        <f t="shared" si="113"/>
        <v>62777</v>
      </c>
      <c r="E472" s="51">
        <f t="shared" si="114"/>
        <v>69627</v>
      </c>
      <c r="F472" s="52">
        <f t="shared" si="115"/>
        <v>163012</v>
      </c>
      <c r="G472" s="52">
        <f t="shared" si="116"/>
        <v>78460</v>
      </c>
      <c r="H472" s="53">
        <f t="shared" si="117"/>
        <v>84552</v>
      </c>
      <c r="I472" s="53">
        <f t="shared" si="118"/>
        <v>62777</v>
      </c>
      <c r="J472" s="53">
        <f t="shared" si="119"/>
        <v>69627</v>
      </c>
      <c r="K472" s="50">
        <f t="shared" si="120"/>
        <v>15683</v>
      </c>
      <c r="L472" s="51">
        <f t="shared" si="121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>
      <c r="A473" s="31" t="s">
        <v>220</v>
      </c>
      <c r="B473" s="1" t="s">
        <v>635</v>
      </c>
      <c r="C473" s="30" t="str">
        <f t="shared" si="122"/>
        <v>LA England - Welwyn Hatfield</v>
      </c>
      <c r="D473" s="51">
        <f t="shared" si="113"/>
        <v>46448</v>
      </c>
      <c r="E473" s="51">
        <f t="shared" si="114"/>
        <v>48368</v>
      </c>
      <c r="F473" s="52">
        <f t="shared" si="115"/>
        <v>120213</v>
      </c>
      <c r="G473" s="52">
        <f t="shared" si="116"/>
        <v>59463</v>
      </c>
      <c r="H473" s="53">
        <f t="shared" si="117"/>
        <v>60750</v>
      </c>
      <c r="I473" s="53">
        <f t="shared" si="118"/>
        <v>46448</v>
      </c>
      <c r="J473" s="53">
        <f t="shared" si="119"/>
        <v>48368</v>
      </c>
      <c r="K473" s="50">
        <f t="shared" si="120"/>
        <v>13015</v>
      </c>
      <c r="L473" s="51">
        <f t="shared" si="121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>
      <c r="A474" s="31" t="s">
        <v>220</v>
      </c>
      <c r="B474" s="1" t="s">
        <v>636</v>
      </c>
      <c r="C474" s="30" t="str">
        <f t="shared" si="122"/>
        <v>LA England - West Berkshire</v>
      </c>
      <c r="D474" s="51">
        <f t="shared" si="113"/>
        <v>62228</v>
      </c>
      <c r="E474" s="51">
        <f t="shared" si="114"/>
        <v>65218</v>
      </c>
      <c r="F474" s="52">
        <f t="shared" si="115"/>
        <v>162215</v>
      </c>
      <c r="G474" s="52">
        <f t="shared" si="116"/>
        <v>80000</v>
      </c>
      <c r="H474" s="53">
        <f t="shared" si="117"/>
        <v>82215</v>
      </c>
      <c r="I474" s="53">
        <f t="shared" si="118"/>
        <v>62228</v>
      </c>
      <c r="J474" s="53">
        <f t="shared" si="119"/>
        <v>65218</v>
      </c>
      <c r="K474" s="50">
        <f t="shared" si="120"/>
        <v>17772</v>
      </c>
      <c r="L474" s="51">
        <f t="shared" si="121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>
      <c r="A475" s="31" t="s">
        <v>220</v>
      </c>
      <c r="B475" s="1" t="s">
        <v>637</v>
      </c>
      <c r="C475" s="30" t="str">
        <f t="shared" si="122"/>
        <v>LA England - West Devon</v>
      </c>
      <c r="D475" s="51">
        <f t="shared" si="113"/>
        <v>23429</v>
      </c>
      <c r="E475" s="51">
        <f t="shared" si="114"/>
        <v>24733</v>
      </c>
      <c r="F475" s="52">
        <f t="shared" si="115"/>
        <v>58190</v>
      </c>
      <c r="G475" s="52">
        <f t="shared" si="116"/>
        <v>28479</v>
      </c>
      <c r="H475" s="53">
        <f t="shared" si="117"/>
        <v>29711</v>
      </c>
      <c r="I475" s="53">
        <f t="shared" si="118"/>
        <v>23429</v>
      </c>
      <c r="J475" s="53">
        <f t="shared" si="119"/>
        <v>24733</v>
      </c>
      <c r="K475" s="50">
        <f t="shared" si="120"/>
        <v>5050</v>
      </c>
      <c r="L475" s="51">
        <f t="shared" si="121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>
      <c r="A476" s="31" t="s">
        <v>220</v>
      </c>
      <c r="B476" s="1" t="s">
        <v>638</v>
      </c>
      <c r="C476" s="30" t="str">
        <f t="shared" si="122"/>
        <v>LA England - West Lancashire</v>
      </c>
      <c r="D476" s="51">
        <f t="shared" si="113"/>
        <v>45960</v>
      </c>
      <c r="E476" s="51">
        <f t="shared" si="114"/>
        <v>51265</v>
      </c>
      <c r="F476" s="52">
        <f t="shared" si="115"/>
        <v>119367</v>
      </c>
      <c r="G476" s="52">
        <f t="shared" si="116"/>
        <v>57283</v>
      </c>
      <c r="H476" s="53">
        <f t="shared" si="117"/>
        <v>62084</v>
      </c>
      <c r="I476" s="53">
        <f t="shared" si="118"/>
        <v>45960</v>
      </c>
      <c r="J476" s="53">
        <f t="shared" si="119"/>
        <v>51265</v>
      </c>
      <c r="K476" s="50">
        <f t="shared" si="120"/>
        <v>11323</v>
      </c>
      <c r="L476" s="51">
        <f t="shared" si="121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>
      <c r="A477" s="31" t="s">
        <v>220</v>
      </c>
      <c r="B477" s="1" t="s">
        <v>639</v>
      </c>
      <c r="C477" s="30" t="str">
        <f t="shared" si="122"/>
        <v>LA England - West Lindsey</v>
      </c>
      <c r="D477" s="51">
        <f t="shared" si="113"/>
        <v>38057</v>
      </c>
      <c r="E477" s="51">
        <f t="shared" si="114"/>
        <v>40441</v>
      </c>
      <c r="F477" s="52">
        <f t="shared" si="115"/>
        <v>96817</v>
      </c>
      <c r="G477" s="52">
        <f t="shared" si="116"/>
        <v>47535</v>
      </c>
      <c r="H477" s="53">
        <f t="shared" si="117"/>
        <v>49282</v>
      </c>
      <c r="I477" s="53">
        <f t="shared" si="118"/>
        <v>38057</v>
      </c>
      <c r="J477" s="53">
        <f t="shared" si="119"/>
        <v>40441</v>
      </c>
      <c r="K477" s="50">
        <f t="shared" si="120"/>
        <v>9478</v>
      </c>
      <c r="L477" s="51">
        <f t="shared" si="121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>
      <c r="A478" s="31" t="s">
        <v>220</v>
      </c>
      <c r="B478" s="1" t="s">
        <v>982</v>
      </c>
      <c r="C478" s="30" t="str">
        <f t="shared" si="122"/>
        <v>LA England - West Northamptonshire</v>
      </c>
      <c r="D478" s="51">
        <f t="shared" si="113"/>
        <v>164541</v>
      </c>
      <c r="E478" s="51">
        <f t="shared" si="114"/>
        <v>170970</v>
      </c>
      <c r="F478" s="52">
        <f t="shared" si="115"/>
        <v>429013</v>
      </c>
      <c r="G478" s="52">
        <f t="shared" si="116"/>
        <v>212074</v>
      </c>
      <c r="H478" s="53">
        <f t="shared" si="117"/>
        <v>216939</v>
      </c>
      <c r="I478" s="53">
        <f t="shared" si="118"/>
        <v>164541</v>
      </c>
      <c r="J478" s="53">
        <f t="shared" si="119"/>
        <v>170970</v>
      </c>
      <c r="K478" s="50">
        <f t="shared" si="120"/>
        <v>47533</v>
      </c>
      <c r="L478" s="51">
        <f t="shared" si="121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>
      <c r="A479" s="31" t="s">
        <v>220</v>
      </c>
      <c r="B479" s="1" t="s">
        <v>640</v>
      </c>
      <c r="C479" s="30" t="str">
        <f t="shared" si="122"/>
        <v>LA England - West Oxfordshire</v>
      </c>
      <c r="D479" s="51">
        <f t="shared" si="113"/>
        <v>45599</v>
      </c>
      <c r="E479" s="51">
        <f t="shared" si="114"/>
        <v>48039</v>
      </c>
      <c r="F479" s="52">
        <f t="shared" si="115"/>
        <v>116928</v>
      </c>
      <c r="G479" s="52">
        <f t="shared" si="116"/>
        <v>57569</v>
      </c>
      <c r="H479" s="53">
        <f t="shared" si="117"/>
        <v>59359</v>
      </c>
      <c r="I479" s="53">
        <f t="shared" si="118"/>
        <v>45599</v>
      </c>
      <c r="J479" s="53">
        <f t="shared" si="119"/>
        <v>48039</v>
      </c>
      <c r="K479" s="50">
        <f t="shared" si="120"/>
        <v>11970</v>
      </c>
      <c r="L479" s="51">
        <f t="shared" si="121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>
      <c r="A480" s="31" t="s">
        <v>220</v>
      </c>
      <c r="B480" s="1" t="s">
        <v>641</v>
      </c>
      <c r="C480" s="30" t="str">
        <f t="shared" si="122"/>
        <v>LA England - West Suffolk</v>
      </c>
      <c r="D480" s="51">
        <f t="shared" si="113"/>
        <v>72670</v>
      </c>
      <c r="E480" s="51">
        <f t="shared" si="114"/>
        <v>73488</v>
      </c>
      <c r="F480" s="52">
        <f t="shared" si="115"/>
        <v>182228</v>
      </c>
      <c r="G480" s="52">
        <f t="shared" si="116"/>
        <v>91277</v>
      </c>
      <c r="H480" s="53">
        <f t="shared" si="117"/>
        <v>90951</v>
      </c>
      <c r="I480" s="53">
        <f t="shared" si="118"/>
        <v>72670</v>
      </c>
      <c r="J480" s="53">
        <f t="shared" si="119"/>
        <v>73488</v>
      </c>
      <c r="K480" s="50">
        <f t="shared" si="120"/>
        <v>18607</v>
      </c>
      <c r="L480" s="51">
        <f t="shared" si="121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>
      <c r="A481" s="31" t="s">
        <v>220</v>
      </c>
      <c r="B481" s="1" t="s">
        <v>642</v>
      </c>
      <c r="C481" s="30" t="str">
        <f t="shared" si="122"/>
        <v>LA England - Westminster</v>
      </c>
      <c r="D481" s="51">
        <f t="shared" si="113"/>
        <v>86711</v>
      </c>
      <c r="E481" s="51">
        <f t="shared" si="114"/>
        <v>94428</v>
      </c>
      <c r="F481" s="52">
        <f t="shared" si="115"/>
        <v>211365</v>
      </c>
      <c r="G481" s="52">
        <f t="shared" si="116"/>
        <v>102207</v>
      </c>
      <c r="H481" s="53">
        <f t="shared" si="117"/>
        <v>109158</v>
      </c>
      <c r="I481" s="53">
        <f t="shared" si="118"/>
        <v>86711</v>
      </c>
      <c r="J481" s="53">
        <f t="shared" si="119"/>
        <v>94428</v>
      </c>
      <c r="K481" s="50">
        <f t="shared" si="120"/>
        <v>15496</v>
      </c>
      <c r="L481" s="51">
        <f t="shared" si="121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>
      <c r="A482" s="31" t="s">
        <v>220</v>
      </c>
      <c r="B482" s="1" t="s">
        <v>983</v>
      </c>
      <c r="C482" s="30" t="str">
        <f t="shared" si="122"/>
        <v>LA England - Westmorland and Furness</v>
      </c>
      <c r="D482" s="51">
        <f t="shared" si="113"/>
        <v>92287</v>
      </c>
      <c r="E482" s="51">
        <f t="shared" si="114"/>
        <v>96258</v>
      </c>
      <c r="F482" s="52">
        <f t="shared" si="115"/>
        <v>227643</v>
      </c>
      <c r="G482" s="52">
        <f t="shared" si="116"/>
        <v>112393</v>
      </c>
      <c r="H482" s="53">
        <f t="shared" si="117"/>
        <v>115250</v>
      </c>
      <c r="I482" s="53">
        <f t="shared" si="118"/>
        <v>92287</v>
      </c>
      <c r="J482" s="53">
        <f t="shared" si="119"/>
        <v>96258</v>
      </c>
      <c r="K482" s="50">
        <f t="shared" si="120"/>
        <v>20106</v>
      </c>
      <c r="L482" s="51">
        <f t="shared" si="121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>
      <c r="A483" s="31" t="s">
        <v>220</v>
      </c>
      <c r="B483" s="1" t="s">
        <v>643</v>
      </c>
      <c r="C483" s="30" t="str">
        <f t="shared" si="122"/>
        <v>LA England - Wigan</v>
      </c>
      <c r="D483" s="51">
        <f t="shared" si="113"/>
        <v>129821</v>
      </c>
      <c r="E483" s="51">
        <f t="shared" si="114"/>
        <v>134943</v>
      </c>
      <c r="F483" s="52">
        <f t="shared" si="115"/>
        <v>334110</v>
      </c>
      <c r="G483" s="52">
        <f t="shared" si="116"/>
        <v>165612</v>
      </c>
      <c r="H483" s="53">
        <f t="shared" si="117"/>
        <v>168498</v>
      </c>
      <c r="I483" s="53">
        <f t="shared" si="118"/>
        <v>129821</v>
      </c>
      <c r="J483" s="53">
        <f t="shared" si="119"/>
        <v>134943</v>
      </c>
      <c r="K483" s="50">
        <f t="shared" si="120"/>
        <v>35791</v>
      </c>
      <c r="L483" s="51">
        <f t="shared" si="121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>
      <c r="A484" s="31" t="s">
        <v>220</v>
      </c>
      <c r="B484" s="1" t="s">
        <v>644</v>
      </c>
      <c r="C484" s="30" t="str">
        <f t="shared" si="122"/>
        <v>LA England - Wiltshire</v>
      </c>
      <c r="D484" s="51">
        <f t="shared" si="113"/>
        <v>202273</v>
      </c>
      <c r="E484" s="51">
        <f t="shared" si="114"/>
        <v>210563</v>
      </c>
      <c r="F484" s="52">
        <f t="shared" si="115"/>
        <v>515885</v>
      </c>
      <c r="G484" s="52">
        <f t="shared" si="116"/>
        <v>254963</v>
      </c>
      <c r="H484" s="53">
        <f t="shared" si="117"/>
        <v>260922</v>
      </c>
      <c r="I484" s="53">
        <f t="shared" si="118"/>
        <v>202273</v>
      </c>
      <c r="J484" s="53">
        <f t="shared" si="119"/>
        <v>210563</v>
      </c>
      <c r="K484" s="50">
        <f t="shared" si="120"/>
        <v>52690</v>
      </c>
      <c r="L484" s="51">
        <f t="shared" si="121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>
      <c r="A485" s="31" t="s">
        <v>220</v>
      </c>
      <c r="B485" s="1" t="s">
        <v>645</v>
      </c>
      <c r="C485" s="30" t="str">
        <f t="shared" si="122"/>
        <v>LA England - Winchester</v>
      </c>
      <c r="D485" s="51">
        <f t="shared" si="113"/>
        <v>49783</v>
      </c>
      <c r="E485" s="51">
        <f t="shared" si="114"/>
        <v>53918</v>
      </c>
      <c r="F485" s="52">
        <f t="shared" si="115"/>
        <v>130268</v>
      </c>
      <c r="G485" s="52">
        <f t="shared" si="116"/>
        <v>63583</v>
      </c>
      <c r="H485" s="53">
        <f t="shared" si="117"/>
        <v>66685</v>
      </c>
      <c r="I485" s="53">
        <f t="shared" si="118"/>
        <v>49783</v>
      </c>
      <c r="J485" s="53">
        <f t="shared" si="119"/>
        <v>53918</v>
      </c>
      <c r="K485" s="50">
        <f t="shared" si="120"/>
        <v>13800</v>
      </c>
      <c r="L485" s="51">
        <f t="shared" si="121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>
      <c r="A486" s="31" t="s">
        <v>220</v>
      </c>
      <c r="B486" s="1" t="s">
        <v>646</v>
      </c>
      <c r="C486" s="30" t="str">
        <f t="shared" si="122"/>
        <v>LA England - Windsor and Maidenhead</v>
      </c>
      <c r="D486" s="51">
        <f t="shared" si="113"/>
        <v>58554</v>
      </c>
      <c r="E486" s="51">
        <f t="shared" si="114"/>
        <v>62091</v>
      </c>
      <c r="F486" s="52">
        <f t="shared" si="115"/>
        <v>154738</v>
      </c>
      <c r="G486" s="52">
        <f t="shared" si="116"/>
        <v>76388</v>
      </c>
      <c r="H486" s="53">
        <f t="shared" si="117"/>
        <v>78350</v>
      </c>
      <c r="I486" s="53">
        <f t="shared" si="118"/>
        <v>58554</v>
      </c>
      <c r="J486" s="53">
        <f t="shared" si="119"/>
        <v>62091</v>
      </c>
      <c r="K486" s="50">
        <f t="shared" si="120"/>
        <v>17834</v>
      </c>
      <c r="L486" s="51">
        <f t="shared" si="121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>
      <c r="A487" s="31" t="s">
        <v>220</v>
      </c>
      <c r="B487" s="1" t="s">
        <v>647</v>
      </c>
      <c r="C487" s="30" t="str">
        <f t="shared" si="122"/>
        <v>LA England - Wirral</v>
      </c>
      <c r="D487" s="51">
        <f t="shared" si="113"/>
        <v>122282</v>
      </c>
      <c r="E487" s="51">
        <f t="shared" si="114"/>
        <v>134481</v>
      </c>
      <c r="F487" s="52">
        <f t="shared" si="115"/>
        <v>322453</v>
      </c>
      <c r="G487" s="52">
        <f t="shared" si="116"/>
        <v>156079</v>
      </c>
      <c r="H487" s="53">
        <f t="shared" si="117"/>
        <v>166374</v>
      </c>
      <c r="I487" s="53">
        <f t="shared" si="118"/>
        <v>122282</v>
      </c>
      <c r="J487" s="53">
        <f t="shared" si="119"/>
        <v>134481</v>
      </c>
      <c r="K487" s="50">
        <f t="shared" si="120"/>
        <v>33797</v>
      </c>
      <c r="L487" s="51">
        <f t="shared" si="121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>
      <c r="A488" s="31" t="s">
        <v>220</v>
      </c>
      <c r="B488" s="1" t="s">
        <v>648</v>
      </c>
      <c r="C488" s="30" t="str">
        <f t="shared" si="122"/>
        <v>LA England - Woking</v>
      </c>
      <c r="D488" s="51">
        <f t="shared" si="113"/>
        <v>39702</v>
      </c>
      <c r="E488" s="51">
        <f t="shared" si="114"/>
        <v>41208</v>
      </c>
      <c r="F488" s="52">
        <f t="shared" si="115"/>
        <v>104179</v>
      </c>
      <c r="G488" s="52">
        <f t="shared" si="116"/>
        <v>51709</v>
      </c>
      <c r="H488" s="53">
        <f t="shared" si="117"/>
        <v>52470</v>
      </c>
      <c r="I488" s="53">
        <f t="shared" si="118"/>
        <v>39702</v>
      </c>
      <c r="J488" s="53">
        <f t="shared" si="119"/>
        <v>41208</v>
      </c>
      <c r="K488" s="50">
        <f t="shared" si="120"/>
        <v>12007</v>
      </c>
      <c r="L488" s="51">
        <f t="shared" si="121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>
      <c r="A489" s="31" t="s">
        <v>220</v>
      </c>
      <c r="B489" s="1" t="s">
        <v>649</v>
      </c>
      <c r="C489" s="30" t="str">
        <f t="shared" si="122"/>
        <v>LA England - Wokingham</v>
      </c>
      <c r="D489" s="51">
        <f t="shared" si="113"/>
        <v>67200</v>
      </c>
      <c r="E489" s="51">
        <f t="shared" si="114"/>
        <v>71396</v>
      </c>
      <c r="F489" s="52">
        <f t="shared" si="115"/>
        <v>180967</v>
      </c>
      <c r="G489" s="52">
        <f t="shared" si="116"/>
        <v>88984</v>
      </c>
      <c r="H489" s="53">
        <f t="shared" si="117"/>
        <v>91983</v>
      </c>
      <c r="I489" s="53">
        <f t="shared" si="118"/>
        <v>67200</v>
      </c>
      <c r="J489" s="53">
        <f t="shared" si="119"/>
        <v>71396</v>
      </c>
      <c r="K489" s="50">
        <f t="shared" si="120"/>
        <v>21784</v>
      </c>
      <c r="L489" s="51">
        <f t="shared" si="121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>
      <c r="A490" s="31" t="s">
        <v>220</v>
      </c>
      <c r="B490" s="1" t="s">
        <v>650</v>
      </c>
      <c r="C490" s="30" t="str">
        <f t="shared" si="122"/>
        <v>LA England - Wolverhampton</v>
      </c>
      <c r="D490" s="51">
        <f t="shared" si="113"/>
        <v>98939</v>
      </c>
      <c r="E490" s="51">
        <f t="shared" si="114"/>
        <v>105012</v>
      </c>
      <c r="F490" s="52">
        <f t="shared" si="115"/>
        <v>267651</v>
      </c>
      <c r="G490" s="52">
        <f t="shared" si="116"/>
        <v>131809</v>
      </c>
      <c r="H490" s="53">
        <f t="shared" si="117"/>
        <v>135842</v>
      </c>
      <c r="I490" s="53">
        <f t="shared" si="118"/>
        <v>98939</v>
      </c>
      <c r="J490" s="53">
        <f t="shared" si="119"/>
        <v>105012</v>
      </c>
      <c r="K490" s="50">
        <f t="shared" si="120"/>
        <v>32870</v>
      </c>
      <c r="L490" s="51">
        <f t="shared" si="121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>
      <c r="A491" s="31" t="s">
        <v>220</v>
      </c>
      <c r="B491" s="1" t="s">
        <v>651</v>
      </c>
      <c r="C491" s="30" t="str">
        <f t="shared" si="122"/>
        <v>LA England - Worcester</v>
      </c>
      <c r="D491" s="51">
        <f t="shared" si="113"/>
        <v>40332</v>
      </c>
      <c r="E491" s="51">
        <f t="shared" si="114"/>
        <v>43237</v>
      </c>
      <c r="F491" s="52">
        <f t="shared" si="115"/>
        <v>104120</v>
      </c>
      <c r="G491" s="52">
        <f t="shared" si="116"/>
        <v>50821</v>
      </c>
      <c r="H491" s="53">
        <f t="shared" si="117"/>
        <v>53299</v>
      </c>
      <c r="I491" s="53">
        <f t="shared" si="118"/>
        <v>40332</v>
      </c>
      <c r="J491" s="53">
        <f t="shared" si="119"/>
        <v>43237</v>
      </c>
      <c r="K491" s="50">
        <f t="shared" si="120"/>
        <v>10489</v>
      </c>
      <c r="L491" s="51">
        <f t="shared" si="121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>
      <c r="A492" s="31" t="s">
        <v>220</v>
      </c>
      <c r="B492" s="1" t="s">
        <v>652</v>
      </c>
      <c r="C492" s="30" t="str">
        <f t="shared" si="122"/>
        <v>LA England - Worthing</v>
      </c>
      <c r="D492" s="51">
        <f t="shared" si="113"/>
        <v>43261</v>
      </c>
      <c r="E492" s="51">
        <f t="shared" si="114"/>
        <v>47561</v>
      </c>
      <c r="F492" s="52">
        <f t="shared" si="115"/>
        <v>112044</v>
      </c>
      <c r="G492" s="52">
        <f t="shared" si="116"/>
        <v>54118</v>
      </c>
      <c r="H492" s="53">
        <f t="shared" si="117"/>
        <v>57926</v>
      </c>
      <c r="I492" s="53">
        <f t="shared" si="118"/>
        <v>43261</v>
      </c>
      <c r="J492" s="53">
        <f t="shared" si="119"/>
        <v>47561</v>
      </c>
      <c r="K492" s="50">
        <f t="shared" si="120"/>
        <v>10857</v>
      </c>
      <c r="L492" s="51">
        <f t="shared" si="121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>
      <c r="A493" s="31" t="s">
        <v>220</v>
      </c>
      <c r="B493" s="1" t="s">
        <v>653</v>
      </c>
      <c r="C493" s="30" t="str">
        <f t="shared" si="122"/>
        <v>LA England - Wychavon</v>
      </c>
      <c r="D493" s="51">
        <f t="shared" si="113"/>
        <v>52982</v>
      </c>
      <c r="E493" s="51">
        <f t="shared" si="114"/>
        <v>56493</v>
      </c>
      <c r="F493" s="52">
        <f t="shared" si="115"/>
        <v>134536</v>
      </c>
      <c r="G493" s="52">
        <f t="shared" si="116"/>
        <v>65827</v>
      </c>
      <c r="H493" s="53">
        <f t="shared" si="117"/>
        <v>68709</v>
      </c>
      <c r="I493" s="53">
        <f t="shared" si="118"/>
        <v>52982</v>
      </c>
      <c r="J493" s="53">
        <f t="shared" si="119"/>
        <v>56493</v>
      </c>
      <c r="K493" s="50">
        <f t="shared" si="120"/>
        <v>12845</v>
      </c>
      <c r="L493" s="51">
        <f t="shared" si="121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>
      <c r="A494" s="31" t="s">
        <v>220</v>
      </c>
      <c r="B494" s="1" t="s">
        <v>654</v>
      </c>
      <c r="C494" s="30" t="str">
        <f t="shared" si="122"/>
        <v>LA England - Wyre</v>
      </c>
      <c r="D494" s="51">
        <f t="shared" si="113"/>
        <v>45357</v>
      </c>
      <c r="E494" s="51">
        <f t="shared" si="114"/>
        <v>49033</v>
      </c>
      <c r="F494" s="52">
        <f t="shared" si="115"/>
        <v>114809</v>
      </c>
      <c r="G494" s="52">
        <f t="shared" si="116"/>
        <v>55883</v>
      </c>
      <c r="H494" s="53">
        <f t="shared" si="117"/>
        <v>58926</v>
      </c>
      <c r="I494" s="53">
        <f t="shared" si="118"/>
        <v>45357</v>
      </c>
      <c r="J494" s="53">
        <f t="shared" si="119"/>
        <v>49033</v>
      </c>
      <c r="K494" s="50">
        <f t="shared" si="120"/>
        <v>10526</v>
      </c>
      <c r="L494" s="51">
        <f t="shared" si="121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>
      <c r="A495" s="31" t="s">
        <v>220</v>
      </c>
      <c r="B495" s="1" t="s">
        <v>655</v>
      </c>
      <c r="C495" s="30" t="str">
        <f t="shared" si="122"/>
        <v>LA England - Wyre Forest</v>
      </c>
      <c r="D495" s="51">
        <f t="shared" si="113"/>
        <v>40213</v>
      </c>
      <c r="E495" s="51">
        <f t="shared" si="114"/>
        <v>42976</v>
      </c>
      <c r="F495" s="52">
        <f t="shared" si="115"/>
        <v>102328</v>
      </c>
      <c r="G495" s="52">
        <f t="shared" si="116"/>
        <v>50175</v>
      </c>
      <c r="H495" s="53">
        <f t="shared" si="117"/>
        <v>52153</v>
      </c>
      <c r="I495" s="53">
        <f t="shared" si="118"/>
        <v>40213</v>
      </c>
      <c r="J495" s="53">
        <f t="shared" si="119"/>
        <v>42976</v>
      </c>
      <c r="K495" s="50">
        <f t="shared" si="120"/>
        <v>9962</v>
      </c>
      <c r="L495" s="51">
        <f t="shared" si="121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>
      <c r="A496" s="31" t="s">
        <v>220</v>
      </c>
      <c r="B496" s="1" t="s">
        <v>656</v>
      </c>
      <c r="C496" s="30" t="str">
        <f t="shared" si="122"/>
        <v>LA England - York</v>
      </c>
      <c r="D496" s="51">
        <f t="shared" si="113"/>
        <v>80380</v>
      </c>
      <c r="E496" s="51">
        <f t="shared" si="114"/>
        <v>89539</v>
      </c>
      <c r="F496" s="52">
        <f t="shared" si="115"/>
        <v>204551</v>
      </c>
      <c r="G496" s="52">
        <f t="shared" si="116"/>
        <v>98072</v>
      </c>
      <c r="H496" s="53">
        <f t="shared" si="117"/>
        <v>106479</v>
      </c>
      <c r="I496" s="53">
        <f t="shared" si="118"/>
        <v>80380</v>
      </c>
      <c r="J496" s="53">
        <f t="shared" si="119"/>
        <v>89539</v>
      </c>
      <c r="K496" s="50">
        <f t="shared" si="120"/>
        <v>17692</v>
      </c>
      <c r="L496" s="51">
        <f t="shared" si="121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>
      <c r="A497" s="113"/>
      <c r="B497" s="120"/>
      <c r="C497" s="113"/>
      <c r="D497" s="136">
        <f t="shared" ref="D497:L497" si="123">SUM(D201:D496)</f>
        <v>21895402</v>
      </c>
      <c r="E497" s="136">
        <f t="shared" si="123"/>
        <v>23324090</v>
      </c>
      <c r="F497" s="136">
        <f t="shared" si="123"/>
        <v>57106398</v>
      </c>
      <c r="G497" s="136">
        <f t="shared" si="123"/>
        <v>27983290</v>
      </c>
      <c r="H497" s="136">
        <f t="shared" si="123"/>
        <v>29123108</v>
      </c>
      <c r="I497" s="136">
        <f t="shared" si="123"/>
        <v>21895402</v>
      </c>
      <c r="J497" s="136">
        <f t="shared" si="123"/>
        <v>23324090</v>
      </c>
      <c r="K497" s="136">
        <f t="shared" si="123"/>
        <v>6087888</v>
      </c>
      <c r="L497" s="136">
        <f t="shared" si="123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>
      <c r="A498" s="31" t="s">
        <v>657</v>
      </c>
      <c r="B498" s="1" t="s">
        <v>658</v>
      </c>
      <c r="C498" s="30" t="str">
        <f t="shared" ref="C498:C531" si="124">CONCATENATE(A498," - ",B498)</f>
        <v>LA wales - Blaenau Gwent</v>
      </c>
      <c r="D498" s="51">
        <f t="shared" ref="D498:E501" si="125">I498</f>
        <v>26209</v>
      </c>
      <c r="E498" s="51">
        <f t="shared" si="125"/>
        <v>27615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593">
        <v>391</v>
      </c>
      <c r="N498" s="593">
        <v>334</v>
      </c>
      <c r="O498" s="593">
        <v>374</v>
      </c>
      <c r="P498" s="593">
        <v>393</v>
      </c>
      <c r="Q498" s="593">
        <v>365</v>
      </c>
      <c r="R498" s="593">
        <v>333</v>
      </c>
      <c r="S498" s="593">
        <v>365</v>
      </c>
      <c r="T498" s="593">
        <v>388</v>
      </c>
      <c r="U498" s="593">
        <v>394</v>
      </c>
      <c r="V498" s="593">
        <v>392</v>
      </c>
      <c r="W498" s="593">
        <v>375</v>
      </c>
      <c r="X498" s="593">
        <v>423</v>
      </c>
      <c r="Y498" s="593">
        <v>403</v>
      </c>
      <c r="Z498" s="593">
        <v>425</v>
      </c>
      <c r="AA498" s="593">
        <v>394</v>
      </c>
      <c r="AB498" s="593">
        <v>319</v>
      </c>
      <c r="AC498" s="593">
        <v>337</v>
      </c>
      <c r="AD498" s="593">
        <v>363</v>
      </c>
      <c r="AE498" s="593">
        <v>363</v>
      </c>
      <c r="AF498" s="593">
        <v>317</v>
      </c>
      <c r="AG498" s="593">
        <v>288</v>
      </c>
      <c r="AH498" s="593">
        <v>332</v>
      </c>
      <c r="AI498" s="593">
        <v>374</v>
      </c>
      <c r="AJ498" s="593">
        <v>338</v>
      </c>
      <c r="AK498" s="593">
        <v>389</v>
      </c>
      <c r="AL498" s="593">
        <v>412</v>
      </c>
      <c r="AM498" s="593">
        <v>367</v>
      </c>
      <c r="AN498" s="593">
        <v>361</v>
      </c>
      <c r="AO498" s="593">
        <v>441</v>
      </c>
      <c r="AP498" s="593">
        <v>438</v>
      </c>
      <c r="AQ498" s="593">
        <v>468</v>
      </c>
      <c r="AR498" s="593">
        <v>465</v>
      </c>
      <c r="AS498" s="593">
        <v>442</v>
      </c>
      <c r="AT498" s="593">
        <v>467</v>
      </c>
      <c r="AU498" s="593">
        <v>398</v>
      </c>
      <c r="AV498" s="593">
        <v>423</v>
      </c>
      <c r="AW498" s="593">
        <v>418</v>
      </c>
      <c r="AX498" s="593">
        <v>449</v>
      </c>
      <c r="AY498" s="593">
        <v>389</v>
      </c>
      <c r="AZ498" s="593">
        <v>409</v>
      </c>
      <c r="BA498" s="593">
        <v>365</v>
      </c>
      <c r="BB498" s="593">
        <v>396</v>
      </c>
      <c r="BC498" s="593">
        <v>373</v>
      </c>
      <c r="BD498" s="593">
        <v>369</v>
      </c>
      <c r="BE498" s="593">
        <v>348</v>
      </c>
      <c r="BF498" s="593">
        <v>299</v>
      </c>
      <c r="BG498" s="593">
        <v>345</v>
      </c>
      <c r="BH498" s="593">
        <v>417</v>
      </c>
      <c r="BI498" s="593">
        <v>386</v>
      </c>
      <c r="BJ498" s="593">
        <v>430</v>
      </c>
      <c r="BK498" s="593">
        <v>495</v>
      </c>
      <c r="BL498" s="593">
        <v>469</v>
      </c>
      <c r="BM498" s="593">
        <v>471</v>
      </c>
      <c r="BN498" s="593">
        <v>521</v>
      </c>
      <c r="BO498" s="593">
        <v>498</v>
      </c>
      <c r="BP498" s="593">
        <v>491</v>
      </c>
      <c r="BQ498" s="593">
        <v>525</v>
      </c>
      <c r="BR498" s="593">
        <v>529</v>
      </c>
      <c r="BS498" s="593">
        <v>512</v>
      </c>
      <c r="BT498" s="593">
        <v>493</v>
      </c>
      <c r="BU498" s="593">
        <v>503</v>
      </c>
      <c r="BV498" s="593">
        <v>432</v>
      </c>
      <c r="BW498" s="593">
        <v>445</v>
      </c>
      <c r="BX498" s="593">
        <v>434</v>
      </c>
      <c r="BY498" s="593">
        <v>364</v>
      </c>
      <c r="BZ498" s="593">
        <v>441</v>
      </c>
      <c r="CA498" s="593">
        <v>389</v>
      </c>
      <c r="CB498" s="593">
        <v>372</v>
      </c>
      <c r="CC498" s="593">
        <v>364</v>
      </c>
      <c r="CD498" s="593">
        <v>375</v>
      </c>
      <c r="CE498" s="593">
        <v>341</v>
      </c>
      <c r="CF498" s="593">
        <v>358</v>
      </c>
      <c r="CG498" s="593">
        <v>351</v>
      </c>
      <c r="CH498" s="593">
        <v>359</v>
      </c>
      <c r="CI498" s="593">
        <v>343</v>
      </c>
      <c r="CJ498" s="593">
        <v>401</v>
      </c>
      <c r="CK498" s="593">
        <v>297</v>
      </c>
      <c r="CL498" s="593">
        <v>262</v>
      </c>
      <c r="CM498" s="593">
        <v>235</v>
      </c>
      <c r="CN498" s="593">
        <v>261</v>
      </c>
      <c r="CO498" s="593">
        <v>210</v>
      </c>
      <c r="CP498" s="593">
        <v>179</v>
      </c>
      <c r="CQ498" s="593">
        <v>155</v>
      </c>
      <c r="CR498" s="593">
        <v>164</v>
      </c>
      <c r="CS498" s="593">
        <v>135</v>
      </c>
      <c r="CT498" s="593">
        <v>101</v>
      </c>
      <c r="CU498" s="593">
        <v>100</v>
      </c>
      <c r="CV498" s="593">
        <v>87</v>
      </c>
      <c r="CW498" s="593">
        <v>55</v>
      </c>
      <c r="CX498" s="593">
        <v>58</v>
      </c>
      <c r="CY498" s="593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>
      <c r="A499" s="31" t="s">
        <v>209</v>
      </c>
      <c r="B499" s="1" t="s">
        <v>659</v>
      </c>
      <c r="C499" s="30" t="str">
        <f t="shared" si="124"/>
        <v>LA Wales - Bridgend</v>
      </c>
      <c r="D499" s="51">
        <f t="shared" si="125"/>
        <v>57122</v>
      </c>
      <c r="E499" s="51">
        <f t="shared" si="125"/>
        <v>59822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593">
        <v>731</v>
      </c>
      <c r="N499" s="593">
        <v>689</v>
      </c>
      <c r="O499" s="593">
        <v>714</v>
      </c>
      <c r="P499" s="593">
        <v>751</v>
      </c>
      <c r="Q499" s="593">
        <v>788</v>
      </c>
      <c r="R499" s="593">
        <v>823</v>
      </c>
      <c r="S499" s="593">
        <v>811</v>
      </c>
      <c r="T499" s="593">
        <v>852</v>
      </c>
      <c r="U499" s="593">
        <v>862</v>
      </c>
      <c r="V499" s="593">
        <v>879</v>
      </c>
      <c r="W499" s="593">
        <v>884</v>
      </c>
      <c r="X499" s="593">
        <v>978</v>
      </c>
      <c r="Y499" s="593">
        <v>895</v>
      </c>
      <c r="Z499" s="593">
        <v>924</v>
      </c>
      <c r="AA499" s="593">
        <v>890</v>
      </c>
      <c r="AB499" s="593">
        <v>868</v>
      </c>
      <c r="AC499" s="593">
        <v>836</v>
      </c>
      <c r="AD499" s="593">
        <v>905</v>
      </c>
      <c r="AE499" s="593">
        <v>777</v>
      </c>
      <c r="AF499" s="593">
        <v>641</v>
      </c>
      <c r="AG499" s="593">
        <v>674</v>
      </c>
      <c r="AH499" s="593">
        <v>686</v>
      </c>
      <c r="AI499" s="593">
        <v>727</v>
      </c>
      <c r="AJ499" s="593">
        <v>840</v>
      </c>
      <c r="AK499" s="593">
        <v>858</v>
      </c>
      <c r="AL499" s="593">
        <v>945</v>
      </c>
      <c r="AM499" s="593">
        <v>890</v>
      </c>
      <c r="AN499" s="593">
        <v>816</v>
      </c>
      <c r="AO499" s="593">
        <v>944</v>
      </c>
      <c r="AP499" s="593">
        <v>857</v>
      </c>
      <c r="AQ499" s="593">
        <v>968</v>
      </c>
      <c r="AR499" s="593">
        <v>910</v>
      </c>
      <c r="AS499" s="593">
        <v>982</v>
      </c>
      <c r="AT499" s="593">
        <v>986</v>
      </c>
      <c r="AU499" s="593">
        <v>996</v>
      </c>
      <c r="AV499" s="593">
        <v>984</v>
      </c>
      <c r="AW499" s="593">
        <v>944</v>
      </c>
      <c r="AX499" s="593">
        <v>937</v>
      </c>
      <c r="AY499" s="593">
        <v>874</v>
      </c>
      <c r="AZ499" s="593">
        <v>882</v>
      </c>
      <c r="BA499" s="593">
        <v>860</v>
      </c>
      <c r="BB499" s="593">
        <v>916</v>
      </c>
      <c r="BC499" s="593">
        <v>935</v>
      </c>
      <c r="BD499" s="593">
        <v>885</v>
      </c>
      <c r="BE499" s="593">
        <v>798</v>
      </c>
      <c r="BF499" s="593">
        <v>764</v>
      </c>
      <c r="BG499" s="593">
        <v>821</v>
      </c>
      <c r="BH499" s="593">
        <v>816</v>
      </c>
      <c r="BI499" s="593">
        <v>884</v>
      </c>
      <c r="BJ499" s="593">
        <v>901</v>
      </c>
      <c r="BK499" s="593">
        <v>1009</v>
      </c>
      <c r="BL499" s="593">
        <v>1091</v>
      </c>
      <c r="BM499" s="593">
        <v>977</v>
      </c>
      <c r="BN499" s="593">
        <v>1017</v>
      </c>
      <c r="BO499" s="593">
        <v>1078</v>
      </c>
      <c r="BP499" s="593">
        <v>1056</v>
      </c>
      <c r="BQ499" s="593">
        <v>1081</v>
      </c>
      <c r="BR499" s="593">
        <v>1062</v>
      </c>
      <c r="BS499" s="593">
        <v>1067</v>
      </c>
      <c r="BT499" s="593">
        <v>1000</v>
      </c>
      <c r="BU499" s="593">
        <v>1035</v>
      </c>
      <c r="BV499" s="593">
        <v>984</v>
      </c>
      <c r="BW499" s="593">
        <v>918</v>
      </c>
      <c r="BX499" s="593">
        <v>903</v>
      </c>
      <c r="BY499" s="593">
        <v>907</v>
      </c>
      <c r="BZ499" s="593">
        <v>835</v>
      </c>
      <c r="CA499" s="593">
        <v>831</v>
      </c>
      <c r="CB499" s="593">
        <v>766</v>
      </c>
      <c r="CC499" s="593">
        <v>742</v>
      </c>
      <c r="CD499" s="593">
        <v>776</v>
      </c>
      <c r="CE499" s="593">
        <v>736</v>
      </c>
      <c r="CF499" s="593">
        <v>767</v>
      </c>
      <c r="CG499" s="593">
        <v>726</v>
      </c>
      <c r="CH499" s="593">
        <v>780</v>
      </c>
      <c r="CI499" s="593">
        <v>754</v>
      </c>
      <c r="CJ499" s="593">
        <v>809</v>
      </c>
      <c r="CK499" s="593">
        <v>632</v>
      </c>
      <c r="CL499" s="593">
        <v>617</v>
      </c>
      <c r="CM499" s="593">
        <v>572</v>
      </c>
      <c r="CN499" s="593">
        <v>506</v>
      </c>
      <c r="CO499" s="593">
        <v>443</v>
      </c>
      <c r="CP499" s="593">
        <v>449</v>
      </c>
      <c r="CQ499" s="593">
        <v>367</v>
      </c>
      <c r="CR499" s="593">
        <v>336</v>
      </c>
      <c r="CS499" s="593">
        <v>314</v>
      </c>
      <c r="CT499" s="593">
        <v>257</v>
      </c>
      <c r="CU499" s="593">
        <v>226</v>
      </c>
      <c r="CV499" s="593">
        <v>223</v>
      </c>
      <c r="CW499" s="593">
        <v>154</v>
      </c>
      <c r="CX499" s="593">
        <v>144</v>
      </c>
      <c r="CY499" s="593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>
      <c r="A500" s="31" t="s">
        <v>209</v>
      </c>
      <c r="B500" s="1" t="s">
        <v>660</v>
      </c>
      <c r="C500" s="30" t="str">
        <f t="shared" si="124"/>
        <v>LA Wales - Caerphilly</v>
      </c>
      <c r="D500" s="51">
        <f t="shared" si="125"/>
        <v>67530</v>
      </c>
      <c r="E500" s="51">
        <f t="shared" si="125"/>
        <v>72367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593">
        <v>834</v>
      </c>
      <c r="N500" s="593">
        <v>824</v>
      </c>
      <c r="O500" s="593">
        <v>908</v>
      </c>
      <c r="P500" s="593">
        <v>935</v>
      </c>
      <c r="Q500" s="593">
        <v>1007</v>
      </c>
      <c r="R500" s="593">
        <v>996</v>
      </c>
      <c r="S500" s="593">
        <v>1029</v>
      </c>
      <c r="T500" s="593">
        <v>1072</v>
      </c>
      <c r="U500" s="593">
        <v>1068</v>
      </c>
      <c r="V500" s="593">
        <v>1056</v>
      </c>
      <c r="W500" s="593">
        <v>1069</v>
      </c>
      <c r="X500" s="593">
        <v>1095</v>
      </c>
      <c r="Y500" s="593">
        <v>1148</v>
      </c>
      <c r="Z500" s="593">
        <v>1126</v>
      </c>
      <c r="AA500" s="593">
        <v>1141</v>
      </c>
      <c r="AB500" s="593">
        <v>1053</v>
      </c>
      <c r="AC500" s="593">
        <v>1026</v>
      </c>
      <c r="AD500" s="593">
        <v>1028</v>
      </c>
      <c r="AE500" s="593">
        <v>1108</v>
      </c>
      <c r="AF500" s="593">
        <v>875</v>
      </c>
      <c r="AG500" s="593">
        <v>817</v>
      </c>
      <c r="AH500" s="593">
        <v>888</v>
      </c>
      <c r="AI500" s="593">
        <v>942</v>
      </c>
      <c r="AJ500" s="593">
        <v>891</v>
      </c>
      <c r="AK500" s="593">
        <v>901</v>
      </c>
      <c r="AL500" s="593">
        <v>1103</v>
      </c>
      <c r="AM500" s="593">
        <v>1005</v>
      </c>
      <c r="AN500" s="593">
        <v>987</v>
      </c>
      <c r="AO500" s="593">
        <v>1032</v>
      </c>
      <c r="AP500" s="593">
        <v>1030</v>
      </c>
      <c r="AQ500" s="593">
        <v>1074</v>
      </c>
      <c r="AR500" s="593">
        <v>1182</v>
      </c>
      <c r="AS500" s="593">
        <v>1115</v>
      </c>
      <c r="AT500" s="593">
        <v>1132</v>
      </c>
      <c r="AU500" s="593">
        <v>1167</v>
      </c>
      <c r="AV500" s="593">
        <v>1071</v>
      </c>
      <c r="AW500" s="593">
        <v>1140</v>
      </c>
      <c r="AX500" s="593">
        <v>1077</v>
      </c>
      <c r="AY500" s="593">
        <v>1079</v>
      </c>
      <c r="AZ500" s="593">
        <v>1060</v>
      </c>
      <c r="BA500" s="593">
        <v>1012</v>
      </c>
      <c r="BB500" s="593">
        <v>1070</v>
      </c>
      <c r="BC500" s="593">
        <v>1085</v>
      </c>
      <c r="BD500" s="593">
        <v>1002</v>
      </c>
      <c r="BE500" s="593">
        <v>958</v>
      </c>
      <c r="BF500" s="593">
        <v>997</v>
      </c>
      <c r="BG500" s="593">
        <v>992</v>
      </c>
      <c r="BH500" s="593">
        <v>988</v>
      </c>
      <c r="BI500" s="593">
        <v>1077</v>
      </c>
      <c r="BJ500" s="593">
        <v>1113</v>
      </c>
      <c r="BK500" s="593">
        <v>1157</v>
      </c>
      <c r="BL500" s="593">
        <v>1232</v>
      </c>
      <c r="BM500" s="593">
        <v>1129</v>
      </c>
      <c r="BN500" s="593">
        <v>1299</v>
      </c>
      <c r="BO500" s="593">
        <v>1259</v>
      </c>
      <c r="BP500" s="593">
        <v>1214</v>
      </c>
      <c r="BQ500" s="593">
        <v>1265</v>
      </c>
      <c r="BR500" s="593">
        <v>1277</v>
      </c>
      <c r="BS500" s="593">
        <v>1255</v>
      </c>
      <c r="BT500" s="593">
        <v>1273</v>
      </c>
      <c r="BU500" s="593">
        <v>1181</v>
      </c>
      <c r="BV500" s="593">
        <v>1146</v>
      </c>
      <c r="BW500" s="593">
        <v>1118</v>
      </c>
      <c r="BX500" s="593">
        <v>1064</v>
      </c>
      <c r="BY500" s="593">
        <v>1058</v>
      </c>
      <c r="BZ500" s="593">
        <v>1029</v>
      </c>
      <c r="CA500" s="593">
        <v>925</v>
      </c>
      <c r="CB500" s="593">
        <v>870</v>
      </c>
      <c r="CC500" s="593">
        <v>989</v>
      </c>
      <c r="CD500" s="593">
        <v>948</v>
      </c>
      <c r="CE500" s="593">
        <v>880</v>
      </c>
      <c r="CF500" s="593">
        <v>910</v>
      </c>
      <c r="CG500" s="593">
        <v>938</v>
      </c>
      <c r="CH500" s="593">
        <v>837</v>
      </c>
      <c r="CI500" s="593">
        <v>970</v>
      </c>
      <c r="CJ500" s="593">
        <v>989</v>
      </c>
      <c r="CK500" s="593">
        <v>740</v>
      </c>
      <c r="CL500" s="593">
        <v>691</v>
      </c>
      <c r="CM500" s="593">
        <v>645</v>
      </c>
      <c r="CN500" s="593">
        <v>570</v>
      </c>
      <c r="CO500" s="593">
        <v>578</v>
      </c>
      <c r="CP500" s="593">
        <v>442</v>
      </c>
      <c r="CQ500" s="593">
        <v>426</v>
      </c>
      <c r="CR500" s="593">
        <v>410</v>
      </c>
      <c r="CS500" s="593">
        <v>355</v>
      </c>
      <c r="CT500" s="593">
        <v>296</v>
      </c>
      <c r="CU500" s="593">
        <v>259</v>
      </c>
      <c r="CV500" s="593">
        <v>215</v>
      </c>
      <c r="CW500" s="593">
        <v>176</v>
      </c>
      <c r="CX500" s="593">
        <v>150</v>
      </c>
      <c r="CY500" s="593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>
      <c r="A501" s="31" t="s">
        <v>209</v>
      </c>
      <c r="B501" s="1" t="s">
        <v>661</v>
      </c>
      <c r="C501" s="30" t="str">
        <f t="shared" si="124"/>
        <v>LA Wales - Cardiff</v>
      </c>
      <c r="D501" s="51">
        <f t="shared" si="125"/>
        <v>144027</v>
      </c>
      <c r="E501" s="51">
        <f t="shared" si="125"/>
        <v>152956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593">
        <v>1950</v>
      </c>
      <c r="N501" s="593">
        <v>1875</v>
      </c>
      <c r="O501" s="593">
        <v>1880</v>
      </c>
      <c r="P501" s="593">
        <v>1977</v>
      </c>
      <c r="Q501" s="593">
        <v>2035</v>
      </c>
      <c r="R501" s="593">
        <v>2099</v>
      </c>
      <c r="S501" s="593">
        <v>2234</v>
      </c>
      <c r="T501" s="593">
        <v>2194</v>
      </c>
      <c r="U501" s="593">
        <v>2213</v>
      </c>
      <c r="V501" s="593">
        <v>2181</v>
      </c>
      <c r="W501" s="593">
        <v>2303</v>
      </c>
      <c r="X501" s="593">
        <v>2380</v>
      </c>
      <c r="Y501" s="593">
        <v>2271</v>
      </c>
      <c r="Z501" s="593">
        <v>2188</v>
      </c>
      <c r="AA501" s="593">
        <v>2173</v>
      </c>
      <c r="AB501" s="593">
        <v>2117</v>
      </c>
      <c r="AC501" s="593">
        <v>2130</v>
      </c>
      <c r="AD501" s="593">
        <v>2130</v>
      </c>
      <c r="AE501" s="593">
        <v>2327</v>
      </c>
      <c r="AF501" s="593">
        <v>4164</v>
      </c>
      <c r="AG501" s="593">
        <v>4565</v>
      </c>
      <c r="AH501" s="593">
        <v>4249</v>
      </c>
      <c r="AI501" s="593">
        <v>3797</v>
      </c>
      <c r="AJ501" s="593">
        <v>3628</v>
      </c>
      <c r="AK501" s="593">
        <v>3513</v>
      </c>
      <c r="AL501" s="593">
        <v>3439</v>
      </c>
      <c r="AM501" s="593">
        <v>3420</v>
      </c>
      <c r="AN501" s="593">
        <v>3228</v>
      </c>
      <c r="AO501" s="593">
        <v>3077</v>
      </c>
      <c r="AP501" s="593">
        <v>2999</v>
      </c>
      <c r="AQ501" s="593">
        <v>2824</v>
      </c>
      <c r="AR501" s="593">
        <v>2846</v>
      </c>
      <c r="AS501" s="593">
        <v>2776</v>
      </c>
      <c r="AT501" s="593">
        <v>2588</v>
      </c>
      <c r="AU501" s="593">
        <v>2705</v>
      </c>
      <c r="AV501" s="593">
        <v>2608</v>
      </c>
      <c r="AW501" s="593">
        <v>2669</v>
      </c>
      <c r="AX501" s="593">
        <v>2467</v>
      </c>
      <c r="AY501" s="593">
        <v>2494</v>
      </c>
      <c r="AZ501" s="593">
        <v>2498</v>
      </c>
      <c r="BA501" s="593">
        <v>2343</v>
      </c>
      <c r="BB501" s="593">
        <v>2361</v>
      </c>
      <c r="BC501" s="593">
        <v>2324</v>
      </c>
      <c r="BD501" s="593">
        <v>2260</v>
      </c>
      <c r="BE501" s="593">
        <v>2022</v>
      </c>
      <c r="BF501" s="593">
        <v>2128</v>
      </c>
      <c r="BG501" s="593">
        <v>2019</v>
      </c>
      <c r="BH501" s="593">
        <v>2027</v>
      </c>
      <c r="BI501" s="593">
        <v>2070</v>
      </c>
      <c r="BJ501" s="593">
        <v>1928</v>
      </c>
      <c r="BK501" s="593">
        <v>1966</v>
      </c>
      <c r="BL501" s="593">
        <v>2100</v>
      </c>
      <c r="BM501" s="593">
        <v>2061</v>
      </c>
      <c r="BN501" s="593">
        <v>2078</v>
      </c>
      <c r="BO501" s="593">
        <v>1992</v>
      </c>
      <c r="BP501" s="593">
        <v>2070</v>
      </c>
      <c r="BQ501" s="593">
        <v>1888</v>
      </c>
      <c r="BR501" s="593">
        <v>2027</v>
      </c>
      <c r="BS501" s="593">
        <v>1976</v>
      </c>
      <c r="BT501" s="593">
        <v>1918</v>
      </c>
      <c r="BU501" s="593">
        <v>1994</v>
      </c>
      <c r="BV501" s="593">
        <v>1814</v>
      </c>
      <c r="BW501" s="593">
        <v>1830</v>
      </c>
      <c r="BX501" s="593">
        <v>1808</v>
      </c>
      <c r="BY501" s="593">
        <v>1654</v>
      </c>
      <c r="BZ501" s="593">
        <v>1666</v>
      </c>
      <c r="CA501" s="593">
        <v>1538</v>
      </c>
      <c r="CB501" s="593">
        <v>1449</v>
      </c>
      <c r="CC501" s="593">
        <v>1467</v>
      </c>
      <c r="CD501" s="593">
        <v>1364</v>
      </c>
      <c r="CE501" s="593">
        <v>1286</v>
      </c>
      <c r="CF501" s="593">
        <v>1359</v>
      </c>
      <c r="CG501" s="593">
        <v>1353</v>
      </c>
      <c r="CH501" s="593">
        <v>1306</v>
      </c>
      <c r="CI501" s="593">
        <v>1244</v>
      </c>
      <c r="CJ501" s="593">
        <v>1342</v>
      </c>
      <c r="CK501" s="593">
        <v>991</v>
      </c>
      <c r="CL501" s="593">
        <v>942</v>
      </c>
      <c r="CM501" s="593">
        <v>905</v>
      </c>
      <c r="CN501" s="593">
        <v>742</v>
      </c>
      <c r="CO501" s="593">
        <v>691</v>
      </c>
      <c r="CP501" s="593">
        <v>611</v>
      </c>
      <c r="CQ501" s="593">
        <v>589</v>
      </c>
      <c r="CR501" s="593">
        <v>538</v>
      </c>
      <c r="CS501" s="593">
        <v>490</v>
      </c>
      <c r="CT501" s="593">
        <v>446</v>
      </c>
      <c r="CU501" s="593">
        <v>394</v>
      </c>
      <c r="CV501" s="593">
        <v>368</v>
      </c>
      <c r="CW501" s="593">
        <v>281</v>
      </c>
      <c r="CX501" s="593">
        <v>249</v>
      </c>
      <c r="CY501" s="593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>
      <c r="A502" s="31" t="s">
        <v>209</v>
      </c>
      <c r="B502" s="1" t="s">
        <v>662</v>
      </c>
      <c r="C502" s="30" t="str">
        <f t="shared" si="124"/>
        <v>LA Wales - Carmarthenshire</v>
      </c>
      <c r="D502" s="51">
        <f t="shared" ref="D502:D531" si="126">I502</f>
        <v>73444</v>
      </c>
      <c r="E502" s="51">
        <f t="shared" ref="E502:E531" si="127">J502</f>
        <v>78994</v>
      </c>
      <c r="F502" s="52">
        <f t="shared" ref="F502:F519" si="128">G502+H502</f>
        <v>189117</v>
      </c>
      <c r="G502" s="52">
        <f t="shared" ref="G502:G519" si="129">SUM(M502:CY502)</f>
        <v>92284</v>
      </c>
      <c r="H502" s="53">
        <f t="shared" ref="H502:H519" si="130">SUM(CZ502:GL502)</f>
        <v>96833</v>
      </c>
      <c r="I502" s="53">
        <f t="shared" ref="I502:I519" si="131">SUM(AE502:CY502)</f>
        <v>73444</v>
      </c>
      <c r="J502" s="53">
        <f t="shared" ref="J502:J519" si="132">SUM(DR502:GL502)</f>
        <v>78994</v>
      </c>
      <c r="K502" s="50">
        <f t="shared" ref="K502:K519" si="133">SUM(M502:AD502)</f>
        <v>18840</v>
      </c>
      <c r="L502" s="51">
        <f t="shared" ref="L502:L519" si="134">SUM(CZ502:DQ502)</f>
        <v>17839</v>
      </c>
      <c r="M502" s="593">
        <v>856</v>
      </c>
      <c r="N502" s="593">
        <v>866</v>
      </c>
      <c r="O502" s="593">
        <v>854</v>
      </c>
      <c r="P502" s="593">
        <v>934</v>
      </c>
      <c r="Q502" s="593">
        <v>976</v>
      </c>
      <c r="R502" s="593">
        <v>1016</v>
      </c>
      <c r="S502" s="593">
        <v>1068</v>
      </c>
      <c r="T502" s="593">
        <v>1057</v>
      </c>
      <c r="U502" s="593">
        <v>1032</v>
      </c>
      <c r="V502" s="593">
        <v>1077</v>
      </c>
      <c r="W502" s="593">
        <v>1158</v>
      </c>
      <c r="X502" s="593">
        <v>1168</v>
      </c>
      <c r="Y502" s="593">
        <v>1148</v>
      </c>
      <c r="Z502" s="593">
        <v>1099</v>
      </c>
      <c r="AA502" s="593">
        <v>1137</v>
      </c>
      <c r="AB502" s="593">
        <v>1146</v>
      </c>
      <c r="AC502" s="593">
        <v>1150</v>
      </c>
      <c r="AD502" s="593">
        <v>1098</v>
      </c>
      <c r="AE502" s="593">
        <v>1071</v>
      </c>
      <c r="AF502" s="593">
        <v>898</v>
      </c>
      <c r="AG502" s="593">
        <v>829</v>
      </c>
      <c r="AH502" s="593">
        <v>834</v>
      </c>
      <c r="AI502" s="593">
        <v>847</v>
      </c>
      <c r="AJ502" s="593">
        <v>907</v>
      </c>
      <c r="AK502" s="593">
        <v>957</v>
      </c>
      <c r="AL502" s="593">
        <v>1013</v>
      </c>
      <c r="AM502" s="593">
        <v>1000</v>
      </c>
      <c r="AN502" s="593">
        <v>923</v>
      </c>
      <c r="AO502" s="593">
        <v>977</v>
      </c>
      <c r="AP502" s="593">
        <v>975</v>
      </c>
      <c r="AQ502" s="593">
        <v>1005</v>
      </c>
      <c r="AR502" s="593">
        <v>1049</v>
      </c>
      <c r="AS502" s="593">
        <v>1077</v>
      </c>
      <c r="AT502" s="593">
        <v>1035</v>
      </c>
      <c r="AU502" s="593">
        <v>1116</v>
      </c>
      <c r="AV502" s="593">
        <v>1060</v>
      </c>
      <c r="AW502" s="593">
        <v>1050</v>
      </c>
      <c r="AX502" s="593">
        <v>991</v>
      </c>
      <c r="AY502" s="593">
        <v>1021</v>
      </c>
      <c r="AZ502" s="593">
        <v>1015</v>
      </c>
      <c r="BA502" s="593">
        <v>996</v>
      </c>
      <c r="BB502" s="593">
        <v>1033</v>
      </c>
      <c r="BC502" s="593">
        <v>1042</v>
      </c>
      <c r="BD502" s="593">
        <v>1003</v>
      </c>
      <c r="BE502" s="593">
        <v>929</v>
      </c>
      <c r="BF502" s="593">
        <v>918</v>
      </c>
      <c r="BG502" s="593">
        <v>1008</v>
      </c>
      <c r="BH502" s="593">
        <v>1037</v>
      </c>
      <c r="BI502" s="593">
        <v>1074</v>
      </c>
      <c r="BJ502" s="593">
        <v>1130</v>
      </c>
      <c r="BK502" s="593">
        <v>1203</v>
      </c>
      <c r="BL502" s="593">
        <v>1281</v>
      </c>
      <c r="BM502" s="593">
        <v>1243</v>
      </c>
      <c r="BN502" s="593">
        <v>1231</v>
      </c>
      <c r="BO502" s="593">
        <v>1260</v>
      </c>
      <c r="BP502" s="593">
        <v>1356</v>
      </c>
      <c r="BQ502" s="593">
        <v>1372</v>
      </c>
      <c r="BR502" s="593">
        <v>1413</v>
      </c>
      <c r="BS502" s="593">
        <v>1455</v>
      </c>
      <c r="BT502" s="593">
        <v>1317</v>
      </c>
      <c r="BU502" s="593">
        <v>1416</v>
      </c>
      <c r="BV502" s="593">
        <v>1373</v>
      </c>
      <c r="BW502" s="593">
        <v>1349</v>
      </c>
      <c r="BX502" s="593">
        <v>1279</v>
      </c>
      <c r="BY502" s="593">
        <v>1311</v>
      </c>
      <c r="BZ502" s="593">
        <v>1261</v>
      </c>
      <c r="CA502" s="593">
        <v>1172</v>
      </c>
      <c r="CB502" s="593">
        <v>1270</v>
      </c>
      <c r="CC502" s="593">
        <v>1212</v>
      </c>
      <c r="CD502" s="593">
        <v>1197</v>
      </c>
      <c r="CE502" s="593">
        <v>1164</v>
      </c>
      <c r="CF502" s="593">
        <v>1112</v>
      </c>
      <c r="CG502" s="593">
        <v>1141</v>
      </c>
      <c r="CH502" s="593">
        <v>1175</v>
      </c>
      <c r="CI502" s="593">
        <v>1186</v>
      </c>
      <c r="CJ502" s="593">
        <v>1175</v>
      </c>
      <c r="CK502" s="593">
        <v>999</v>
      </c>
      <c r="CL502" s="593">
        <v>920</v>
      </c>
      <c r="CM502" s="593">
        <v>863</v>
      </c>
      <c r="CN502" s="593">
        <v>789</v>
      </c>
      <c r="CO502" s="593">
        <v>736</v>
      </c>
      <c r="CP502" s="593">
        <v>619</v>
      </c>
      <c r="CQ502" s="593">
        <v>561</v>
      </c>
      <c r="CR502" s="593">
        <v>506</v>
      </c>
      <c r="CS502" s="593">
        <v>445</v>
      </c>
      <c r="CT502" s="593">
        <v>454</v>
      </c>
      <c r="CU502" s="593">
        <v>361</v>
      </c>
      <c r="CV502" s="593">
        <v>330</v>
      </c>
      <c r="CW502" s="593">
        <v>265</v>
      </c>
      <c r="CX502" s="593">
        <v>198</v>
      </c>
      <c r="CY502" s="593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>
      <c r="A503" s="31" t="s">
        <v>209</v>
      </c>
      <c r="B503" s="1" t="s">
        <v>663</v>
      </c>
      <c r="C503" s="30" t="str">
        <f t="shared" si="124"/>
        <v>LA Wales - Ceredigion</v>
      </c>
      <c r="D503" s="51">
        <f t="shared" si="126"/>
        <v>29123</v>
      </c>
      <c r="E503" s="51">
        <f t="shared" si="127"/>
        <v>30949</v>
      </c>
      <c r="F503" s="52">
        <f t="shared" si="128"/>
        <v>71610</v>
      </c>
      <c r="G503" s="52">
        <f t="shared" si="129"/>
        <v>34962</v>
      </c>
      <c r="H503" s="53">
        <f t="shared" si="130"/>
        <v>36648</v>
      </c>
      <c r="I503" s="53">
        <f t="shared" si="131"/>
        <v>29123</v>
      </c>
      <c r="J503" s="53">
        <f t="shared" si="132"/>
        <v>30949</v>
      </c>
      <c r="K503" s="50">
        <f t="shared" si="133"/>
        <v>5839</v>
      </c>
      <c r="L503" s="51">
        <f t="shared" si="134"/>
        <v>5699</v>
      </c>
      <c r="M503" s="593">
        <v>276</v>
      </c>
      <c r="N503" s="593">
        <v>237</v>
      </c>
      <c r="O503" s="593">
        <v>271</v>
      </c>
      <c r="P503" s="593">
        <v>294</v>
      </c>
      <c r="Q503" s="593">
        <v>285</v>
      </c>
      <c r="R503" s="593">
        <v>312</v>
      </c>
      <c r="S503" s="593">
        <v>341</v>
      </c>
      <c r="T503" s="593">
        <v>317</v>
      </c>
      <c r="U503" s="593">
        <v>309</v>
      </c>
      <c r="V503" s="593">
        <v>360</v>
      </c>
      <c r="W503" s="593">
        <v>360</v>
      </c>
      <c r="X503" s="593">
        <v>370</v>
      </c>
      <c r="Y503" s="593">
        <v>368</v>
      </c>
      <c r="Z503" s="593">
        <v>326</v>
      </c>
      <c r="AA503" s="593">
        <v>334</v>
      </c>
      <c r="AB503" s="593">
        <v>346</v>
      </c>
      <c r="AC503" s="593">
        <v>355</v>
      </c>
      <c r="AD503" s="593">
        <v>378</v>
      </c>
      <c r="AE503" s="593">
        <v>435</v>
      </c>
      <c r="AF503" s="593">
        <v>855</v>
      </c>
      <c r="AG503" s="593">
        <v>809</v>
      </c>
      <c r="AH503" s="593">
        <v>767</v>
      </c>
      <c r="AI503" s="593">
        <v>615</v>
      </c>
      <c r="AJ503" s="593">
        <v>548</v>
      </c>
      <c r="AK503" s="593">
        <v>432</v>
      </c>
      <c r="AL503" s="593">
        <v>350</v>
      </c>
      <c r="AM503" s="593">
        <v>336</v>
      </c>
      <c r="AN503" s="593">
        <v>361</v>
      </c>
      <c r="AO503" s="593">
        <v>363</v>
      </c>
      <c r="AP503" s="593">
        <v>307</v>
      </c>
      <c r="AQ503" s="593">
        <v>338</v>
      </c>
      <c r="AR503" s="593">
        <v>347</v>
      </c>
      <c r="AS503" s="593">
        <v>354</v>
      </c>
      <c r="AT503" s="593">
        <v>356</v>
      </c>
      <c r="AU503" s="593">
        <v>352</v>
      </c>
      <c r="AV503" s="593">
        <v>311</v>
      </c>
      <c r="AW503" s="593">
        <v>316</v>
      </c>
      <c r="AX503" s="593">
        <v>334</v>
      </c>
      <c r="AY503" s="593">
        <v>320</v>
      </c>
      <c r="AZ503" s="593">
        <v>335</v>
      </c>
      <c r="BA503" s="593">
        <v>353</v>
      </c>
      <c r="BB503" s="593">
        <v>347</v>
      </c>
      <c r="BC503" s="593">
        <v>316</v>
      </c>
      <c r="BD503" s="593">
        <v>308</v>
      </c>
      <c r="BE503" s="593">
        <v>280</v>
      </c>
      <c r="BF503" s="593">
        <v>309</v>
      </c>
      <c r="BG503" s="593">
        <v>342</v>
      </c>
      <c r="BH503" s="593">
        <v>348</v>
      </c>
      <c r="BI503" s="593">
        <v>356</v>
      </c>
      <c r="BJ503" s="593">
        <v>339</v>
      </c>
      <c r="BK503" s="593">
        <v>402</v>
      </c>
      <c r="BL503" s="593">
        <v>431</v>
      </c>
      <c r="BM503" s="593">
        <v>435</v>
      </c>
      <c r="BN503" s="593">
        <v>504</v>
      </c>
      <c r="BO503" s="593">
        <v>475</v>
      </c>
      <c r="BP503" s="593">
        <v>496</v>
      </c>
      <c r="BQ503" s="593">
        <v>511</v>
      </c>
      <c r="BR503" s="593">
        <v>501</v>
      </c>
      <c r="BS503" s="593">
        <v>541</v>
      </c>
      <c r="BT503" s="593">
        <v>553</v>
      </c>
      <c r="BU503" s="593">
        <v>538</v>
      </c>
      <c r="BV503" s="593">
        <v>517</v>
      </c>
      <c r="BW503" s="593">
        <v>495</v>
      </c>
      <c r="BX503" s="593">
        <v>529</v>
      </c>
      <c r="BY503" s="593">
        <v>518</v>
      </c>
      <c r="BZ503" s="593">
        <v>495</v>
      </c>
      <c r="CA503" s="593">
        <v>519</v>
      </c>
      <c r="CB503" s="593">
        <v>491</v>
      </c>
      <c r="CC503" s="593">
        <v>490</v>
      </c>
      <c r="CD503" s="593">
        <v>448</v>
      </c>
      <c r="CE503" s="593">
        <v>472</v>
      </c>
      <c r="CF503" s="593">
        <v>453</v>
      </c>
      <c r="CG503" s="593">
        <v>454</v>
      </c>
      <c r="CH503" s="593">
        <v>509</v>
      </c>
      <c r="CI503" s="593">
        <v>531</v>
      </c>
      <c r="CJ503" s="593">
        <v>500</v>
      </c>
      <c r="CK503" s="593">
        <v>376</v>
      </c>
      <c r="CL503" s="593">
        <v>376</v>
      </c>
      <c r="CM503" s="593">
        <v>354</v>
      </c>
      <c r="CN503" s="593">
        <v>347</v>
      </c>
      <c r="CO503" s="593">
        <v>289</v>
      </c>
      <c r="CP503" s="593">
        <v>213</v>
      </c>
      <c r="CQ503" s="593">
        <v>241</v>
      </c>
      <c r="CR503" s="593">
        <v>198</v>
      </c>
      <c r="CS503" s="593">
        <v>175</v>
      </c>
      <c r="CT503" s="593">
        <v>168</v>
      </c>
      <c r="CU503" s="593">
        <v>134</v>
      </c>
      <c r="CV503" s="593">
        <v>115</v>
      </c>
      <c r="CW503" s="593">
        <v>97</v>
      </c>
      <c r="CX503" s="593">
        <v>84</v>
      </c>
      <c r="CY503" s="593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>
      <c r="A504" s="31" t="s">
        <v>209</v>
      </c>
      <c r="B504" s="1" t="s">
        <v>664</v>
      </c>
      <c r="C504" s="30" t="str">
        <f t="shared" si="124"/>
        <v>LA Wales - Conwy</v>
      </c>
      <c r="D504" s="51">
        <f t="shared" si="126"/>
        <v>44879</v>
      </c>
      <c r="E504" s="51">
        <f t="shared" si="127"/>
        <v>48853</v>
      </c>
      <c r="F504" s="52">
        <f t="shared" si="128"/>
        <v>114290</v>
      </c>
      <c r="G504" s="52">
        <f t="shared" si="129"/>
        <v>55416</v>
      </c>
      <c r="H504" s="53">
        <f t="shared" si="130"/>
        <v>58874</v>
      </c>
      <c r="I504" s="53">
        <f t="shared" si="131"/>
        <v>44879</v>
      </c>
      <c r="J504" s="53">
        <f t="shared" si="132"/>
        <v>48853</v>
      </c>
      <c r="K504" s="50">
        <f t="shared" si="133"/>
        <v>10537</v>
      </c>
      <c r="L504" s="51">
        <f t="shared" si="134"/>
        <v>10021</v>
      </c>
      <c r="M504" s="593">
        <v>483</v>
      </c>
      <c r="N504" s="593">
        <v>469</v>
      </c>
      <c r="O504" s="593">
        <v>522</v>
      </c>
      <c r="P504" s="593">
        <v>523</v>
      </c>
      <c r="Q504" s="593">
        <v>549</v>
      </c>
      <c r="R504" s="593">
        <v>540</v>
      </c>
      <c r="S504" s="593">
        <v>563</v>
      </c>
      <c r="T504" s="593">
        <v>620</v>
      </c>
      <c r="U504" s="593">
        <v>583</v>
      </c>
      <c r="V504" s="593">
        <v>622</v>
      </c>
      <c r="W504" s="593">
        <v>611</v>
      </c>
      <c r="X504" s="593">
        <v>686</v>
      </c>
      <c r="Y504" s="593">
        <v>621</v>
      </c>
      <c r="Z504" s="593">
        <v>634</v>
      </c>
      <c r="AA504" s="593">
        <v>601</v>
      </c>
      <c r="AB504" s="593">
        <v>642</v>
      </c>
      <c r="AC504" s="593">
        <v>627</v>
      </c>
      <c r="AD504" s="593">
        <v>641</v>
      </c>
      <c r="AE504" s="593">
        <v>613</v>
      </c>
      <c r="AF504" s="593">
        <v>404</v>
      </c>
      <c r="AG504" s="593">
        <v>422</v>
      </c>
      <c r="AH504" s="593">
        <v>441</v>
      </c>
      <c r="AI504" s="593">
        <v>543</v>
      </c>
      <c r="AJ504" s="593">
        <v>525</v>
      </c>
      <c r="AK504" s="593">
        <v>583</v>
      </c>
      <c r="AL504" s="593">
        <v>572</v>
      </c>
      <c r="AM504" s="593">
        <v>471</v>
      </c>
      <c r="AN504" s="593">
        <v>561</v>
      </c>
      <c r="AO504" s="593">
        <v>538</v>
      </c>
      <c r="AP504" s="593">
        <v>526</v>
      </c>
      <c r="AQ504" s="593">
        <v>576</v>
      </c>
      <c r="AR504" s="593">
        <v>623</v>
      </c>
      <c r="AS504" s="593">
        <v>576</v>
      </c>
      <c r="AT504" s="593">
        <v>615</v>
      </c>
      <c r="AU504" s="593">
        <v>597</v>
      </c>
      <c r="AV504" s="593">
        <v>594</v>
      </c>
      <c r="AW504" s="593">
        <v>552</v>
      </c>
      <c r="AX504" s="593">
        <v>589</v>
      </c>
      <c r="AY504" s="593">
        <v>559</v>
      </c>
      <c r="AZ504" s="593">
        <v>543</v>
      </c>
      <c r="BA504" s="593">
        <v>551</v>
      </c>
      <c r="BB504" s="593">
        <v>596</v>
      </c>
      <c r="BC504" s="593">
        <v>626</v>
      </c>
      <c r="BD504" s="593">
        <v>555</v>
      </c>
      <c r="BE504" s="593">
        <v>470</v>
      </c>
      <c r="BF504" s="593">
        <v>555</v>
      </c>
      <c r="BG504" s="593">
        <v>559</v>
      </c>
      <c r="BH504" s="593">
        <v>569</v>
      </c>
      <c r="BI504" s="593">
        <v>603</v>
      </c>
      <c r="BJ504" s="593">
        <v>679</v>
      </c>
      <c r="BK504" s="593">
        <v>788</v>
      </c>
      <c r="BL504" s="593">
        <v>775</v>
      </c>
      <c r="BM504" s="593">
        <v>750</v>
      </c>
      <c r="BN504" s="593">
        <v>805</v>
      </c>
      <c r="BO504" s="593">
        <v>775</v>
      </c>
      <c r="BP504" s="593">
        <v>819</v>
      </c>
      <c r="BQ504" s="593">
        <v>862</v>
      </c>
      <c r="BR504" s="593">
        <v>890</v>
      </c>
      <c r="BS504" s="593">
        <v>870</v>
      </c>
      <c r="BT504" s="593">
        <v>881</v>
      </c>
      <c r="BU504" s="593">
        <v>879</v>
      </c>
      <c r="BV504" s="593">
        <v>894</v>
      </c>
      <c r="BW504" s="593">
        <v>876</v>
      </c>
      <c r="BX504" s="593">
        <v>830</v>
      </c>
      <c r="BY504" s="593">
        <v>792</v>
      </c>
      <c r="BZ504" s="593">
        <v>785</v>
      </c>
      <c r="CA504" s="593">
        <v>740</v>
      </c>
      <c r="CB504" s="593">
        <v>717</v>
      </c>
      <c r="CC504" s="593">
        <v>789</v>
      </c>
      <c r="CD504" s="593">
        <v>744</v>
      </c>
      <c r="CE504" s="593">
        <v>734</v>
      </c>
      <c r="CF504" s="593">
        <v>780</v>
      </c>
      <c r="CG504" s="593">
        <v>723</v>
      </c>
      <c r="CH504" s="593">
        <v>809</v>
      </c>
      <c r="CI504" s="593">
        <v>853</v>
      </c>
      <c r="CJ504" s="593">
        <v>851</v>
      </c>
      <c r="CK504" s="593">
        <v>673</v>
      </c>
      <c r="CL504" s="593">
        <v>628</v>
      </c>
      <c r="CM504" s="593">
        <v>602</v>
      </c>
      <c r="CN504" s="593">
        <v>548</v>
      </c>
      <c r="CO504" s="593">
        <v>479</v>
      </c>
      <c r="CP504" s="593">
        <v>400</v>
      </c>
      <c r="CQ504" s="593">
        <v>367</v>
      </c>
      <c r="CR504" s="593">
        <v>373</v>
      </c>
      <c r="CS504" s="593">
        <v>296</v>
      </c>
      <c r="CT504" s="593">
        <v>289</v>
      </c>
      <c r="CU504" s="593">
        <v>267</v>
      </c>
      <c r="CV504" s="593">
        <v>251</v>
      </c>
      <c r="CW504" s="593">
        <v>195</v>
      </c>
      <c r="CX504" s="593">
        <v>194</v>
      </c>
      <c r="CY504" s="593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>
      <c r="A505" s="31" t="s">
        <v>209</v>
      </c>
      <c r="B505" s="1" t="s">
        <v>665</v>
      </c>
      <c r="C505" s="30" t="str">
        <f t="shared" si="124"/>
        <v>LA Wales - Denbighshire</v>
      </c>
      <c r="D505" s="51">
        <f t="shared" si="126"/>
        <v>37039</v>
      </c>
      <c r="E505" s="51">
        <f t="shared" si="127"/>
        <v>40216</v>
      </c>
      <c r="F505" s="52">
        <f t="shared" si="128"/>
        <v>96558</v>
      </c>
      <c r="G505" s="52">
        <f t="shared" si="129"/>
        <v>46969</v>
      </c>
      <c r="H505" s="53">
        <f t="shared" si="130"/>
        <v>49589</v>
      </c>
      <c r="I505" s="53">
        <f t="shared" si="131"/>
        <v>37039</v>
      </c>
      <c r="J505" s="53">
        <f t="shared" si="132"/>
        <v>40216</v>
      </c>
      <c r="K505" s="50">
        <f t="shared" si="133"/>
        <v>9930</v>
      </c>
      <c r="L505" s="51">
        <f t="shared" si="134"/>
        <v>9373</v>
      </c>
      <c r="M505" s="593">
        <v>457</v>
      </c>
      <c r="N505" s="593">
        <v>493</v>
      </c>
      <c r="O505" s="593">
        <v>520</v>
      </c>
      <c r="P505" s="593">
        <v>480</v>
      </c>
      <c r="Q505" s="593">
        <v>486</v>
      </c>
      <c r="R505" s="593">
        <v>551</v>
      </c>
      <c r="S505" s="593">
        <v>523</v>
      </c>
      <c r="T505" s="593">
        <v>558</v>
      </c>
      <c r="U505" s="593">
        <v>524</v>
      </c>
      <c r="V505" s="593">
        <v>561</v>
      </c>
      <c r="W505" s="593">
        <v>567</v>
      </c>
      <c r="X505" s="593">
        <v>592</v>
      </c>
      <c r="Y505" s="593">
        <v>615</v>
      </c>
      <c r="Z505" s="593">
        <v>593</v>
      </c>
      <c r="AA505" s="593">
        <v>609</v>
      </c>
      <c r="AB505" s="593">
        <v>587</v>
      </c>
      <c r="AC505" s="593">
        <v>587</v>
      </c>
      <c r="AD505" s="593">
        <v>627</v>
      </c>
      <c r="AE505" s="593">
        <v>551</v>
      </c>
      <c r="AF505" s="593">
        <v>439</v>
      </c>
      <c r="AG505" s="593">
        <v>422</v>
      </c>
      <c r="AH505" s="593">
        <v>434</v>
      </c>
      <c r="AI505" s="593">
        <v>423</v>
      </c>
      <c r="AJ505" s="593">
        <v>470</v>
      </c>
      <c r="AK505" s="593">
        <v>490</v>
      </c>
      <c r="AL505" s="593">
        <v>482</v>
      </c>
      <c r="AM505" s="593">
        <v>514</v>
      </c>
      <c r="AN505" s="593">
        <v>470</v>
      </c>
      <c r="AO505" s="593">
        <v>500</v>
      </c>
      <c r="AP505" s="593">
        <v>483</v>
      </c>
      <c r="AQ505" s="593">
        <v>507</v>
      </c>
      <c r="AR505" s="593">
        <v>516</v>
      </c>
      <c r="AS505" s="593">
        <v>511</v>
      </c>
      <c r="AT505" s="593">
        <v>471</v>
      </c>
      <c r="AU505" s="593">
        <v>530</v>
      </c>
      <c r="AV505" s="593">
        <v>513</v>
      </c>
      <c r="AW505" s="593">
        <v>510</v>
      </c>
      <c r="AX505" s="593">
        <v>477</v>
      </c>
      <c r="AY505" s="593">
        <v>509</v>
      </c>
      <c r="AZ505" s="593">
        <v>424</v>
      </c>
      <c r="BA505" s="593">
        <v>488</v>
      </c>
      <c r="BB505" s="593">
        <v>496</v>
      </c>
      <c r="BC505" s="593">
        <v>500</v>
      </c>
      <c r="BD505" s="593">
        <v>478</v>
      </c>
      <c r="BE505" s="593">
        <v>422</v>
      </c>
      <c r="BF505" s="593">
        <v>464</v>
      </c>
      <c r="BG505" s="593">
        <v>515</v>
      </c>
      <c r="BH505" s="593">
        <v>516</v>
      </c>
      <c r="BI505" s="593">
        <v>525</v>
      </c>
      <c r="BJ505" s="593">
        <v>532</v>
      </c>
      <c r="BK505" s="593">
        <v>646</v>
      </c>
      <c r="BL505" s="593">
        <v>654</v>
      </c>
      <c r="BM505" s="593">
        <v>645</v>
      </c>
      <c r="BN505" s="593">
        <v>662</v>
      </c>
      <c r="BO505" s="593">
        <v>643</v>
      </c>
      <c r="BP505" s="593">
        <v>715</v>
      </c>
      <c r="BQ505" s="593">
        <v>681</v>
      </c>
      <c r="BR505" s="593">
        <v>758</v>
      </c>
      <c r="BS505" s="593">
        <v>746</v>
      </c>
      <c r="BT505" s="593">
        <v>697</v>
      </c>
      <c r="BU505" s="593">
        <v>737</v>
      </c>
      <c r="BV505" s="593">
        <v>654</v>
      </c>
      <c r="BW505" s="593">
        <v>713</v>
      </c>
      <c r="BX505" s="593">
        <v>665</v>
      </c>
      <c r="BY505" s="593">
        <v>635</v>
      </c>
      <c r="BZ505" s="593">
        <v>637</v>
      </c>
      <c r="CA505" s="593">
        <v>603</v>
      </c>
      <c r="CB505" s="593">
        <v>603</v>
      </c>
      <c r="CC505" s="593">
        <v>596</v>
      </c>
      <c r="CD505" s="593">
        <v>599</v>
      </c>
      <c r="CE505" s="593">
        <v>543</v>
      </c>
      <c r="CF505" s="593">
        <v>547</v>
      </c>
      <c r="CG505" s="593">
        <v>614</v>
      </c>
      <c r="CH505" s="593">
        <v>653</v>
      </c>
      <c r="CI505" s="593">
        <v>674</v>
      </c>
      <c r="CJ505" s="593">
        <v>666</v>
      </c>
      <c r="CK505" s="593">
        <v>469</v>
      </c>
      <c r="CL505" s="593">
        <v>446</v>
      </c>
      <c r="CM505" s="593">
        <v>473</v>
      </c>
      <c r="CN505" s="593">
        <v>443</v>
      </c>
      <c r="CO505" s="593">
        <v>359</v>
      </c>
      <c r="CP505" s="593">
        <v>328</v>
      </c>
      <c r="CQ505" s="593">
        <v>290</v>
      </c>
      <c r="CR505" s="593">
        <v>259</v>
      </c>
      <c r="CS505" s="593">
        <v>236</v>
      </c>
      <c r="CT505" s="593">
        <v>224</v>
      </c>
      <c r="CU505" s="593">
        <v>181</v>
      </c>
      <c r="CV505" s="593">
        <v>162</v>
      </c>
      <c r="CW505" s="593">
        <v>127</v>
      </c>
      <c r="CX505" s="593">
        <v>108</v>
      </c>
      <c r="CY505" s="593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>
      <c r="A506" s="31" t="s">
        <v>209</v>
      </c>
      <c r="B506" s="1" t="s">
        <v>666</v>
      </c>
      <c r="C506" s="30" t="str">
        <f t="shared" si="124"/>
        <v>LA Wales - Flintshire</v>
      </c>
      <c r="D506" s="51">
        <f t="shared" si="126"/>
        <v>60140</v>
      </c>
      <c r="E506" s="51">
        <f t="shared" si="127"/>
        <v>64292</v>
      </c>
      <c r="F506" s="52">
        <f t="shared" si="128"/>
        <v>155319</v>
      </c>
      <c r="G506" s="52">
        <f t="shared" si="129"/>
        <v>76023</v>
      </c>
      <c r="H506" s="53">
        <f t="shared" si="130"/>
        <v>79296</v>
      </c>
      <c r="I506" s="53">
        <f t="shared" si="131"/>
        <v>60140</v>
      </c>
      <c r="J506" s="53">
        <f t="shared" si="132"/>
        <v>64292</v>
      </c>
      <c r="K506" s="50">
        <f t="shared" si="133"/>
        <v>15883</v>
      </c>
      <c r="L506" s="51">
        <f t="shared" si="134"/>
        <v>15004</v>
      </c>
      <c r="M506" s="593">
        <v>701</v>
      </c>
      <c r="N506" s="593">
        <v>780</v>
      </c>
      <c r="O506" s="593">
        <v>775</v>
      </c>
      <c r="P506" s="593">
        <v>770</v>
      </c>
      <c r="Q506" s="593">
        <v>817</v>
      </c>
      <c r="R506" s="593">
        <v>825</v>
      </c>
      <c r="S506" s="593">
        <v>849</v>
      </c>
      <c r="T506" s="593">
        <v>888</v>
      </c>
      <c r="U506" s="593">
        <v>904</v>
      </c>
      <c r="V506" s="593">
        <v>899</v>
      </c>
      <c r="W506" s="593">
        <v>971</v>
      </c>
      <c r="X506" s="593">
        <v>933</v>
      </c>
      <c r="Y506" s="593">
        <v>1008</v>
      </c>
      <c r="Z506" s="593">
        <v>933</v>
      </c>
      <c r="AA506" s="593">
        <v>1033</v>
      </c>
      <c r="AB506" s="593">
        <v>950</v>
      </c>
      <c r="AC506" s="593">
        <v>903</v>
      </c>
      <c r="AD506" s="593">
        <v>944</v>
      </c>
      <c r="AE506" s="593">
        <v>881</v>
      </c>
      <c r="AF506" s="593">
        <v>661</v>
      </c>
      <c r="AG506" s="593">
        <v>648</v>
      </c>
      <c r="AH506" s="593">
        <v>673</v>
      </c>
      <c r="AI506" s="593">
        <v>728</v>
      </c>
      <c r="AJ506" s="593">
        <v>844</v>
      </c>
      <c r="AK506" s="593">
        <v>853</v>
      </c>
      <c r="AL506" s="593">
        <v>829</v>
      </c>
      <c r="AM506" s="593">
        <v>799</v>
      </c>
      <c r="AN506" s="593">
        <v>822</v>
      </c>
      <c r="AO506" s="593">
        <v>837</v>
      </c>
      <c r="AP506" s="593">
        <v>879</v>
      </c>
      <c r="AQ506" s="593">
        <v>1004</v>
      </c>
      <c r="AR506" s="593">
        <v>928</v>
      </c>
      <c r="AS506" s="593">
        <v>919</v>
      </c>
      <c r="AT506" s="593">
        <v>961</v>
      </c>
      <c r="AU506" s="593">
        <v>970</v>
      </c>
      <c r="AV506" s="593">
        <v>947</v>
      </c>
      <c r="AW506" s="593">
        <v>978</v>
      </c>
      <c r="AX506" s="593">
        <v>903</v>
      </c>
      <c r="AY506" s="593">
        <v>860</v>
      </c>
      <c r="AZ506" s="593">
        <v>889</v>
      </c>
      <c r="BA506" s="593">
        <v>925</v>
      </c>
      <c r="BB506" s="593">
        <v>916</v>
      </c>
      <c r="BC506" s="593">
        <v>930</v>
      </c>
      <c r="BD506" s="593">
        <v>875</v>
      </c>
      <c r="BE506" s="593">
        <v>855</v>
      </c>
      <c r="BF506" s="593">
        <v>802</v>
      </c>
      <c r="BG506" s="593">
        <v>825</v>
      </c>
      <c r="BH506" s="593">
        <v>925</v>
      </c>
      <c r="BI506" s="593">
        <v>970</v>
      </c>
      <c r="BJ506" s="593">
        <v>989</v>
      </c>
      <c r="BK506" s="593">
        <v>1124</v>
      </c>
      <c r="BL506" s="593">
        <v>1159</v>
      </c>
      <c r="BM506" s="593">
        <v>1172</v>
      </c>
      <c r="BN506" s="593">
        <v>1222</v>
      </c>
      <c r="BO506" s="593">
        <v>1193</v>
      </c>
      <c r="BP506" s="593">
        <v>1115</v>
      </c>
      <c r="BQ506" s="593">
        <v>1116</v>
      </c>
      <c r="BR506" s="593">
        <v>1156</v>
      </c>
      <c r="BS506" s="593">
        <v>1196</v>
      </c>
      <c r="BT506" s="593">
        <v>1096</v>
      </c>
      <c r="BU506" s="593">
        <v>1149</v>
      </c>
      <c r="BV506" s="593">
        <v>1060</v>
      </c>
      <c r="BW506" s="593">
        <v>1024</v>
      </c>
      <c r="BX506" s="593">
        <v>1036</v>
      </c>
      <c r="BY506" s="593">
        <v>912</v>
      </c>
      <c r="BZ506" s="593">
        <v>883</v>
      </c>
      <c r="CA506" s="593">
        <v>867</v>
      </c>
      <c r="CB506" s="593">
        <v>793</v>
      </c>
      <c r="CC506" s="593">
        <v>812</v>
      </c>
      <c r="CD506" s="593">
        <v>850</v>
      </c>
      <c r="CE506" s="593">
        <v>761</v>
      </c>
      <c r="CF506" s="593">
        <v>877</v>
      </c>
      <c r="CG506" s="593">
        <v>832</v>
      </c>
      <c r="CH506" s="593">
        <v>891</v>
      </c>
      <c r="CI506" s="593">
        <v>922</v>
      </c>
      <c r="CJ506" s="593">
        <v>1006</v>
      </c>
      <c r="CK506" s="593">
        <v>637</v>
      </c>
      <c r="CL506" s="593">
        <v>646</v>
      </c>
      <c r="CM506" s="593">
        <v>660</v>
      </c>
      <c r="CN506" s="593">
        <v>553</v>
      </c>
      <c r="CO506" s="593">
        <v>481</v>
      </c>
      <c r="CP506" s="593">
        <v>430</v>
      </c>
      <c r="CQ506" s="593">
        <v>426</v>
      </c>
      <c r="CR506" s="593">
        <v>354</v>
      </c>
      <c r="CS506" s="593">
        <v>350</v>
      </c>
      <c r="CT506" s="593">
        <v>287</v>
      </c>
      <c r="CU506" s="593">
        <v>257</v>
      </c>
      <c r="CV506" s="593">
        <v>212</v>
      </c>
      <c r="CW506" s="593">
        <v>170</v>
      </c>
      <c r="CX506" s="593">
        <v>138</v>
      </c>
      <c r="CY506" s="593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>
      <c r="A507" s="31" t="s">
        <v>209</v>
      </c>
      <c r="B507" s="1" t="s">
        <v>667</v>
      </c>
      <c r="C507" s="30" t="str">
        <f t="shared" si="124"/>
        <v>LA Wales - Gwynedd</v>
      </c>
      <c r="D507" s="51">
        <f t="shared" si="126"/>
        <v>46623</v>
      </c>
      <c r="E507" s="51">
        <f t="shared" si="127"/>
        <v>49111</v>
      </c>
      <c r="F507" s="52">
        <f t="shared" si="128"/>
        <v>117591</v>
      </c>
      <c r="G507" s="52">
        <f t="shared" si="129"/>
        <v>57848</v>
      </c>
      <c r="H507" s="53">
        <f t="shared" si="130"/>
        <v>59743</v>
      </c>
      <c r="I507" s="53">
        <f t="shared" si="131"/>
        <v>46623</v>
      </c>
      <c r="J507" s="53">
        <f t="shared" si="132"/>
        <v>49111</v>
      </c>
      <c r="K507" s="50">
        <f t="shared" si="133"/>
        <v>11225</v>
      </c>
      <c r="L507" s="51">
        <f t="shared" si="134"/>
        <v>10632</v>
      </c>
      <c r="M507" s="593">
        <v>554</v>
      </c>
      <c r="N507" s="593">
        <v>518</v>
      </c>
      <c r="O507" s="593">
        <v>550</v>
      </c>
      <c r="P507" s="593">
        <v>548</v>
      </c>
      <c r="Q507" s="593">
        <v>593</v>
      </c>
      <c r="R507" s="593">
        <v>563</v>
      </c>
      <c r="S507" s="593">
        <v>656</v>
      </c>
      <c r="T507" s="593">
        <v>596</v>
      </c>
      <c r="U507" s="593">
        <v>662</v>
      </c>
      <c r="V507" s="593">
        <v>660</v>
      </c>
      <c r="W507" s="593">
        <v>664</v>
      </c>
      <c r="X507" s="593">
        <v>666</v>
      </c>
      <c r="Y507" s="593">
        <v>714</v>
      </c>
      <c r="Z507" s="593">
        <v>665</v>
      </c>
      <c r="AA507" s="593">
        <v>674</v>
      </c>
      <c r="AB507" s="593">
        <v>671</v>
      </c>
      <c r="AC507" s="593">
        <v>653</v>
      </c>
      <c r="AD507" s="593">
        <v>618</v>
      </c>
      <c r="AE507" s="593">
        <v>660</v>
      </c>
      <c r="AF507" s="593">
        <v>869</v>
      </c>
      <c r="AG507" s="593">
        <v>893</v>
      </c>
      <c r="AH507" s="593">
        <v>930</v>
      </c>
      <c r="AI507" s="593">
        <v>871</v>
      </c>
      <c r="AJ507" s="593">
        <v>777</v>
      </c>
      <c r="AK507" s="593">
        <v>709</v>
      </c>
      <c r="AL507" s="593">
        <v>648</v>
      </c>
      <c r="AM507" s="593">
        <v>637</v>
      </c>
      <c r="AN507" s="593">
        <v>635</v>
      </c>
      <c r="AO507" s="593">
        <v>676</v>
      </c>
      <c r="AP507" s="593">
        <v>659</v>
      </c>
      <c r="AQ507" s="593">
        <v>661</v>
      </c>
      <c r="AR507" s="593">
        <v>643</v>
      </c>
      <c r="AS507" s="593">
        <v>663</v>
      </c>
      <c r="AT507" s="593">
        <v>677</v>
      </c>
      <c r="AU507" s="593">
        <v>680</v>
      </c>
      <c r="AV507" s="593">
        <v>704</v>
      </c>
      <c r="AW507" s="593">
        <v>572</v>
      </c>
      <c r="AX507" s="593">
        <v>595</v>
      </c>
      <c r="AY507" s="593">
        <v>582</v>
      </c>
      <c r="AZ507" s="593">
        <v>586</v>
      </c>
      <c r="BA507" s="593">
        <v>589</v>
      </c>
      <c r="BB507" s="593">
        <v>603</v>
      </c>
      <c r="BC507" s="593">
        <v>613</v>
      </c>
      <c r="BD507" s="593">
        <v>569</v>
      </c>
      <c r="BE507" s="593">
        <v>557</v>
      </c>
      <c r="BF507" s="593">
        <v>575</v>
      </c>
      <c r="BG507" s="593">
        <v>581</v>
      </c>
      <c r="BH507" s="593">
        <v>606</v>
      </c>
      <c r="BI507" s="593">
        <v>678</v>
      </c>
      <c r="BJ507" s="593">
        <v>722</v>
      </c>
      <c r="BK507" s="593">
        <v>767</v>
      </c>
      <c r="BL507" s="593">
        <v>811</v>
      </c>
      <c r="BM507" s="593">
        <v>804</v>
      </c>
      <c r="BN507" s="593">
        <v>775</v>
      </c>
      <c r="BO507" s="593">
        <v>801</v>
      </c>
      <c r="BP507" s="593">
        <v>799</v>
      </c>
      <c r="BQ507" s="593">
        <v>858</v>
      </c>
      <c r="BR507" s="593">
        <v>866</v>
      </c>
      <c r="BS507" s="593">
        <v>874</v>
      </c>
      <c r="BT507" s="593">
        <v>888</v>
      </c>
      <c r="BU507" s="593">
        <v>867</v>
      </c>
      <c r="BV507" s="593">
        <v>849</v>
      </c>
      <c r="BW507" s="593">
        <v>771</v>
      </c>
      <c r="BX507" s="593">
        <v>768</v>
      </c>
      <c r="BY507" s="593">
        <v>811</v>
      </c>
      <c r="BZ507" s="593">
        <v>756</v>
      </c>
      <c r="CA507" s="593">
        <v>711</v>
      </c>
      <c r="CB507" s="593">
        <v>727</v>
      </c>
      <c r="CC507" s="593">
        <v>675</v>
      </c>
      <c r="CD507" s="593">
        <v>709</v>
      </c>
      <c r="CE507" s="593">
        <v>650</v>
      </c>
      <c r="CF507" s="593">
        <v>649</v>
      </c>
      <c r="CG507" s="593">
        <v>649</v>
      </c>
      <c r="CH507" s="593">
        <v>729</v>
      </c>
      <c r="CI507" s="593">
        <v>764</v>
      </c>
      <c r="CJ507" s="593">
        <v>736</v>
      </c>
      <c r="CK507" s="593">
        <v>589</v>
      </c>
      <c r="CL507" s="593">
        <v>522</v>
      </c>
      <c r="CM507" s="593">
        <v>521</v>
      </c>
      <c r="CN507" s="593">
        <v>483</v>
      </c>
      <c r="CO507" s="593">
        <v>379</v>
      </c>
      <c r="CP507" s="593">
        <v>308</v>
      </c>
      <c r="CQ507" s="593">
        <v>331</v>
      </c>
      <c r="CR507" s="593">
        <v>327</v>
      </c>
      <c r="CS507" s="593">
        <v>274</v>
      </c>
      <c r="CT507" s="593">
        <v>248</v>
      </c>
      <c r="CU507" s="593">
        <v>221</v>
      </c>
      <c r="CV507" s="593">
        <v>181</v>
      </c>
      <c r="CW507" s="593">
        <v>162</v>
      </c>
      <c r="CX507" s="593">
        <v>135</v>
      </c>
      <c r="CY507" s="593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>
      <c r="A508" s="31" t="s">
        <v>209</v>
      </c>
      <c r="B508" s="1" t="s">
        <v>668</v>
      </c>
      <c r="C508" s="30" t="str">
        <f t="shared" si="124"/>
        <v>LA Wales - Isle of Anglesey</v>
      </c>
      <c r="D508" s="51">
        <f t="shared" si="126"/>
        <v>27052</v>
      </c>
      <c r="E508" s="51">
        <f t="shared" si="127"/>
        <v>28893</v>
      </c>
      <c r="F508" s="52">
        <f t="shared" si="128"/>
        <v>69049</v>
      </c>
      <c r="G508" s="52">
        <f t="shared" si="129"/>
        <v>33761</v>
      </c>
      <c r="H508" s="53">
        <f t="shared" si="130"/>
        <v>35288</v>
      </c>
      <c r="I508" s="53">
        <f t="shared" si="131"/>
        <v>27052</v>
      </c>
      <c r="J508" s="53">
        <f t="shared" si="132"/>
        <v>28893</v>
      </c>
      <c r="K508" s="50">
        <f t="shared" si="133"/>
        <v>6709</v>
      </c>
      <c r="L508" s="51">
        <f t="shared" si="134"/>
        <v>6395</v>
      </c>
      <c r="M508" s="593">
        <v>273</v>
      </c>
      <c r="N508" s="593">
        <v>322</v>
      </c>
      <c r="O508" s="593">
        <v>305</v>
      </c>
      <c r="P508" s="593">
        <v>320</v>
      </c>
      <c r="Q508" s="593">
        <v>334</v>
      </c>
      <c r="R508" s="593">
        <v>383</v>
      </c>
      <c r="S508" s="593">
        <v>383</v>
      </c>
      <c r="T508" s="593">
        <v>361</v>
      </c>
      <c r="U508" s="593">
        <v>383</v>
      </c>
      <c r="V508" s="593">
        <v>411</v>
      </c>
      <c r="W508" s="593">
        <v>394</v>
      </c>
      <c r="X508" s="593">
        <v>440</v>
      </c>
      <c r="Y508" s="593">
        <v>405</v>
      </c>
      <c r="Z508" s="593">
        <v>438</v>
      </c>
      <c r="AA508" s="593">
        <v>385</v>
      </c>
      <c r="AB508" s="593">
        <v>392</v>
      </c>
      <c r="AC508" s="593">
        <v>391</v>
      </c>
      <c r="AD508" s="593">
        <v>389</v>
      </c>
      <c r="AE508" s="593">
        <v>348</v>
      </c>
      <c r="AF508" s="593">
        <v>299</v>
      </c>
      <c r="AG508" s="593">
        <v>302</v>
      </c>
      <c r="AH508" s="593">
        <v>273</v>
      </c>
      <c r="AI508" s="593">
        <v>297</v>
      </c>
      <c r="AJ508" s="593">
        <v>367</v>
      </c>
      <c r="AK508" s="593">
        <v>299</v>
      </c>
      <c r="AL508" s="593">
        <v>316</v>
      </c>
      <c r="AM508" s="593">
        <v>341</v>
      </c>
      <c r="AN508" s="593">
        <v>319</v>
      </c>
      <c r="AO508" s="593">
        <v>363</v>
      </c>
      <c r="AP508" s="593">
        <v>338</v>
      </c>
      <c r="AQ508" s="593">
        <v>332</v>
      </c>
      <c r="AR508" s="593">
        <v>349</v>
      </c>
      <c r="AS508" s="593">
        <v>346</v>
      </c>
      <c r="AT508" s="593">
        <v>349</v>
      </c>
      <c r="AU508" s="593">
        <v>381</v>
      </c>
      <c r="AV508" s="593">
        <v>373</v>
      </c>
      <c r="AW508" s="593">
        <v>310</v>
      </c>
      <c r="AX508" s="593">
        <v>347</v>
      </c>
      <c r="AY508" s="593">
        <v>371</v>
      </c>
      <c r="AZ508" s="593">
        <v>328</v>
      </c>
      <c r="BA508" s="593">
        <v>331</v>
      </c>
      <c r="BB508" s="593">
        <v>346</v>
      </c>
      <c r="BC508" s="593">
        <v>345</v>
      </c>
      <c r="BD508" s="593">
        <v>373</v>
      </c>
      <c r="BE508" s="593">
        <v>321</v>
      </c>
      <c r="BF508" s="593">
        <v>306</v>
      </c>
      <c r="BG508" s="593">
        <v>326</v>
      </c>
      <c r="BH508" s="593">
        <v>357</v>
      </c>
      <c r="BI508" s="593">
        <v>373</v>
      </c>
      <c r="BJ508" s="593">
        <v>436</v>
      </c>
      <c r="BK508" s="593">
        <v>448</v>
      </c>
      <c r="BL508" s="593">
        <v>493</v>
      </c>
      <c r="BM508" s="593">
        <v>440</v>
      </c>
      <c r="BN508" s="593">
        <v>466</v>
      </c>
      <c r="BO508" s="593">
        <v>481</v>
      </c>
      <c r="BP508" s="593">
        <v>523</v>
      </c>
      <c r="BQ508" s="593">
        <v>490</v>
      </c>
      <c r="BR508" s="593">
        <v>546</v>
      </c>
      <c r="BS508" s="593">
        <v>515</v>
      </c>
      <c r="BT508" s="593">
        <v>563</v>
      </c>
      <c r="BU508" s="593">
        <v>503</v>
      </c>
      <c r="BV508" s="593">
        <v>511</v>
      </c>
      <c r="BW508" s="593">
        <v>539</v>
      </c>
      <c r="BX508" s="593">
        <v>521</v>
      </c>
      <c r="BY508" s="593">
        <v>482</v>
      </c>
      <c r="BZ508" s="593">
        <v>468</v>
      </c>
      <c r="CA508" s="593">
        <v>489</v>
      </c>
      <c r="CB508" s="593">
        <v>476</v>
      </c>
      <c r="CC508" s="593">
        <v>458</v>
      </c>
      <c r="CD508" s="593">
        <v>460</v>
      </c>
      <c r="CE508" s="593">
        <v>458</v>
      </c>
      <c r="CF508" s="593">
        <v>438</v>
      </c>
      <c r="CG508" s="593">
        <v>468</v>
      </c>
      <c r="CH508" s="593">
        <v>490</v>
      </c>
      <c r="CI508" s="593">
        <v>504</v>
      </c>
      <c r="CJ508" s="593">
        <v>484</v>
      </c>
      <c r="CK508" s="593">
        <v>343</v>
      </c>
      <c r="CL508" s="593">
        <v>365</v>
      </c>
      <c r="CM508" s="593">
        <v>374</v>
      </c>
      <c r="CN508" s="593">
        <v>344</v>
      </c>
      <c r="CO508" s="593">
        <v>273</v>
      </c>
      <c r="CP508" s="593">
        <v>244</v>
      </c>
      <c r="CQ508" s="593">
        <v>233</v>
      </c>
      <c r="CR508" s="593">
        <v>249</v>
      </c>
      <c r="CS508" s="593">
        <v>194</v>
      </c>
      <c r="CT508" s="593">
        <v>174</v>
      </c>
      <c r="CU508" s="593">
        <v>143</v>
      </c>
      <c r="CV508" s="593">
        <v>115</v>
      </c>
      <c r="CW508" s="593">
        <v>82</v>
      </c>
      <c r="CX508" s="593">
        <v>77</v>
      </c>
      <c r="CY508" s="593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>
      <c r="A509" s="31" t="s">
        <v>209</v>
      </c>
      <c r="B509" s="1" t="s">
        <v>669</v>
      </c>
      <c r="C509" s="30" t="str">
        <f t="shared" si="124"/>
        <v>LA Wales - Merthyr Tydfil</v>
      </c>
      <c r="D509" s="51">
        <f t="shared" si="126"/>
        <v>22353</v>
      </c>
      <c r="E509" s="51">
        <f t="shared" si="127"/>
        <v>24054</v>
      </c>
      <c r="F509" s="52">
        <f t="shared" si="128"/>
        <v>58883</v>
      </c>
      <c r="G509" s="52">
        <f t="shared" si="129"/>
        <v>28785</v>
      </c>
      <c r="H509" s="53">
        <f t="shared" si="130"/>
        <v>30098</v>
      </c>
      <c r="I509" s="53">
        <f t="shared" si="131"/>
        <v>22353</v>
      </c>
      <c r="J509" s="53">
        <f t="shared" si="132"/>
        <v>24054</v>
      </c>
      <c r="K509" s="50">
        <f t="shared" si="133"/>
        <v>6432</v>
      </c>
      <c r="L509" s="51">
        <f t="shared" si="134"/>
        <v>6044</v>
      </c>
      <c r="M509" s="593">
        <v>322</v>
      </c>
      <c r="N509" s="593">
        <v>325</v>
      </c>
      <c r="O509" s="593">
        <v>329</v>
      </c>
      <c r="P509" s="593">
        <v>309</v>
      </c>
      <c r="Q509" s="593">
        <v>371</v>
      </c>
      <c r="R509" s="593">
        <v>402</v>
      </c>
      <c r="S509" s="593">
        <v>381</v>
      </c>
      <c r="T509" s="593">
        <v>384</v>
      </c>
      <c r="U509" s="593">
        <v>350</v>
      </c>
      <c r="V509" s="593">
        <v>355</v>
      </c>
      <c r="W509" s="593">
        <v>378</v>
      </c>
      <c r="X509" s="593">
        <v>405</v>
      </c>
      <c r="Y509" s="593">
        <v>360</v>
      </c>
      <c r="Z509" s="593">
        <v>363</v>
      </c>
      <c r="AA509" s="593">
        <v>375</v>
      </c>
      <c r="AB509" s="593">
        <v>379</v>
      </c>
      <c r="AC509" s="593">
        <v>337</v>
      </c>
      <c r="AD509" s="593">
        <v>307</v>
      </c>
      <c r="AE509" s="593">
        <v>319</v>
      </c>
      <c r="AF509" s="593">
        <v>333</v>
      </c>
      <c r="AG509" s="593">
        <v>297</v>
      </c>
      <c r="AH509" s="593">
        <v>289</v>
      </c>
      <c r="AI509" s="593">
        <v>333</v>
      </c>
      <c r="AJ509" s="593">
        <v>329</v>
      </c>
      <c r="AK509" s="593">
        <v>314</v>
      </c>
      <c r="AL509" s="593">
        <v>356</v>
      </c>
      <c r="AM509" s="593">
        <v>342</v>
      </c>
      <c r="AN509" s="593">
        <v>329</v>
      </c>
      <c r="AO509" s="593">
        <v>375</v>
      </c>
      <c r="AP509" s="593">
        <v>373</v>
      </c>
      <c r="AQ509" s="593">
        <v>362</v>
      </c>
      <c r="AR509" s="593">
        <v>382</v>
      </c>
      <c r="AS509" s="593">
        <v>390</v>
      </c>
      <c r="AT509" s="593">
        <v>371</v>
      </c>
      <c r="AU509" s="593">
        <v>386</v>
      </c>
      <c r="AV509" s="593">
        <v>397</v>
      </c>
      <c r="AW509" s="593">
        <v>396</v>
      </c>
      <c r="AX509" s="593">
        <v>417</v>
      </c>
      <c r="AY509" s="593">
        <v>405</v>
      </c>
      <c r="AZ509" s="593">
        <v>353</v>
      </c>
      <c r="BA509" s="593">
        <v>345</v>
      </c>
      <c r="BB509" s="593">
        <v>368</v>
      </c>
      <c r="BC509" s="593">
        <v>386</v>
      </c>
      <c r="BD509" s="593">
        <v>340</v>
      </c>
      <c r="BE509" s="593">
        <v>284</v>
      </c>
      <c r="BF509" s="593">
        <v>280</v>
      </c>
      <c r="BG509" s="593">
        <v>319</v>
      </c>
      <c r="BH509" s="593">
        <v>331</v>
      </c>
      <c r="BI509" s="593">
        <v>303</v>
      </c>
      <c r="BJ509" s="593">
        <v>340</v>
      </c>
      <c r="BK509" s="593">
        <v>362</v>
      </c>
      <c r="BL509" s="593">
        <v>394</v>
      </c>
      <c r="BM509" s="593">
        <v>378</v>
      </c>
      <c r="BN509" s="593">
        <v>423</v>
      </c>
      <c r="BO509" s="593">
        <v>387</v>
      </c>
      <c r="BP509" s="593">
        <v>385</v>
      </c>
      <c r="BQ509" s="593">
        <v>419</v>
      </c>
      <c r="BR509" s="593">
        <v>416</v>
      </c>
      <c r="BS509" s="593">
        <v>421</v>
      </c>
      <c r="BT509" s="593">
        <v>381</v>
      </c>
      <c r="BU509" s="593">
        <v>405</v>
      </c>
      <c r="BV509" s="593">
        <v>379</v>
      </c>
      <c r="BW509" s="593">
        <v>383</v>
      </c>
      <c r="BX509" s="593">
        <v>405</v>
      </c>
      <c r="BY509" s="593">
        <v>393</v>
      </c>
      <c r="BZ509" s="593">
        <v>324</v>
      </c>
      <c r="CA509" s="593">
        <v>306</v>
      </c>
      <c r="CB509" s="593">
        <v>295</v>
      </c>
      <c r="CC509" s="593">
        <v>323</v>
      </c>
      <c r="CD509" s="593">
        <v>301</v>
      </c>
      <c r="CE509" s="593">
        <v>295</v>
      </c>
      <c r="CF509" s="593">
        <v>300</v>
      </c>
      <c r="CG509" s="593">
        <v>276</v>
      </c>
      <c r="CH509" s="593">
        <v>314</v>
      </c>
      <c r="CI509" s="593">
        <v>295</v>
      </c>
      <c r="CJ509" s="593">
        <v>264</v>
      </c>
      <c r="CK509" s="593">
        <v>208</v>
      </c>
      <c r="CL509" s="593">
        <v>225</v>
      </c>
      <c r="CM509" s="593">
        <v>219</v>
      </c>
      <c r="CN509" s="593">
        <v>190</v>
      </c>
      <c r="CO509" s="593">
        <v>177</v>
      </c>
      <c r="CP509" s="593">
        <v>123</v>
      </c>
      <c r="CQ509" s="593">
        <v>131</v>
      </c>
      <c r="CR509" s="593">
        <v>119</v>
      </c>
      <c r="CS509" s="593">
        <v>109</v>
      </c>
      <c r="CT509" s="593">
        <v>95</v>
      </c>
      <c r="CU509" s="593">
        <v>84</v>
      </c>
      <c r="CV509" s="593">
        <v>76</v>
      </c>
      <c r="CW509" s="593">
        <v>50</v>
      </c>
      <c r="CX509" s="593">
        <v>44</v>
      </c>
      <c r="CY509" s="593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>
      <c r="A510" s="31" t="s">
        <v>209</v>
      </c>
      <c r="B510" s="1" t="s">
        <v>670</v>
      </c>
      <c r="C510" s="30" t="str">
        <f t="shared" si="124"/>
        <v>LA Wales - Monmouthshire</v>
      </c>
      <c r="D510" s="51">
        <f t="shared" si="126"/>
        <v>37260</v>
      </c>
      <c r="E510" s="51">
        <f t="shared" si="127"/>
        <v>39723</v>
      </c>
      <c r="F510" s="52">
        <f t="shared" si="128"/>
        <v>93886</v>
      </c>
      <c r="G510" s="52">
        <f t="shared" si="129"/>
        <v>46037</v>
      </c>
      <c r="H510" s="53">
        <f t="shared" si="130"/>
        <v>47849</v>
      </c>
      <c r="I510" s="53">
        <f t="shared" si="131"/>
        <v>37260</v>
      </c>
      <c r="J510" s="53">
        <f t="shared" si="132"/>
        <v>39723</v>
      </c>
      <c r="K510" s="50">
        <f t="shared" si="133"/>
        <v>8777</v>
      </c>
      <c r="L510" s="51">
        <f t="shared" si="134"/>
        <v>8126</v>
      </c>
      <c r="M510" s="593">
        <v>377</v>
      </c>
      <c r="N510" s="593">
        <v>383</v>
      </c>
      <c r="O510" s="593">
        <v>404</v>
      </c>
      <c r="P510" s="593">
        <v>394</v>
      </c>
      <c r="Q510" s="593">
        <v>447</v>
      </c>
      <c r="R510" s="593">
        <v>478</v>
      </c>
      <c r="S510" s="593">
        <v>490</v>
      </c>
      <c r="T510" s="593">
        <v>485</v>
      </c>
      <c r="U510" s="593">
        <v>489</v>
      </c>
      <c r="V510" s="593">
        <v>501</v>
      </c>
      <c r="W510" s="593">
        <v>531</v>
      </c>
      <c r="X510" s="593">
        <v>542</v>
      </c>
      <c r="Y510" s="593">
        <v>515</v>
      </c>
      <c r="Z510" s="593">
        <v>563</v>
      </c>
      <c r="AA510" s="593">
        <v>550</v>
      </c>
      <c r="AB510" s="593">
        <v>559</v>
      </c>
      <c r="AC510" s="593">
        <v>524</v>
      </c>
      <c r="AD510" s="593">
        <v>545</v>
      </c>
      <c r="AE510" s="593">
        <v>490</v>
      </c>
      <c r="AF510" s="593">
        <v>319</v>
      </c>
      <c r="AG510" s="593">
        <v>335</v>
      </c>
      <c r="AH510" s="593">
        <v>372</v>
      </c>
      <c r="AI510" s="593">
        <v>418</v>
      </c>
      <c r="AJ510" s="593">
        <v>441</v>
      </c>
      <c r="AK510" s="593">
        <v>398</v>
      </c>
      <c r="AL510" s="593">
        <v>495</v>
      </c>
      <c r="AM510" s="593">
        <v>449</v>
      </c>
      <c r="AN510" s="593">
        <v>462</v>
      </c>
      <c r="AO510" s="593">
        <v>457</v>
      </c>
      <c r="AP510" s="593">
        <v>442</v>
      </c>
      <c r="AQ510" s="593">
        <v>500</v>
      </c>
      <c r="AR510" s="593">
        <v>537</v>
      </c>
      <c r="AS510" s="593">
        <v>477</v>
      </c>
      <c r="AT510" s="593">
        <v>516</v>
      </c>
      <c r="AU510" s="593">
        <v>453</v>
      </c>
      <c r="AV510" s="593">
        <v>485</v>
      </c>
      <c r="AW510" s="593">
        <v>490</v>
      </c>
      <c r="AX510" s="593">
        <v>484</v>
      </c>
      <c r="AY510" s="593">
        <v>482</v>
      </c>
      <c r="AZ510" s="593">
        <v>486</v>
      </c>
      <c r="BA510" s="593">
        <v>499</v>
      </c>
      <c r="BB510" s="593">
        <v>471</v>
      </c>
      <c r="BC510" s="593">
        <v>509</v>
      </c>
      <c r="BD510" s="593">
        <v>520</v>
      </c>
      <c r="BE510" s="593">
        <v>463</v>
      </c>
      <c r="BF510" s="593">
        <v>519</v>
      </c>
      <c r="BG510" s="593">
        <v>496</v>
      </c>
      <c r="BH510" s="593">
        <v>549</v>
      </c>
      <c r="BI510" s="593">
        <v>538</v>
      </c>
      <c r="BJ510" s="593">
        <v>592</v>
      </c>
      <c r="BK510" s="593">
        <v>667</v>
      </c>
      <c r="BL510" s="593">
        <v>708</v>
      </c>
      <c r="BM510" s="593">
        <v>648</v>
      </c>
      <c r="BN510" s="593">
        <v>693</v>
      </c>
      <c r="BO510" s="593">
        <v>749</v>
      </c>
      <c r="BP510" s="593">
        <v>752</v>
      </c>
      <c r="BQ510" s="593">
        <v>784</v>
      </c>
      <c r="BR510" s="593">
        <v>766</v>
      </c>
      <c r="BS510" s="593">
        <v>756</v>
      </c>
      <c r="BT510" s="593">
        <v>782</v>
      </c>
      <c r="BU510" s="593">
        <v>721</v>
      </c>
      <c r="BV510" s="593">
        <v>717</v>
      </c>
      <c r="BW510" s="593">
        <v>665</v>
      </c>
      <c r="BX510" s="593">
        <v>635</v>
      </c>
      <c r="BY510" s="593">
        <v>685</v>
      </c>
      <c r="BZ510" s="593">
        <v>628</v>
      </c>
      <c r="CA510" s="593">
        <v>575</v>
      </c>
      <c r="CB510" s="593">
        <v>602</v>
      </c>
      <c r="CC510" s="593">
        <v>554</v>
      </c>
      <c r="CD510" s="593">
        <v>603</v>
      </c>
      <c r="CE510" s="593">
        <v>611</v>
      </c>
      <c r="CF510" s="593">
        <v>578</v>
      </c>
      <c r="CG510" s="593">
        <v>625</v>
      </c>
      <c r="CH510" s="593">
        <v>605</v>
      </c>
      <c r="CI510" s="593">
        <v>606</v>
      </c>
      <c r="CJ510" s="593">
        <v>658</v>
      </c>
      <c r="CK510" s="593">
        <v>487</v>
      </c>
      <c r="CL510" s="593">
        <v>470</v>
      </c>
      <c r="CM510" s="593">
        <v>490</v>
      </c>
      <c r="CN510" s="593">
        <v>437</v>
      </c>
      <c r="CO510" s="593">
        <v>368</v>
      </c>
      <c r="CP510" s="593">
        <v>310</v>
      </c>
      <c r="CQ510" s="593">
        <v>342</v>
      </c>
      <c r="CR510" s="593">
        <v>275</v>
      </c>
      <c r="CS510" s="593">
        <v>241</v>
      </c>
      <c r="CT510" s="593">
        <v>224</v>
      </c>
      <c r="CU510" s="593">
        <v>217</v>
      </c>
      <c r="CV510" s="593">
        <v>168</v>
      </c>
      <c r="CW510" s="593">
        <v>170</v>
      </c>
      <c r="CX510" s="593">
        <v>145</v>
      </c>
      <c r="CY510" s="593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>
      <c r="A511" s="31" t="s">
        <v>209</v>
      </c>
      <c r="B511" s="1" t="s">
        <v>671</v>
      </c>
      <c r="C511" s="30" t="str">
        <f t="shared" si="124"/>
        <v>LA Wales - Neath Port Talbot</v>
      </c>
      <c r="D511" s="51">
        <f t="shared" si="126"/>
        <v>55265</v>
      </c>
      <c r="E511" s="51">
        <f t="shared" si="127"/>
        <v>58732</v>
      </c>
      <c r="F511" s="52">
        <f t="shared" si="128"/>
        <v>142158</v>
      </c>
      <c r="G511" s="52">
        <f t="shared" si="129"/>
        <v>69635</v>
      </c>
      <c r="H511" s="53">
        <f t="shared" si="130"/>
        <v>72523</v>
      </c>
      <c r="I511" s="53">
        <f t="shared" si="131"/>
        <v>55265</v>
      </c>
      <c r="J511" s="53">
        <f t="shared" si="132"/>
        <v>58732</v>
      </c>
      <c r="K511" s="50">
        <f t="shared" si="133"/>
        <v>14370</v>
      </c>
      <c r="L511" s="51">
        <f t="shared" si="134"/>
        <v>13791</v>
      </c>
      <c r="M511" s="593">
        <v>636</v>
      </c>
      <c r="N511" s="593">
        <v>642</v>
      </c>
      <c r="O511" s="593">
        <v>647</v>
      </c>
      <c r="P511" s="593">
        <v>707</v>
      </c>
      <c r="Q511" s="593">
        <v>762</v>
      </c>
      <c r="R511" s="593">
        <v>761</v>
      </c>
      <c r="S511" s="593">
        <v>825</v>
      </c>
      <c r="T511" s="593">
        <v>811</v>
      </c>
      <c r="U511" s="593">
        <v>818</v>
      </c>
      <c r="V511" s="593">
        <v>783</v>
      </c>
      <c r="W511" s="593">
        <v>915</v>
      </c>
      <c r="X511" s="593">
        <v>922</v>
      </c>
      <c r="Y511" s="593">
        <v>869</v>
      </c>
      <c r="Z511" s="593">
        <v>864</v>
      </c>
      <c r="AA511" s="593">
        <v>873</v>
      </c>
      <c r="AB511" s="593">
        <v>854</v>
      </c>
      <c r="AC511" s="593">
        <v>858</v>
      </c>
      <c r="AD511" s="593">
        <v>823</v>
      </c>
      <c r="AE511" s="593">
        <v>958</v>
      </c>
      <c r="AF511" s="593">
        <v>1502</v>
      </c>
      <c r="AG511" s="593">
        <v>878</v>
      </c>
      <c r="AH511" s="593">
        <v>667</v>
      </c>
      <c r="AI511" s="593">
        <v>607</v>
      </c>
      <c r="AJ511" s="593">
        <v>701</v>
      </c>
      <c r="AK511" s="593">
        <v>688</v>
      </c>
      <c r="AL511" s="593">
        <v>776</v>
      </c>
      <c r="AM511" s="593">
        <v>789</v>
      </c>
      <c r="AN511" s="593">
        <v>806</v>
      </c>
      <c r="AO511" s="593">
        <v>797</v>
      </c>
      <c r="AP511" s="593">
        <v>829</v>
      </c>
      <c r="AQ511" s="593">
        <v>904</v>
      </c>
      <c r="AR511" s="593">
        <v>851</v>
      </c>
      <c r="AS511" s="593">
        <v>855</v>
      </c>
      <c r="AT511" s="593">
        <v>855</v>
      </c>
      <c r="AU511" s="593">
        <v>825</v>
      </c>
      <c r="AV511" s="593">
        <v>845</v>
      </c>
      <c r="AW511" s="593">
        <v>903</v>
      </c>
      <c r="AX511" s="593">
        <v>859</v>
      </c>
      <c r="AY511" s="593">
        <v>868</v>
      </c>
      <c r="AZ511" s="593">
        <v>830</v>
      </c>
      <c r="BA511" s="593">
        <v>830</v>
      </c>
      <c r="BB511" s="593">
        <v>850</v>
      </c>
      <c r="BC511" s="593">
        <v>826</v>
      </c>
      <c r="BD511" s="593">
        <v>853</v>
      </c>
      <c r="BE511" s="593">
        <v>809</v>
      </c>
      <c r="BF511" s="593">
        <v>756</v>
      </c>
      <c r="BG511" s="593">
        <v>746</v>
      </c>
      <c r="BH511" s="593">
        <v>825</v>
      </c>
      <c r="BI511" s="593">
        <v>777</v>
      </c>
      <c r="BJ511" s="593">
        <v>849</v>
      </c>
      <c r="BK511" s="593">
        <v>862</v>
      </c>
      <c r="BL511" s="593">
        <v>954</v>
      </c>
      <c r="BM511" s="593">
        <v>904</v>
      </c>
      <c r="BN511" s="593">
        <v>948</v>
      </c>
      <c r="BO511" s="593">
        <v>1003</v>
      </c>
      <c r="BP511" s="593">
        <v>945</v>
      </c>
      <c r="BQ511" s="593">
        <v>984</v>
      </c>
      <c r="BR511" s="593">
        <v>991</v>
      </c>
      <c r="BS511" s="593">
        <v>1043</v>
      </c>
      <c r="BT511" s="593">
        <v>992</v>
      </c>
      <c r="BU511" s="593">
        <v>975</v>
      </c>
      <c r="BV511" s="593">
        <v>943</v>
      </c>
      <c r="BW511" s="593">
        <v>960</v>
      </c>
      <c r="BX511" s="593">
        <v>888</v>
      </c>
      <c r="BY511" s="593">
        <v>1006</v>
      </c>
      <c r="BZ511" s="593">
        <v>870</v>
      </c>
      <c r="CA511" s="593">
        <v>796</v>
      </c>
      <c r="CB511" s="593">
        <v>802</v>
      </c>
      <c r="CC511" s="593">
        <v>793</v>
      </c>
      <c r="CD511" s="593">
        <v>815</v>
      </c>
      <c r="CE511" s="593">
        <v>772</v>
      </c>
      <c r="CF511" s="593">
        <v>725</v>
      </c>
      <c r="CG511" s="593">
        <v>778</v>
      </c>
      <c r="CH511" s="593">
        <v>746</v>
      </c>
      <c r="CI511" s="593">
        <v>847</v>
      </c>
      <c r="CJ511" s="593">
        <v>799</v>
      </c>
      <c r="CK511" s="593">
        <v>579</v>
      </c>
      <c r="CL511" s="593">
        <v>577</v>
      </c>
      <c r="CM511" s="593">
        <v>556</v>
      </c>
      <c r="CN511" s="593">
        <v>505</v>
      </c>
      <c r="CO511" s="593">
        <v>452</v>
      </c>
      <c r="CP511" s="593">
        <v>360</v>
      </c>
      <c r="CQ511" s="593">
        <v>384</v>
      </c>
      <c r="CR511" s="593">
        <v>318</v>
      </c>
      <c r="CS511" s="593">
        <v>294</v>
      </c>
      <c r="CT511" s="593">
        <v>260</v>
      </c>
      <c r="CU511" s="593">
        <v>226</v>
      </c>
      <c r="CV511" s="593">
        <v>183</v>
      </c>
      <c r="CW511" s="593">
        <v>177</v>
      </c>
      <c r="CX511" s="593">
        <v>127</v>
      </c>
      <c r="CY511" s="593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>
      <c r="A512" s="31" t="s">
        <v>209</v>
      </c>
      <c r="B512" s="1" t="s">
        <v>672</v>
      </c>
      <c r="C512" s="30" t="str">
        <f t="shared" si="124"/>
        <v>LA Wales - Newport</v>
      </c>
      <c r="D512" s="51">
        <f t="shared" si="126"/>
        <v>61039</v>
      </c>
      <c r="E512" s="51">
        <f t="shared" si="127"/>
        <v>63918</v>
      </c>
      <c r="F512" s="52">
        <f t="shared" si="128"/>
        <v>161506</v>
      </c>
      <c r="G512" s="52">
        <f t="shared" si="129"/>
        <v>79686</v>
      </c>
      <c r="H512" s="53">
        <f t="shared" si="130"/>
        <v>81820</v>
      </c>
      <c r="I512" s="53">
        <f t="shared" si="131"/>
        <v>61039</v>
      </c>
      <c r="J512" s="53">
        <f t="shared" si="132"/>
        <v>63918</v>
      </c>
      <c r="K512" s="50">
        <f t="shared" si="133"/>
        <v>18647</v>
      </c>
      <c r="L512" s="51">
        <f t="shared" si="134"/>
        <v>17902</v>
      </c>
      <c r="M512" s="593">
        <v>1002</v>
      </c>
      <c r="N512" s="593">
        <v>958</v>
      </c>
      <c r="O512" s="593">
        <v>993</v>
      </c>
      <c r="P512" s="593">
        <v>1033</v>
      </c>
      <c r="Q512" s="593">
        <v>1002</v>
      </c>
      <c r="R512" s="593">
        <v>1014</v>
      </c>
      <c r="S512" s="593">
        <v>1196</v>
      </c>
      <c r="T512" s="593">
        <v>1083</v>
      </c>
      <c r="U512" s="593">
        <v>1043</v>
      </c>
      <c r="V512" s="593">
        <v>1089</v>
      </c>
      <c r="W512" s="593">
        <v>1039</v>
      </c>
      <c r="X512" s="593">
        <v>1059</v>
      </c>
      <c r="Y512" s="593">
        <v>1048</v>
      </c>
      <c r="Z512" s="593">
        <v>1123</v>
      </c>
      <c r="AA512" s="593">
        <v>1128</v>
      </c>
      <c r="AB512" s="593">
        <v>945</v>
      </c>
      <c r="AC512" s="593">
        <v>940</v>
      </c>
      <c r="AD512" s="593">
        <v>952</v>
      </c>
      <c r="AE512" s="593">
        <v>969</v>
      </c>
      <c r="AF512" s="593">
        <v>782</v>
      </c>
      <c r="AG512" s="593">
        <v>699</v>
      </c>
      <c r="AH512" s="593">
        <v>774</v>
      </c>
      <c r="AI512" s="593">
        <v>881</v>
      </c>
      <c r="AJ512" s="593">
        <v>985</v>
      </c>
      <c r="AK512" s="593">
        <v>959</v>
      </c>
      <c r="AL512" s="593">
        <v>1027</v>
      </c>
      <c r="AM512" s="593">
        <v>1005</v>
      </c>
      <c r="AN512" s="593">
        <v>1020</v>
      </c>
      <c r="AO512" s="593">
        <v>1076</v>
      </c>
      <c r="AP512" s="593">
        <v>1245</v>
      </c>
      <c r="AQ512" s="593">
        <v>1220</v>
      </c>
      <c r="AR512" s="593">
        <v>1265</v>
      </c>
      <c r="AS512" s="593">
        <v>1169</v>
      </c>
      <c r="AT512" s="593">
        <v>1279</v>
      </c>
      <c r="AU512" s="593">
        <v>1332</v>
      </c>
      <c r="AV512" s="593">
        <v>1215</v>
      </c>
      <c r="AW512" s="593">
        <v>1185</v>
      </c>
      <c r="AX512" s="593">
        <v>1259</v>
      </c>
      <c r="AY512" s="593">
        <v>1143</v>
      </c>
      <c r="AZ512" s="593">
        <v>1017</v>
      </c>
      <c r="BA512" s="593">
        <v>1038</v>
      </c>
      <c r="BB512" s="593">
        <v>1044</v>
      </c>
      <c r="BC512" s="593">
        <v>1120</v>
      </c>
      <c r="BD512" s="593">
        <v>1055</v>
      </c>
      <c r="BE512" s="593">
        <v>942</v>
      </c>
      <c r="BF512" s="593">
        <v>907</v>
      </c>
      <c r="BG512" s="593">
        <v>917</v>
      </c>
      <c r="BH512" s="593">
        <v>953</v>
      </c>
      <c r="BI512" s="593">
        <v>944</v>
      </c>
      <c r="BJ512" s="593">
        <v>996</v>
      </c>
      <c r="BK512" s="593">
        <v>980</v>
      </c>
      <c r="BL512" s="593">
        <v>1095</v>
      </c>
      <c r="BM512" s="593">
        <v>1067</v>
      </c>
      <c r="BN512" s="593">
        <v>1100</v>
      </c>
      <c r="BO512" s="593">
        <v>948</v>
      </c>
      <c r="BP512" s="593">
        <v>1070</v>
      </c>
      <c r="BQ512" s="593">
        <v>1067</v>
      </c>
      <c r="BR512" s="593">
        <v>1053</v>
      </c>
      <c r="BS512" s="593">
        <v>1041</v>
      </c>
      <c r="BT512" s="593">
        <v>1021</v>
      </c>
      <c r="BU512" s="593">
        <v>935</v>
      </c>
      <c r="BV512" s="593">
        <v>982</v>
      </c>
      <c r="BW512" s="593">
        <v>893</v>
      </c>
      <c r="BX512" s="593">
        <v>964</v>
      </c>
      <c r="BY512" s="593">
        <v>829</v>
      </c>
      <c r="BZ512" s="593">
        <v>800</v>
      </c>
      <c r="CA512" s="593">
        <v>680</v>
      </c>
      <c r="CB512" s="593">
        <v>675</v>
      </c>
      <c r="CC512" s="593">
        <v>724</v>
      </c>
      <c r="CD512" s="593">
        <v>751</v>
      </c>
      <c r="CE512" s="593">
        <v>678</v>
      </c>
      <c r="CF512" s="593">
        <v>607</v>
      </c>
      <c r="CG512" s="593">
        <v>654</v>
      </c>
      <c r="CH512" s="593">
        <v>620</v>
      </c>
      <c r="CI512" s="593">
        <v>701</v>
      </c>
      <c r="CJ512" s="593">
        <v>753</v>
      </c>
      <c r="CK512" s="593">
        <v>517</v>
      </c>
      <c r="CL512" s="593">
        <v>519</v>
      </c>
      <c r="CM512" s="593">
        <v>492</v>
      </c>
      <c r="CN512" s="593">
        <v>470</v>
      </c>
      <c r="CO512" s="593">
        <v>374</v>
      </c>
      <c r="CP512" s="593">
        <v>319</v>
      </c>
      <c r="CQ512" s="593">
        <v>324</v>
      </c>
      <c r="CR512" s="593">
        <v>314</v>
      </c>
      <c r="CS512" s="593">
        <v>256</v>
      </c>
      <c r="CT512" s="593">
        <v>240</v>
      </c>
      <c r="CU512" s="593">
        <v>230</v>
      </c>
      <c r="CV512" s="593">
        <v>172</v>
      </c>
      <c r="CW512" s="593">
        <v>142</v>
      </c>
      <c r="CX512" s="593">
        <v>117</v>
      </c>
      <c r="CY512" s="593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>
      <c r="A513" s="31" t="s">
        <v>209</v>
      </c>
      <c r="B513" s="1" t="s">
        <v>673</v>
      </c>
      <c r="C513" s="30" t="str">
        <f t="shared" si="124"/>
        <v>LA Wales - Pembrokeshire</v>
      </c>
      <c r="D513" s="51">
        <f t="shared" si="126"/>
        <v>48508</v>
      </c>
      <c r="E513" s="51">
        <f t="shared" si="127"/>
        <v>52320</v>
      </c>
      <c r="F513" s="52">
        <f t="shared" si="128"/>
        <v>124367</v>
      </c>
      <c r="G513" s="52">
        <f t="shared" si="129"/>
        <v>60607</v>
      </c>
      <c r="H513" s="53">
        <f t="shared" si="130"/>
        <v>63760</v>
      </c>
      <c r="I513" s="53">
        <f t="shared" si="131"/>
        <v>48508</v>
      </c>
      <c r="J513" s="53">
        <f t="shared" si="132"/>
        <v>52320</v>
      </c>
      <c r="K513" s="50">
        <f t="shared" si="133"/>
        <v>12099</v>
      </c>
      <c r="L513" s="51">
        <f t="shared" si="134"/>
        <v>11440</v>
      </c>
      <c r="M513" s="593">
        <v>547</v>
      </c>
      <c r="N513" s="593">
        <v>541</v>
      </c>
      <c r="O513" s="593">
        <v>560</v>
      </c>
      <c r="P513" s="593">
        <v>587</v>
      </c>
      <c r="Q513" s="593">
        <v>646</v>
      </c>
      <c r="R513" s="593">
        <v>630</v>
      </c>
      <c r="S513" s="593">
        <v>657</v>
      </c>
      <c r="T513" s="593">
        <v>695</v>
      </c>
      <c r="U513" s="593">
        <v>700</v>
      </c>
      <c r="V513" s="593">
        <v>693</v>
      </c>
      <c r="W513" s="593">
        <v>704</v>
      </c>
      <c r="X513" s="593">
        <v>745</v>
      </c>
      <c r="Y513" s="593">
        <v>723</v>
      </c>
      <c r="Z513" s="593">
        <v>691</v>
      </c>
      <c r="AA513" s="593">
        <v>785</v>
      </c>
      <c r="AB513" s="593">
        <v>690</v>
      </c>
      <c r="AC513" s="593">
        <v>779</v>
      </c>
      <c r="AD513" s="593">
        <v>726</v>
      </c>
      <c r="AE513" s="593">
        <v>659</v>
      </c>
      <c r="AF513" s="593">
        <v>545</v>
      </c>
      <c r="AG513" s="593">
        <v>505</v>
      </c>
      <c r="AH513" s="593">
        <v>573</v>
      </c>
      <c r="AI513" s="593">
        <v>608</v>
      </c>
      <c r="AJ513" s="593">
        <v>603</v>
      </c>
      <c r="AK513" s="593">
        <v>650</v>
      </c>
      <c r="AL513" s="593">
        <v>681</v>
      </c>
      <c r="AM513" s="593">
        <v>604</v>
      </c>
      <c r="AN513" s="593">
        <v>539</v>
      </c>
      <c r="AO513" s="593">
        <v>615</v>
      </c>
      <c r="AP513" s="593">
        <v>649</v>
      </c>
      <c r="AQ513" s="593">
        <v>715</v>
      </c>
      <c r="AR513" s="593">
        <v>687</v>
      </c>
      <c r="AS513" s="593">
        <v>631</v>
      </c>
      <c r="AT513" s="593">
        <v>601</v>
      </c>
      <c r="AU513" s="593">
        <v>686</v>
      </c>
      <c r="AV513" s="593">
        <v>659</v>
      </c>
      <c r="AW513" s="593">
        <v>623</v>
      </c>
      <c r="AX513" s="593">
        <v>623</v>
      </c>
      <c r="AY513" s="593">
        <v>614</v>
      </c>
      <c r="AZ513" s="593">
        <v>608</v>
      </c>
      <c r="BA513" s="593">
        <v>609</v>
      </c>
      <c r="BB513" s="593">
        <v>629</v>
      </c>
      <c r="BC513" s="593">
        <v>647</v>
      </c>
      <c r="BD513" s="593">
        <v>626</v>
      </c>
      <c r="BE513" s="593">
        <v>583</v>
      </c>
      <c r="BF513" s="593">
        <v>542</v>
      </c>
      <c r="BG513" s="593">
        <v>580</v>
      </c>
      <c r="BH513" s="593">
        <v>603</v>
      </c>
      <c r="BI513" s="593">
        <v>639</v>
      </c>
      <c r="BJ513" s="593">
        <v>703</v>
      </c>
      <c r="BK513" s="593">
        <v>754</v>
      </c>
      <c r="BL513" s="593">
        <v>757</v>
      </c>
      <c r="BM513" s="593">
        <v>818</v>
      </c>
      <c r="BN513" s="593">
        <v>808</v>
      </c>
      <c r="BO513" s="593">
        <v>855</v>
      </c>
      <c r="BP513" s="593">
        <v>905</v>
      </c>
      <c r="BQ513" s="593">
        <v>926</v>
      </c>
      <c r="BR513" s="593">
        <v>915</v>
      </c>
      <c r="BS513" s="593">
        <v>887</v>
      </c>
      <c r="BT513" s="593">
        <v>1009</v>
      </c>
      <c r="BU513" s="593">
        <v>967</v>
      </c>
      <c r="BV513" s="593">
        <v>914</v>
      </c>
      <c r="BW513" s="593">
        <v>904</v>
      </c>
      <c r="BX513" s="593">
        <v>952</v>
      </c>
      <c r="BY513" s="593">
        <v>893</v>
      </c>
      <c r="BZ513" s="593">
        <v>866</v>
      </c>
      <c r="CA513" s="593">
        <v>855</v>
      </c>
      <c r="CB513" s="593">
        <v>857</v>
      </c>
      <c r="CC513" s="593">
        <v>882</v>
      </c>
      <c r="CD513" s="593">
        <v>875</v>
      </c>
      <c r="CE513" s="593">
        <v>807</v>
      </c>
      <c r="CF513" s="593">
        <v>838</v>
      </c>
      <c r="CG513" s="593">
        <v>832</v>
      </c>
      <c r="CH513" s="593">
        <v>800</v>
      </c>
      <c r="CI513" s="593">
        <v>838</v>
      </c>
      <c r="CJ513" s="593">
        <v>882</v>
      </c>
      <c r="CK513" s="593">
        <v>614</v>
      </c>
      <c r="CL513" s="593">
        <v>659</v>
      </c>
      <c r="CM513" s="593">
        <v>627</v>
      </c>
      <c r="CN513" s="593">
        <v>545</v>
      </c>
      <c r="CO513" s="593">
        <v>490</v>
      </c>
      <c r="CP513" s="593">
        <v>469</v>
      </c>
      <c r="CQ513" s="593">
        <v>418</v>
      </c>
      <c r="CR513" s="593">
        <v>376</v>
      </c>
      <c r="CS513" s="593">
        <v>328</v>
      </c>
      <c r="CT513" s="593">
        <v>268</v>
      </c>
      <c r="CU513" s="593">
        <v>254</v>
      </c>
      <c r="CV513" s="593">
        <v>224</v>
      </c>
      <c r="CW513" s="593">
        <v>142</v>
      </c>
      <c r="CX513" s="593">
        <v>181</v>
      </c>
      <c r="CY513" s="593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>
      <c r="A514" s="31" t="s">
        <v>209</v>
      </c>
      <c r="B514" s="1" t="s">
        <v>674</v>
      </c>
      <c r="C514" s="30" t="str">
        <f t="shared" si="124"/>
        <v>LA Wales - Powys</v>
      </c>
      <c r="D514" s="51">
        <f>I514</f>
        <v>53985</v>
      </c>
      <c r="E514" s="51">
        <f>J514</f>
        <v>56355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593">
        <v>542</v>
      </c>
      <c r="N514" s="593">
        <v>558</v>
      </c>
      <c r="O514" s="593">
        <v>557</v>
      </c>
      <c r="P514" s="593">
        <v>623</v>
      </c>
      <c r="Q514" s="593">
        <v>680</v>
      </c>
      <c r="R514" s="593">
        <v>640</v>
      </c>
      <c r="S514" s="593">
        <v>636</v>
      </c>
      <c r="T514" s="593">
        <v>702</v>
      </c>
      <c r="U514" s="593">
        <v>710</v>
      </c>
      <c r="V514" s="593">
        <v>708</v>
      </c>
      <c r="W514" s="593">
        <v>684</v>
      </c>
      <c r="X514" s="593">
        <v>699</v>
      </c>
      <c r="Y514" s="593">
        <v>687</v>
      </c>
      <c r="Z514" s="593">
        <v>724</v>
      </c>
      <c r="AA514" s="593">
        <v>813</v>
      </c>
      <c r="AB514" s="593">
        <v>726</v>
      </c>
      <c r="AC514" s="593">
        <v>720</v>
      </c>
      <c r="AD514" s="593">
        <v>759</v>
      </c>
      <c r="AE514" s="593">
        <v>677</v>
      </c>
      <c r="AF514" s="593">
        <v>546</v>
      </c>
      <c r="AG514" s="593">
        <v>497</v>
      </c>
      <c r="AH514" s="593">
        <v>540</v>
      </c>
      <c r="AI514" s="593">
        <v>576</v>
      </c>
      <c r="AJ514" s="593">
        <v>708</v>
      </c>
      <c r="AK514" s="593">
        <v>659</v>
      </c>
      <c r="AL514" s="593">
        <v>640</v>
      </c>
      <c r="AM514" s="593">
        <v>700</v>
      </c>
      <c r="AN514" s="593">
        <v>643</v>
      </c>
      <c r="AO514" s="593">
        <v>676</v>
      </c>
      <c r="AP514" s="593">
        <v>655</v>
      </c>
      <c r="AQ514" s="593">
        <v>689</v>
      </c>
      <c r="AR514" s="593">
        <v>681</v>
      </c>
      <c r="AS514" s="593">
        <v>678</v>
      </c>
      <c r="AT514" s="593">
        <v>691</v>
      </c>
      <c r="AU514" s="593">
        <v>706</v>
      </c>
      <c r="AV514" s="593">
        <v>621</v>
      </c>
      <c r="AW514" s="593">
        <v>641</v>
      </c>
      <c r="AX514" s="593">
        <v>683</v>
      </c>
      <c r="AY514" s="593">
        <v>629</v>
      </c>
      <c r="AZ514" s="593">
        <v>628</v>
      </c>
      <c r="BA514" s="593">
        <v>668</v>
      </c>
      <c r="BB514" s="593">
        <v>643</v>
      </c>
      <c r="BC514" s="593">
        <v>674</v>
      </c>
      <c r="BD514" s="593">
        <v>652</v>
      </c>
      <c r="BE514" s="593">
        <v>622</v>
      </c>
      <c r="BF514" s="593">
        <v>638</v>
      </c>
      <c r="BG514" s="593">
        <v>646</v>
      </c>
      <c r="BH514" s="593">
        <v>721</v>
      </c>
      <c r="BI514" s="593">
        <v>733</v>
      </c>
      <c r="BJ514" s="593">
        <v>732</v>
      </c>
      <c r="BK514" s="593">
        <v>904</v>
      </c>
      <c r="BL514" s="593">
        <v>916</v>
      </c>
      <c r="BM514" s="593">
        <v>874</v>
      </c>
      <c r="BN514" s="593">
        <v>967</v>
      </c>
      <c r="BO514" s="593">
        <v>918</v>
      </c>
      <c r="BP514" s="593">
        <v>1049</v>
      </c>
      <c r="BQ514" s="593">
        <v>1027</v>
      </c>
      <c r="BR514" s="593">
        <v>1085</v>
      </c>
      <c r="BS514" s="593">
        <v>1055</v>
      </c>
      <c r="BT514" s="593">
        <v>1079</v>
      </c>
      <c r="BU514" s="593">
        <v>1083</v>
      </c>
      <c r="BV514" s="593">
        <v>1072</v>
      </c>
      <c r="BW514" s="593">
        <v>1062</v>
      </c>
      <c r="BX514" s="593">
        <v>1068</v>
      </c>
      <c r="BY514" s="593">
        <v>970</v>
      </c>
      <c r="BZ514" s="593">
        <v>1004</v>
      </c>
      <c r="CA514" s="593">
        <v>1048</v>
      </c>
      <c r="CB514" s="593">
        <v>920</v>
      </c>
      <c r="CC514" s="593">
        <v>981</v>
      </c>
      <c r="CD514" s="593">
        <v>986</v>
      </c>
      <c r="CE514" s="593">
        <v>946</v>
      </c>
      <c r="CF514" s="593">
        <v>909</v>
      </c>
      <c r="CG514" s="593">
        <v>957</v>
      </c>
      <c r="CH514" s="593">
        <v>966</v>
      </c>
      <c r="CI514" s="593">
        <v>1053</v>
      </c>
      <c r="CJ514" s="593">
        <v>1016</v>
      </c>
      <c r="CK514" s="593">
        <v>762</v>
      </c>
      <c r="CL514" s="593">
        <v>697</v>
      </c>
      <c r="CM514" s="593">
        <v>815</v>
      </c>
      <c r="CN514" s="593">
        <v>676</v>
      </c>
      <c r="CO514" s="593">
        <v>565</v>
      </c>
      <c r="CP514" s="593">
        <v>480</v>
      </c>
      <c r="CQ514" s="593">
        <v>484</v>
      </c>
      <c r="CR514" s="593">
        <v>421</v>
      </c>
      <c r="CS514" s="593">
        <v>402</v>
      </c>
      <c r="CT514" s="593">
        <v>348</v>
      </c>
      <c r="CU514" s="593">
        <v>295</v>
      </c>
      <c r="CV514" s="593">
        <v>283</v>
      </c>
      <c r="CW514" s="593">
        <v>234</v>
      </c>
      <c r="CX514" s="593">
        <v>151</v>
      </c>
      <c r="CY514" s="593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>
      <c r="A515" s="31" t="s">
        <v>209</v>
      </c>
      <c r="B515" s="1" t="s">
        <v>675</v>
      </c>
      <c r="C515" s="30" t="str">
        <f t="shared" si="124"/>
        <v>LA Wales - Rhondda Cynon Taf</v>
      </c>
      <c r="D515" s="51">
        <f t="shared" si="126"/>
        <v>92142</v>
      </c>
      <c r="E515" s="51">
        <f t="shared" si="127"/>
        <v>97668</v>
      </c>
      <c r="F515" s="52">
        <f t="shared" si="128"/>
        <v>239018</v>
      </c>
      <c r="G515" s="52">
        <f t="shared" si="129"/>
        <v>117258</v>
      </c>
      <c r="H515" s="53">
        <f t="shared" si="130"/>
        <v>121760</v>
      </c>
      <c r="I515" s="53">
        <f t="shared" si="131"/>
        <v>92142</v>
      </c>
      <c r="J515" s="53">
        <f t="shared" si="132"/>
        <v>97668</v>
      </c>
      <c r="K515" s="50">
        <f t="shared" si="133"/>
        <v>25116</v>
      </c>
      <c r="L515" s="51">
        <f t="shared" si="134"/>
        <v>24092</v>
      </c>
      <c r="M515" s="593">
        <v>1182</v>
      </c>
      <c r="N515" s="593">
        <v>1192</v>
      </c>
      <c r="O515" s="593">
        <v>1246</v>
      </c>
      <c r="P515" s="593">
        <v>1330</v>
      </c>
      <c r="Q515" s="593">
        <v>1390</v>
      </c>
      <c r="R515" s="593">
        <v>1335</v>
      </c>
      <c r="S515" s="593">
        <v>1349</v>
      </c>
      <c r="T515" s="593">
        <v>1424</v>
      </c>
      <c r="U515" s="593">
        <v>1454</v>
      </c>
      <c r="V515" s="593">
        <v>1448</v>
      </c>
      <c r="W515" s="593">
        <v>1470</v>
      </c>
      <c r="X515" s="593">
        <v>1500</v>
      </c>
      <c r="Y515" s="593">
        <v>1414</v>
      </c>
      <c r="Z515" s="593">
        <v>1599</v>
      </c>
      <c r="AA515" s="593">
        <v>1471</v>
      </c>
      <c r="AB515" s="593">
        <v>1487</v>
      </c>
      <c r="AC515" s="593">
        <v>1400</v>
      </c>
      <c r="AD515" s="593">
        <v>1425</v>
      </c>
      <c r="AE515" s="593">
        <v>1383</v>
      </c>
      <c r="AF515" s="593">
        <v>1430</v>
      </c>
      <c r="AG515" s="593">
        <v>1361</v>
      </c>
      <c r="AH515" s="593">
        <v>1470</v>
      </c>
      <c r="AI515" s="593">
        <v>1333</v>
      </c>
      <c r="AJ515" s="593">
        <v>1508</v>
      </c>
      <c r="AK515" s="593">
        <v>1349</v>
      </c>
      <c r="AL515" s="593">
        <v>1510</v>
      </c>
      <c r="AM515" s="593">
        <v>1397</v>
      </c>
      <c r="AN515" s="593">
        <v>1501</v>
      </c>
      <c r="AO515" s="593">
        <v>1440</v>
      </c>
      <c r="AP515" s="593">
        <v>1561</v>
      </c>
      <c r="AQ515" s="593">
        <v>1531</v>
      </c>
      <c r="AR515" s="593">
        <v>1507</v>
      </c>
      <c r="AS515" s="593">
        <v>1666</v>
      </c>
      <c r="AT515" s="593">
        <v>1646</v>
      </c>
      <c r="AU515" s="593">
        <v>1508</v>
      </c>
      <c r="AV515" s="593">
        <v>1576</v>
      </c>
      <c r="AW515" s="593">
        <v>1511</v>
      </c>
      <c r="AX515" s="593">
        <v>1573</v>
      </c>
      <c r="AY515" s="593">
        <v>1526</v>
      </c>
      <c r="AZ515" s="593">
        <v>1487</v>
      </c>
      <c r="BA515" s="593">
        <v>1448</v>
      </c>
      <c r="BB515" s="593">
        <v>1387</v>
      </c>
      <c r="BC515" s="593">
        <v>1473</v>
      </c>
      <c r="BD515" s="593">
        <v>1436</v>
      </c>
      <c r="BE515" s="593">
        <v>1292</v>
      </c>
      <c r="BF515" s="593">
        <v>1234</v>
      </c>
      <c r="BG515" s="593">
        <v>1228</v>
      </c>
      <c r="BH515" s="593">
        <v>1344</v>
      </c>
      <c r="BI515" s="593">
        <v>1265</v>
      </c>
      <c r="BJ515" s="593">
        <v>1525</v>
      </c>
      <c r="BK515" s="593">
        <v>1616</v>
      </c>
      <c r="BL515" s="593">
        <v>1695</v>
      </c>
      <c r="BM515" s="593">
        <v>1558</v>
      </c>
      <c r="BN515" s="593">
        <v>1611</v>
      </c>
      <c r="BO515" s="593">
        <v>1667</v>
      </c>
      <c r="BP515" s="593">
        <v>1659</v>
      </c>
      <c r="BQ515" s="593">
        <v>1692</v>
      </c>
      <c r="BR515" s="593">
        <v>1734</v>
      </c>
      <c r="BS515" s="593">
        <v>1649</v>
      </c>
      <c r="BT515" s="593">
        <v>1594</v>
      </c>
      <c r="BU515" s="593">
        <v>1607</v>
      </c>
      <c r="BV515" s="593">
        <v>1496</v>
      </c>
      <c r="BW515" s="593">
        <v>1364</v>
      </c>
      <c r="BX515" s="593">
        <v>1434</v>
      </c>
      <c r="BY515" s="593">
        <v>1372</v>
      </c>
      <c r="BZ515" s="593">
        <v>1354</v>
      </c>
      <c r="CA515" s="593">
        <v>1261</v>
      </c>
      <c r="CB515" s="593">
        <v>1184</v>
      </c>
      <c r="CC515" s="593">
        <v>1223</v>
      </c>
      <c r="CD515" s="593">
        <v>1163</v>
      </c>
      <c r="CE515" s="593">
        <v>1238</v>
      </c>
      <c r="CF515" s="593">
        <v>1171</v>
      </c>
      <c r="CG515" s="593">
        <v>1232</v>
      </c>
      <c r="CH515" s="593">
        <v>1244</v>
      </c>
      <c r="CI515" s="593">
        <v>1280</v>
      </c>
      <c r="CJ515" s="593">
        <v>1272</v>
      </c>
      <c r="CK515" s="593">
        <v>1071</v>
      </c>
      <c r="CL515" s="593">
        <v>988</v>
      </c>
      <c r="CM515" s="593">
        <v>843</v>
      </c>
      <c r="CN515" s="593">
        <v>708</v>
      </c>
      <c r="CO515" s="593">
        <v>680</v>
      </c>
      <c r="CP515" s="593">
        <v>591</v>
      </c>
      <c r="CQ515" s="593">
        <v>536</v>
      </c>
      <c r="CR515" s="593">
        <v>480</v>
      </c>
      <c r="CS515" s="593">
        <v>454</v>
      </c>
      <c r="CT515" s="593">
        <v>366</v>
      </c>
      <c r="CU515" s="593">
        <v>342</v>
      </c>
      <c r="CV515" s="593">
        <v>288</v>
      </c>
      <c r="CW515" s="593">
        <v>231</v>
      </c>
      <c r="CX515" s="593">
        <v>183</v>
      </c>
      <c r="CY515" s="593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>
      <c r="A516" s="31" t="s">
        <v>209</v>
      </c>
      <c r="B516" s="1" t="s">
        <v>676</v>
      </c>
      <c r="C516" s="30" t="str">
        <f t="shared" si="124"/>
        <v>LA Wales - Swansea</v>
      </c>
      <c r="D516" s="51">
        <f t="shared" si="126"/>
        <v>95345</v>
      </c>
      <c r="E516" s="51">
        <f t="shared" si="127"/>
        <v>99468</v>
      </c>
      <c r="F516" s="52">
        <f t="shared" si="128"/>
        <v>241282</v>
      </c>
      <c r="G516" s="52">
        <f t="shared" si="129"/>
        <v>119485</v>
      </c>
      <c r="H516" s="53">
        <f t="shared" si="130"/>
        <v>121797</v>
      </c>
      <c r="I516" s="53">
        <f t="shared" si="131"/>
        <v>95345</v>
      </c>
      <c r="J516" s="53">
        <f t="shared" si="132"/>
        <v>99468</v>
      </c>
      <c r="K516" s="50">
        <f t="shared" si="133"/>
        <v>24140</v>
      </c>
      <c r="L516" s="51">
        <f t="shared" si="134"/>
        <v>22329</v>
      </c>
      <c r="M516" s="593">
        <v>1134</v>
      </c>
      <c r="N516" s="593">
        <v>1063</v>
      </c>
      <c r="O516" s="593">
        <v>1133</v>
      </c>
      <c r="P516" s="593">
        <v>1224</v>
      </c>
      <c r="Q516" s="593">
        <v>1266</v>
      </c>
      <c r="R516" s="593">
        <v>1252</v>
      </c>
      <c r="S516" s="593">
        <v>1374</v>
      </c>
      <c r="T516" s="593">
        <v>1363</v>
      </c>
      <c r="U516" s="593">
        <v>1342</v>
      </c>
      <c r="V516" s="593">
        <v>1419</v>
      </c>
      <c r="W516" s="593">
        <v>1459</v>
      </c>
      <c r="X516" s="593">
        <v>1510</v>
      </c>
      <c r="Y516" s="593">
        <v>1407</v>
      </c>
      <c r="Z516" s="593">
        <v>1464</v>
      </c>
      <c r="AA516" s="593">
        <v>1527</v>
      </c>
      <c r="AB516" s="593">
        <v>1392</v>
      </c>
      <c r="AC516" s="593">
        <v>1385</v>
      </c>
      <c r="AD516" s="593">
        <v>1426</v>
      </c>
      <c r="AE516" s="593">
        <v>1459</v>
      </c>
      <c r="AF516" s="593">
        <v>1896</v>
      </c>
      <c r="AG516" s="593">
        <v>2522</v>
      </c>
      <c r="AH516" s="593">
        <v>2615</v>
      </c>
      <c r="AI516" s="593">
        <v>2280</v>
      </c>
      <c r="AJ516" s="593">
        <v>1910</v>
      </c>
      <c r="AK516" s="593">
        <v>1501</v>
      </c>
      <c r="AL516" s="593">
        <v>1507</v>
      </c>
      <c r="AM516" s="593">
        <v>1486</v>
      </c>
      <c r="AN516" s="593">
        <v>1351</v>
      </c>
      <c r="AO516" s="593">
        <v>1422</v>
      </c>
      <c r="AP516" s="593">
        <v>1448</v>
      </c>
      <c r="AQ516" s="593">
        <v>1520</v>
      </c>
      <c r="AR516" s="593">
        <v>1551</v>
      </c>
      <c r="AS516" s="593">
        <v>1644</v>
      </c>
      <c r="AT516" s="593">
        <v>1442</v>
      </c>
      <c r="AU516" s="593">
        <v>1501</v>
      </c>
      <c r="AV516" s="593">
        <v>1514</v>
      </c>
      <c r="AW516" s="593">
        <v>1498</v>
      </c>
      <c r="AX516" s="593">
        <v>1597</v>
      </c>
      <c r="AY516" s="593">
        <v>1396</v>
      </c>
      <c r="AZ516" s="593">
        <v>1455</v>
      </c>
      <c r="BA516" s="593">
        <v>1397</v>
      </c>
      <c r="BB516" s="593">
        <v>1417</v>
      </c>
      <c r="BC516" s="593">
        <v>1584</v>
      </c>
      <c r="BD516" s="593">
        <v>1343</v>
      </c>
      <c r="BE516" s="593">
        <v>1273</v>
      </c>
      <c r="BF516" s="593">
        <v>1289</v>
      </c>
      <c r="BG516" s="593">
        <v>1339</v>
      </c>
      <c r="BH516" s="593">
        <v>1379</v>
      </c>
      <c r="BI516" s="593">
        <v>1335</v>
      </c>
      <c r="BJ516" s="593">
        <v>1336</v>
      </c>
      <c r="BK516" s="593">
        <v>1462</v>
      </c>
      <c r="BL516" s="593">
        <v>1510</v>
      </c>
      <c r="BM516" s="593">
        <v>1509</v>
      </c>
      <c r="BN516" s="593">
        <v>1691</v>
      </c>
      <c r="BO516" s="593">
        <v>1552</v>
      </c>
      <c r="BP516" s="593">
        <v>1528</v>
      </c>
      <c r="BQ516" s="593">
        <v>1522</v>
      </c>
      <c r="BR516" s="593">
        <v>1665</v>
      </c>
      <c r="BS516" s="593">
        <v>1640</v>
      </c>
      <c r="BT516" s="593">
        <v>1484</v>
      </c>
      <c r="BU516" s="593">
        <v>1519</v>
      </c>
      <c r="BV516" s="593">
        <v>1456</v>
      </c>
      <c r="BW516" s="593">
        <v>1447</v>
      </c>
      <c r="BX516" s="593">
        <v>1394</v>
      </c>
      <c r="BY516" s="593">
        <v>1349</v>
      </c>
      <c r="BZ516" s="593">
        <v>1273</v>
      </c>
      <c r="CA516" s="593">
        <v>1240</v>
      </c>
      <c r="CB516" s="593">
        <v>1189</v>
      </c>
      <c r="CC516" s="593">
        <v>1181</v>
      </c>
      <c r="CD516" s="593">
        <v>1218</v>
      </c>
      <c r="CE516" s="593">
        <v>1171</v>
      </c>
      <c r="CF516" s="593">
        <v>1093</v>
      </c>
      <c r="CG516" s="593">
        <v>1212</v>
      </c>
      <c r="CH516" s="593">
        <v>1187</v>
      </c>
      <c r="CI516" s="593">
        <v>1233</v>
      </c>
      <c r="CJ516" s="593">
        <v>1340</v>
      </c>
      <c r="CK516" s="593">
        <v>889</v>
      </c>
      <c r="CL516" s="593">
        <v>905</v>
      </c>
      <c r="CM516" s="593">
        <v>899</v>
      </c>
      <c r="CN516" s="593">
        <v>852</v>
      </c>
      <c r="CO516" s="593">
        <v>748</v>
      </c>
      <c r="CP516" s="593">
        <v>612</v>
      </c>
      <c r="CQ516" s="593">
        <v>591</v>
      </c>
      <c r="CR516" s="593">
        <v>524</v>
      </c>
      <c r="CS516" s="593">
        <v>525</v>
      </c>
      <c r="CT516" s="593">
        <v>455</v>
      </c>
      <c r="CU516" s="593">
        <v>393</v>
      </c>
      <c r="CV516" s="593">
        <v>348</v>
      </c>
      <c r="CW516" s="593">
        <v>276</v>
      </c>
      <c r="CX516" s="593">
        <v>244</v>
      </c>
      <c r="CY516" s="593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>
      <c r="A517" s="31" t="s">
        <v>209</v>
      </c>
      <c r="B517" s="1" t="s">
        <v>677</v>
      </c>
      <c r="C517" s="30" t="str">
        <f t="shared" si="124"/>
        <v>LA Wales - Torfaen</v>
      </c>
      <c r="D517" s="51">
        <f t="shared" si="126"/>
        <v>35074</v>
      </c>
      <c r="E517" s="51">
        <f t="shared" si="127"/>
        <v>38434</v>
      </c>
      <c r="F517" s="52">
        <f t="shared" si="128"/>
        <v>92860</v>
      </c>
      <c r="G517" s="52">
        <f t="shared" si="129"/>
        <v>45114</v>
      </c>
      <c r="H517" s="53">
        <f t="shared" si="130"/>
        <v>47746</v>
      </c>
      <c r="I517" s="53">
        <f t="shared" si="131"/>
        <v>35074</v>
      </c>
      <c r="J517" s="53">
        <f t="shared" si="132"/>
        <v>38434</v>
      </c>
      <c r="K517" s="50">
        <f t="shared" si="133"/>
        <v>10040</v>
      </c>
      <c r="L517" s="51">
        <f t="shared" si="134"/>
        <v>9312</v>
      </c>
      <c r="M517" s="593">
        <v>514</v>
      </c>
      <c r="N517" s="593">
        <v>466</v>
      </c>
      <c r="O517" s="593">
        <v>537</v>
      </c>
      <c r="P517" s="593">
        <v>540</v>
      </c>
      <c r="Q517" s="593">
        <v>516</v>
      </c>
      <c r="R517" s="593">
        <v>556</v>
      </c>
      <c r="S517" s="593">
        <v>581</v>
      </c>
      <c r="T517" s="593">
        <v>514</v>
      </c>
      <c r="U517" s="593">
        <v>551</v>
      </c>
      <c r="V517" s="593">
        <v>551</v>
      </c>
      <c r="W517" s="593">
        <v>588</v>
      </c>
      <c r="X517" s="593">
        <v>600</v>
      </c>
      <c r="Y517" s="593">
        <v>586</v>
      </c>
      <c r="Z517" s="593">
        <v>625</v>
      </c>
      <c r="AA517" s="593">
        <v>581</v>
      </c>
      <c r="AB517" s="593">
        <v>557</v>
      </c>
      <c r="AC517" s="593">
        <v>592</v>
      </c>
      <c r="AD517" s="593">
        <v>585</v>
      </c>
      <c r="AE517" s="593">
        <v>488</v>
      </c>
      <c r="AF517" s="593">
        <v>425</v>
      </c>
      <c r="AG517" s="593">
        <v>404</v>
      </c>
      <c r="AH517" s="593">
        <v>418</v>
      </c>
      <c r="AI517" s="593">
        <v>438</v>
      </c>
      <c r="AJ517" s="593">
        <v>462</v>
      </c>
      <c r="AK517" s="593">
        <v>507</v>
      </c>
      <c r="AL517" s="593">
        <v>598</v>
      </c>
      <c r="AM517" s="593">
        <v>533</v>
      </c>
      <c r="AN517" s="593">
        <v>576</v>
      </c>
      <c r="AO517" s="593">
        <v>555</v>
      </c>
      <c r="AP517" s="593">
        <v>540</v>
      </c>
      <c r="AQ517" s="593">
        <v>596</v>
      </c>
      <c r="AR517" s="593">
        <v>615</v>
      </c>
      <c r="AS517" s="593">
        <v>622</v>
      </c>
      <c r="AT517" s="593">
        <v>617</v>
      </c>
      <c r="AU517" s="593">
        <v>553</v>
      </c>
      <c r="AV517" s="593">
        <v>586</v>
      </c>
      <c r="AW517" s="593">
        <v>593</v>
      </c>
      <c r="AX517" s="593">
        <v>574</v>
      </c>
      <c r="AY517" s="593">
        <v>532</v>
      </c>
      <c r="AZ517" s="593">
        <v>548</v>
      </c>
      <c r="BA517" s="593">
        <v>555</v>
      </c>
      <c r="BB517" s="593">
        <v>493</v>
      </c>
      <c r="BC517" s="593">
        <v>523</v>
      </c>
      <c r="BD517" s="593">
        <v>539</v>
      </c>
      <c r="BE517" s="593">
        <v>428</v>
      </c>
      <c r="BF517" s="593">
        <v>504</v>
      </c>
      <c r="BG517" s="593">
        <v>432</v>
      </c>
      <c r="BH517" s="593">
        <v>497</v>
      </c>
      <c r="BI517" s="593">
        <v>493</v>
      </c>
      <c r="BJ517" s="593">
        <v>561</v>
      </c>
      <c r="BK517" s="593">
        <v>569</v>
      </c>
      <c r="BL517" s="593">
        <v>636</v>
      </c>
      <c r="BM517" s="593">
        <v>634</v>
      </c>
      <c r="BN517" s="593">
        <v>601</v>
      </c>
      <c r="BO517" s="593">
        <v>597</v>
      </c>
      <c r="BP517" s="593">
        <v>623</v>
      </c>
      <c r="BQ517" s="593">
        <v>631</v>
      </c>
      <c r="BR517" s="593">
        <v>707</v>
      </c>
      <c r="BS517" s="593">
        <v>646</v>
      </c>
      <c r="BT517" s="593">
        <v>672</v>
      </c>
      <c r="BU517" s="593">
        <v>661</v>
      </c>
      <c r="BV517" s="593">
        <v>655</v>
      </c>
      <c r="BW517" s="593">
        <v>574</v>
      </c>
      <c r="BX517" s="593">
        <v>580</v>
      </c>
      <c r="BY517" s="593">
        <v>594</v>
      </c>
      <c r="BZ517" s="593">
        <v>511</v>
      </c>
      <c r="CA517" s="593">
        <v>490</v>
      </c>
      <c r="CB517" s="593">
        <v>470</v>
      </c>
      <c r="CC517" s="593">
        <v>535</v>
      </c>
      <c r="CD517" s="593">
        <v>469</v>
      </c>
      <c r="CE517" s="593">
        <v>488</v>
      </c>
      <c r="CF517" s="593">
        <v>479</v>
      </c>
      <c r="CG517" s="593">
        <v>457</v>
      </c>
      <c r="CH517" s="593">
        <v>484</v>
      </c>
      <c r="CI517" s="593">
        <v>455</v>
      </c>
      <c r="CJ517" s="593">
        <v>541</v>
      </c>
      <c r="CK517" s="593">
        <v>404</v>
      </c>
      <c r="CL517" s="593">
        <v>398</v>
      </c>
      <c r="CM517" s="593">
        <v>348</v>
      </c>
      <c r="CN517" s="593">
        <v>298</v>
      </c>
      <c r="CO517" s="593">
        <v>266</v>
      </c>
      <c r="CP517" s="593">
        <v>246</v>
      </c>
      <c r="CQ517" s="593">
        <v>224</v>
      </c>
      <c r="CR517" s="593">
        <v>223</v>
      </c>
      <c r="CS517" s="593">
        <v>187</v>
      </c>
      <c r="CT517" s="593">
        <v>157</v>
      </c>
      <c r="CU517" s="593">
        <v>143</v>
      </c>
      <c r="CV517" s="593">
        <v>129</v>
      </c>
      <c r="CW517" s="593">
        <v>118</v>
      </c>
      <c r="CX517" s="593">
        <v>110</v>
      </c>
      <c r="CY517" s="593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>
      <c r="A518" s="31" t="s">
        <v>209</v>
      </c>
      <c r="B518" s="1" t="s">
        <v>678</v>
      </c>
      <c r="C518" s="30" t="str">
        <f t="shared" si="124"/>
        <v>LA Wales - Vale of Glamorgan</v>
      </c>
      <c r="D518" s="51">
        <f t="shared" si="126"/>
        <v>50182</v>
      </c>
      <c r="E518" s="51">
        <f t="shared" si="127"/>
        <v>55461</v>
      </c>
      <c r="F518" s="52">
        <f t="shared" si="128"/>
        <v>133492</v>
      </c>
      <c r="G518" s="52">
        <f t="shared" si="129"/>
        <v>64368</v>
      </c>
      <c r="H518" s="53">
        <f t="shared" si="130"/>
        <v>69124</v>
      </c>
      <c r="I518" s="53">
        <f t="shared" si="131"/>
        <v>50182</v>
      </c>
      <c r="J518" s="53">
        <f t="shared" si="132"/>
        <v>55461</v>
      </c>
      <c r="K518" s="50">
        <f t="shared" si="133"/>
        <v>14186</v>
      </c>
      <c r="L518" s="51">
        <f t="shared" si="134"/>
        <v>13663</v>
      </c>
      <c r="M518" s="593">
        <v>642</v>
      </c>
      <c r="N518" s="593">
        <v>670</v>
      </c>
      <c r="O518" s="593">
        <v>666</v>
      </c>
      <c r="P518" s="593">
        <v>745</v>
      </c>
      <c r="Q518" s="593">
        <v>708</v>
      </c>
      <c r="R518" s="593">
        <v>814</v>
      </c>
      <c r="S518" s="593">
        <v>772</v>
      </c>
      <c r="T518" s="593">
        <v>756</v>
      </c>
      <c r="U518" s="593">
        <v>790</v>
      </c>
      <c r="V518" s="593">
        <v>869</v>
      </c>
      <c r="W518" s="593">
        <v>878</v>
      </c>
      <c r="X518" s="593">
        <v>861</v>
      </c>
      <c r="Y518" s="593">
        <v>888</v>
      </c>
      <c r="Z518" s="593">
        <v>889</v>
      </c>
      <c r="AA518" s="593">
        <v>863</v>
      </c>
      <c r="AB518" s="593">
        <v>841</v>
      </c>
      <c r="AC518" s="593">
        <v>775</v>
      </c>
      <c r="AD518" s="593">
        <v>759</v>
      </c>
      <c r="AE518" s="593">
        <v>728</v>
      </c>
      <c r="AF518" s="593">
        <v>587</v>
      </c>
      <c r="AG518" s="593">
        <v>503</v>
      </c>
      <c r="AH518" s="593">
        <v>620</v>
      </c>
      <c r="AI518" s="593">
        <v>676</v>
      </c>
      <c r="AJ518" s="593">
        <v>666</v>
      </c>
      <c r="AK518" s="593">
        <v>621</v>
      </c>
      <c r="AL518" s="593">
        <v>702</v>
      </c>
      <c r="AM518" s="593">
        <v>663</v>
      </c>
      <c r="AN518" s="593">
        <v>711</v>
      </c>
      <c r="AO518" s="593">
        <v>738</v>
      </c>
      <c r="AP518" s="593">
        <v>687</v>
      </c>
      <c r="AQ518" s="593">
        <v>701</v>
      </c>
      <c r="AR518" s="593">
        <v>728</v>
      </c>
      <c r="AS518" s="593">
        <v>706</v>
      </c>
      <c r="AT518" s="593">
        <v>774</v>
      </c>
      <c r="AU518" s="593">
        <v>806</v>
      </c>
      <c r="AV518" s="593">
        <v>800</v>
      </c>
      <c r="AW518" s="593">
        <v>846</v>
      </c>
      <c r="AX518" s="593">
        <v>741</v>
      </c>
      <c r="AY518" s="593">
        <v>762</v>
      </c>
      <c r="AZ518" s="593">
        <v>802</v>
      </c>
      <c r="BA518" s="593">
        <v>818</v>
      </c>
      <c r="BB518" s="593">
        <v>893</v>
      </c>
      <c r="BC518" s="593">
        <v>884</v>
      </c>
      <c r="BD518" s="593">
        <v>832</v>
      </c>
      <c r="BE518" s="593">
        <v>669</v>
      </c>
      <c r="BF518" s="593">
        <v>732</v>
      </c>
      <c r="BG518" s="593">
        <v>722</v>
      </c>
      <c r="BH518" s="593">
        <v>807</v>
      </c>
      <c r="BI518" s="593">
        <v>781</v>
      </c>
      <c r="BJ518" s="593">
        <v>815</v>
      </c>
      <c r="BK518" s="593">
        <v>842</v>
      </c>
      <c r="BL518" s="593">
        <v>880</v>
      </c>
      <c r="BM518" s="593">
        <v>853</v>
      </c>
      <c r="BN518" s="593">
        <v>916</v>
      </c>
      <c r="BO518" s="593">
        <v>871</v>
      </c>
      <c r="BP518" s="593">
        <v>920</v>
      </c>
      <c r="BQ518" s="593">
        <v>867</v>
      </c>
      <c r="BR518" s="593">
        <v>906</v>
      </c>
      <c r="BS518" s="593">
        <v>932</v>
      </c>
      <c r="BT518" s="593">
        <v>907</v>
      </c>
      <c r="BU518" s="593">
        <v>934</v>
      </c>
      <c r="BV518" s="593">
        <v>904</v>
      </c>
      <c r="BW518" s="593">
        <v>828</v>
      </c>
      <c r="BX518" s="593">
        <v>857</v>
      </c>
      <c r="BY518" s="593">
        <v>763</v>
      </c>
      <c r="BZ518" s="593">
        <v>786</v>
      </c>
      <c r="CA518" s="593">
        <v>761</v>
      </c>
      <c r="CB518" s="593">
        <v>745</v>
      </c>
      <c r="CC518" s="593">
        <v>753</v>
      </c>
      <c r="CD518" s="593">
        <v>754</v>
      </c>
      <c r="CE518" s="593">
        <v>696</v>
      </c>
      <c r="CF518" s="593">
        <v>706</v>
      </c>
      <c r="CG518" s="593">
        <v>707</v>
      </c>
      <c r="CH518" s="593">
        <v>714</v>
      </c>
      <c r="CI518" s="593">
        <v>737</v>
      </c>
      <c r="CJ518" s="593">
        <v>775</v>
      </c>
      <c r="CK518" s="593">
        <v>562</v>
      </c>
      <c r="CL518" s="593">
        <v>555</v>
      </c>
      <c r="CM518" s="593">
        <v>563</v>
      </c>
      <c r="CN518" s="593">
        <v>468</v>
      </c>
      <c r="CO518" s="593">
        <v>410</v>
      </c>
      <c r="CP518" s="593">
        <v>391</v>
      </c>
      <c r="CQ518" s="593">
        <v>349</v>
      </c>
      <c r="CR518" s="593">
        <v>336</v>
      </c>
      <c r="CS518" s="593">
        <v>307</v>
      </c>
      <c r="CT518" s="593">
        <v>239</v>
      </c>
      <c r="CU518" s="593">
        <v>231</v>
      </c>
      <c r="CV518" s="593">
        <v>180</v>
      </c>
      <c r="CW518" s="593">
        <v>170</v>
      </c>
      <c r="CX518" s="593">
        <v>135</v>
      </c>
      <c r="CY518" s="593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>
      <c r="A519" s="31" t="s">
        <v>209</v>
      </c>
      <c r="B519" s="1" t="s">
        <v>679</v>
      </c>
      <c r="C519" s="30" t="str">
        <f t="shared" si="124"/>
        <v>LA Wales - Wrexham</v>
      </c>
      <c r="D519" s="51">
        <f t="shared" si="126"/>
        <v>52713</v>
      </c>
      <c r="E519" s="51">
        <f t="shared" si="127"/>
        <v>54756</v>
      </c>
      <c r="F519" s="52">
        <f t="shared" si="128"/>
        <v>135394</v>
      </c>
      <c r="G519" s="52">
        <f t="shared" si="129"/>
        <v>67012</v>
      </c>
      <c r="H519" s="53">
        <f t="shared" si="130"/>
        <v>68382</v>
      </c>
      <c r="I519" s="53">
        <f t="shared" si="131"/>
        <v>52713</v>
      </c>
      <c r="J519" s="53">
        <f t="shared" si="132"/>
        <v>54756</v>
      </c>
      <c r="K519" s="50">
        <f t="shared" si="133"/>
        <v>14299</v>
      </c>
      <c r="L519" s="51">
        <f t="shared" si="134"/>
        <v>13626</v>
      </c>
      <c r="M519" s="593">
        <v>673</v>
      </c>
      <c r="N519" s="593">
        <v>647</v>
      </c>
      <c r="O519" s="593">
        <v>740</v>
      </c>
      <c r="P519" s="593">
        <v>723</v>
      </c>
      <c r="Q519" s="593">
        <v>730</v>
      </c>
      <c r="R519" s="593">
        <v>761</v>
      </c>
      <c r="S519" s="593">
        <v>793</v>
      </c>
      <c r="T519" s="593">
        <v>761</v>
      </c>
      <c r="U519" s="593">
        <v>814</v>
      </c>
      <c r="V519" s="593">
        <v>862</v>
      </c>
      <c r="W519" s="593">
        <v>831</v>
      </c>
      <c r="X519" s="593">
        <v>858</v>
      </c>
      <c r="Y519" s="593">
        <v>859</v>
      </c>
      <c r="Z519" s="593">
        <v>879</v>
      </c>
      <c r="AA519" s="593">
        <v>845</v>
      </c>
      <c r="AB519" s="593">
        <v>853</v>
      </c>
      <c r="AC519" s="593">
        <v>831</v>
      </c>
      <c r="AD519" s="593">
        <v>839</v>
      </c>
      <c r="AE519" s="593">
        <v>753</v>
      </c>
      <c r="AF519" s="593">
        <v>630</v>
      </c>
      <c r="AG519" s="593">
        <v>619</v>
      </c>
      <c r="AH519" s="593">
        <v>629</v>
      </c>
      <c r="AI519" s="593">
        <v>670</v>
      </c>
      <c r="AJ519" s="593">
        <v>758</v>
      </c>
      <c r="AK519" s="593">
        <v>790</v>
      </c>
      <c r="AL519" s="593">
        <v>832</v>
      </c>
      <c r="AM519" s="593">
        <v>753</v>
      </c>
      <c r="AN519" s="593">
        <v>823</v>
      </c>
      <c r="AO519" s="593">
        <v>819</v>
      </c>
      <c r="AP519" s="593">
        <v>821</v>
      </c>
      <c r="AQ519" s="593">
        <v>786</v>
      </c>
      <c r="AR519" s="593">
        <v>853</v>
      </c>
      <c r="AS519" s="593">
        <v>859</v>
      </c>
      <c r="AT519" s="593">
        <v>835</v>
      </c>
      <c r="AU519" s="593">
        <v>874</v>
      </c>
      <c r="AV519" s="593">
        <v>850</v>
      </c>
      <c r="AW519" s="593">
        <v>902</v>
      </c>
      <c r="AX519" s="593">
        <v>921</v>
      </c>
      <c r="AY519" s="593">
        <v>825</v>
      </c>
      <c r="AZ519" s="593">
        <v>847</v>
      </c>
      <c r="BA519" s="593">
        <v>842</v>
      </c>
      <c r="BB519" s="593">
        <v>901</v>
      </c>
      <c r="BC519" s="593">
        <v>918</v>
      </c>
      <c r="BD519" s="593">
        <v>874</v>
      </c>
      <c r="BE519" s="593">
        <v>746</v>
      </c>
      <c r="BF519" s="593">
        <v>759</v>
      </c>
      <c r="BG519" s="593">
        <v>795</v>
      </c>
      <c r="BH519" s="593">
        <v>790</v>
      </c>
      <c r="BI519" s="593">
        <v>799</v>
      </c>
      <c r="BJ519" s="593">
        <v>915</v>
      </c>
      <c r="BK519" s="593">
        <v>955</v>
      </c>
      <c r="BL519" s="593">
        <v>1013</v>
      </c>
      <c r="BM519" s="593">
        <v>995</v>
      </c>
      <c r="BN519" s="593">
        <v>1003</v>
      </c>
      <c r="BO519" s="593">
        <v>969</v>
      </c>
      <c r="BP519" s="593">
        <v>960</v>
      </c>
      <c r="BQ519" s="593">
        <v>1007</v>
      </c>
      <c r="BR519" s="593">
        <v>986</v>
      </c>
      <c r="BS519" s="593">
        <v>968</v>
      </c>
      <c r="BT519" s="593">
        <v>965</v>
      </c>
      <c r="BU519" s="593">
        <v>916</v>
      </c>
      <c r="BV519" s="593">
        <v>884</v>
      </c>
      <c r="BW519" s="593">
        <v>833</v>
      </c>
      <c r="BX519" s="593">
        <v>743</v>
      </c>
      <c r="BY519" s="593">
        <v>790</v>
      </c>
      <c r="BZ519" s="593">
        <v>795</v>
      </c>
      <c r="CA519" s="593">
        <v>774</v>
      </c>
      <c r="CB519" s="593">
        <v>688</v>
      </c>
      <c r="CC519" s="593">
        <v>698</v>
      </c>
      <c r="CD519" s="593">
        <v>716</v>
      </c>
      <c r="CE519" s="593">
        <v>688</v>
      </c>
      <c r="CF519" s="593">
        <v>667</v>
      </c>
      <c r="CG519" s="593">
        <v>680</v>
      </c>
      <c r="CH519" s="593">
        <v>708</v>
      </c>
      <c r="CI519" s="593">
        <v>706</v>
      </c>
      <c r="CJ519" s="593">
        <v>754</v>
      </c>
      <c r="CK519" s="593">
        <v>572</v>
      </c>
      <c r="CL519" s="593">
        <v>512</v>
      </c>
      <c r="CM519" s="593">
        <v>519</v>
      </c>
      <c r="CN519" s="593">
        <v>494</v>
      </c>
      <c r="CO519" s="593">
        <v>429</v>
      </c>
      <c r="CP519" s="593">
        <v>357</v>
      </c>
      <c r="CQ519" s="593">
        <v>308</v>
      </c>
      <c r="CR519" s="593">
        <v>275</v>
      </c>
      <c r="CS519" s="593">
        <v>281</v>
      </c>
      <c r="CT519" s="593">
        <v>235</v>
      </c>
      <c r="CU519" s="593">
        <v>217</v>
      </c>
      <c r="CV519" s="593">
        <v>176</v>
      </c>
      <c r="CW519" s="593">
        <v>132</v>
      </c>
      <c r="CX519" s="593">
        <v>132</v>
      </c>
      <c r="CY519" s="593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>
      <c r="A520" s="113"/>
      <c r="B520" s="120"/>
      <c r="C520" s="113"/>
      <c r="D520" s="136">
        <f>SUM(D498:D519)</f>
        <v>1217054</v>
      </c>
      <c r="E520" s="136">
        <f t="shared" ref="E520:L520" si="135">SUM(E498:E519)</f>
        <v>1294957</v>
      </c>
      <c r="F520" s="136">
        <f t="shared" si="135"/>
        <v>3131640</v>
      </c>
      <c r="G520" s="136">
        <f t="shared" si="135"/>
        <v>1534884</v>
      </c>
      <c r="H520" s="136">
        <f t="shared" si="135"/>
        <v>1596756</v>
      </c>
      <c r="I520" s="136">
        <f t="shared" si="135"/>
        <v>1217054</v>
      </c>
      <c r="J520" s="136">
        <f t="shared" si="135"/>
        <v>1294957</v>
      </c>
      <c r="K520" s="136">
        <f t="shared" si="135"/>
        <v>317830</v>
      </c>
      <c r="L520" s="136">
        <f t="shared" si="135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>
      <c r="A521" s="31" t="s">
        <v>213</v>
      </c>
      <c r="B521" s="1" t="s">
        <v>680</v>
      </c>
      <c r="C521" s="30" t="str">
        <f t="shared" si="124"/>
        <v>LA NI - Antrim and Newtownabbey</v>
      </c>
      <c r="D521" s="51">
        <f t="shared" si="126"/>
        <v>54930</v>
      </c>
      <c r="E521" s="51">
        <f t="shared" si="127"/>
        <v>58464</v>
      </c>
      <c r="F521" s="52">
        <f t="shared" ref="F521:F531" si="136">G521+H521</f>
        <v>146148</v>
      </c>
      <c r="G521" s="52">
        <f t="shared" ref="G521:G531" si="137">SUM(M521:CY521)</f>
        <v>71767</v>
      </c>
      <c r="H521" s="53">
        <f t="shared" ref="H521:H531" si="138">SUM(CZ521:GL521)</f>
        <v>74381</v>
      </c>
      <c r="I521" s="53">
        <f t="shared" ref="I521:I531" si="139">SUM(AE521:CY521)</f>
        <v>54930</v>
      </c>
      <c r="J521" s="53">
        <f t="shared" ref="J521:J531" si="140">SUM(DR521:GL521)</f>
        <v>58464</v>
      </c>
      <c r="K521" s="50">
        <f t="shared" ref="K521:K531" si="141">SUM(M521:AD521)</f>
        <v>16837</v>
      </c>
      <c r="L521" s="51">
        <f t="shared" ref="L521:L531" si="142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>
      <c r="A522" s="31" t="s">
        <v>213</v>
      </c>
      <c r="B522" s="1" t="s">
        <v>681</v>
      </c>
      <c r="C522" s="30" t="str">
        <f t="shared" si="124"/>
        <v>LA NI - Ards and North Down</v>
      </c>
      <c r="D522" s="51">
        <f t="shared" si="126"/>
        <v>62708</v>
      </c>
      <c r="E522" s="51">
        <f t="shared" si="127"/>
        <v>68059</v>
      </c>
      <c r="F522" s="52">
        <f t="shared" si="136"/>
        <v>164223</v>
      </c>
      <c r="G522" s="52">
        <f t="shared" si="137"/>
        <v>79967</v>
      </c>
      <c r="H522" s="53">
        <f t="shared" si="138"/>
        <v>84256</v>
      </c>
      <c r="I522" s="53">
        <f t="shared" si="139"/>
        <v>62708</v>
      </c>
      <c r="J522" s="53">
        <f t="shared" si="140"/>
        <v>68059</v>
      </c>
      <c r="K522" s="50">
        <f t="shared" si="141"/>
        <v>17259</v>
      </c>
      <c r="L522" s="51">
        <f t="shared" si="142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>
      <c r="A523" s="31" t="s">
        <v>213</v>
      </c>
      <c r="B523" s="1" t="s">
        <v>682</v>
      </c>
      <c r="C523" s="30" t="str">
        <f t="shared" si="124"/>
        <v>LA NI - Armagh City, Banbridge and Craigavon</v>
      </c>
      <c r="D523" s="51">
        <f t="shared" si="126"/>
        <v>81332</v>
      </c>
      <c r="E523" s="51">
        <f t="shared" si="127"/>
        <v>84457</v>
      </c>
      <c r="F523" s="52">
        <f t="shared" si="136"/>
        <v>220271</v>
      </c>
      <c r="G523" s="52">
        <f t="shared" si="137"/>
        <v>109137</v>
      </c>
      <c r="H523" s="53">
        <f t="shared" si="138"/>
        <v>111134</v>
      </c>
      <c r="I523" s="53">
        <f t="shared" si="139"/>
        <v>81332</v>
      </c>
      <c r="J523" s="53">
        <f t="shared" si="140"/>
        <v>84457</v>
      </c>
      <c r="K523" s="50">
        <f t="shared" si="141"/>
        <v>27805</v>
      </c>
      <c r="L523" s="51">
        <f t="shared" si="142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>
      <c r="A524" s="31" t="s">
        <v>213</v>
      </c>
      <c r="B524" s="1" t="s">
        <v>683</v>
      </c>
      <c r="C524" s="30" t="str">
        <f t="shared" si="124"/>
        <v>LA NI - Belfast</v>
      </c>
      <c r="D524" s="51">
        <f t="shared" si="126"/>
        <v>131560</v>
      </c>
      <c r="E524" s="51">
        <f t="shared" si="127"/>
        <v>142407</v>
      </c>
      <c r="F524" s="52">
        <f t="shared" si="136"/>
        <v>348005</v>
      </c>
      <c r="G524" s="52">
        <f t="shared" si="137"/>
        <v>169491</v>
      </c>
      <c r="H524" s="53">
        <f t="shared" si="138"/>
        <v>178514</v>
      </c>
      <c r="I524" s="53">
        <f t="shared" si="139"/>
        <v>131560</v>
      </c>
      <c r="J524" s="53">
        <f t="shared" si="140"/>
        <v>142407</v>
      </c>
      <c r="K524" s="50">
        <f t="shared" si="141"/>
        <v>37931</v>
      </c>
      <c r="L524" s="51">
        <f t="shared" si="142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>
      <c r="A525" s="31" t="s">
        <v>213</v>
      </c>
      <c r="B525" s="1" t="s">
        <v>684</v>
      </c>
      <c r="C525" s="30" t="str">
        <f t="shared" si="124"/>
        <v>LA NI - Causeway Coast and Glens</v>
      </c>
      <c r="D525" s="51">
        <f t="shared" si="126"/>
        <v>53764</v>
      </c>
      <c r="E525" s="51">
        <f t="shared" si="127"/>
        <v>56629</v>
      </c>
      <c r="F525" s="52">
        <f t="shared" si="136"/>
        <v>141316</v>
      </c>
      <c r="G525" s="52">
        <f t="shared" si="137"/>
        <v>69599</v>
      </c>
      <c r="H525" s="53">
        <f t="shared" si="138"/>
        <v>71717</v>
      </c>
      <c r="I525" s="53">
        <f t="shared" si="139"/>
        <v>53764</v>
      </c>
      <c r="J525" s="53">
        <f t="shared" si="140"/>
        <v>56629</v>
      </c>
      <c r="K525" s="50">
        <f t="shared" si="141"/>
        <v>15835</v>
      </c>
      <c r="L525" s="51">
        <f t="shared" si="142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>
      <c r="A526" s="31" t="s">
        <v>213</v>
      </c>
      <c r="B526" s="1" t="s">
        <v>685</v>
      </c>
      <c r="C526" s="30" t="str">
        <f t="shared" si="124"/>
        <v>LA NI - Derry City and Strabane</v>
      </c>
      <c r="D526" s="51">
        <f t="shared" si="126"/>
        <v>55287</v>
      </c>
      <c r="E526" s="51">
        <f t="shared" si="127"/>
        <v>59619</v>
      </c>
      <c r="F526" s="52">
        <f t="shared" si="136"/>
        <v>150836</v>
      </c>
      <c r="G526" s="52">
        <f t="shared" si="137"/>
        <v>73562</v>
      </c>
      <c r="H526" s="53">
        <f t="shared" si="138"/>
        <v>77274</v>
      </c>
      <c r="I526" s="53">
        <f t="shared" si="139"/>
        <v>55287</v>
      </c>
      <c r="J526" s="53">
        <f t="shared" si="140"/>
        <v>59619</v>
      </c>
      <c r="K526" s="50">
        <f t="shared" si="141"/>
        <v>18275</v>
      </c>
      <c r="L526" s="51">
        <f t="shared" si="142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>
      <c r="A527" s="31" t="s">
        <v>213</v>
      </c>
      <c r="B527" s="1" t="s">
        <v>686</v>
      </c>
      <c r="C527" s="30" t="str">
        <f t="shared" si="124"/>
        <v>LA NI - Fermanagh and Omagh</v>
      </c>
      <c r="D527" s="51">
        <f t="shared" si="126"/>
        <v>44244</v>
      </c>
      <c r="E527" s="51">
        <f t="shared" si="127"/>
        <v>44859</v>
      </c>
      <c r="F527" s="52">
        <f t="shared" si="136"/>
        <v>116994</v>
      </c>
      <c r="G527" s="52">
        <f t="shared" si="137"/>
        <v>58418</v>
      </c>
      <c r="H527" s="53">
        <f t="shared" si="138"/>
        <v>58576</v>
      </c>
      <c r="I527" s="53">
        <f t="shared" si="139"/>
        <v>44244</v>
      </c>
      <c r="J527" s="53">
        <f t="shared" si="140"/>
        <v>44859</v>
      </c>
      <c r="K527" s="50">
        <f t="shared" si="141"/>
        <v>14174</v>
      </c>
      <c r="L527" s="51">
        <f t="shared" si="142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>
      <c r="A528" s="31" t="s">
        <v>213</v>
      </c>
      <c r="B528" s="1" t="s">
        <v>687</v>
      </c>
      <c r="C528" s="30" t="str">
        <f t="shared" si="124"/>
        <v>LA NI - Lisburn and Castlereagh</v>
      </c>
      <c r="D528" s="51">
        <f t="shared" si="126"/>
        <v>56236</v>
      </c>
      <c r="E528" s="51">
        <f t="shared" si="127"/>
        <v>59820</v>
      </c>
      <c r="F528" s="52">
        <f t="shared" si="136"/>
        <v>149915</v>
      </c>
      <c r="G528" s="52">
        <f t="shared" si="137"/>
        <v>73814</v>
      </c>
      <c r="H528" s="53">
        <f t="shared" si="138"/>
        <v>76101</v>
      </c>
      <c r="I528" s="53">
        <f t="shared" si="139"/>
        <v>56236</v>
      </c>
      <c r="J528" s="53">
        <f t="shared" si="140"/>
        <v>59820</v>
      </c>
      <c r="K528" s="50">
        <f t="shared" si="141"/>
        <v>17578</v>
      </c>
      <c r="L528" s="51">
        <f t="shared" si="142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>
      <c r="A529" s="31" t="s">
        <v>213</v>
      </c>
      <c r="B529" s="1" t="s">
        <v>688</v>
      </c>
      <c r="C529" s="30" t="str">
        <f t="shared" si="124"/>
        <v>LA NI - Mid and East Antrim</v>
      </c>
      <c r="D529" s="51">
        <f t="shared" si="126"/>
        <v>53235</v>
      </c>
      <c r="E529" s="51">
        <f t="shared" si="127"/>
        <v>56696</v>
      </c>
      <c r="F529" s="52">
        <f t="shared" si="136"/>
        <v>139200</v>
      </c>
      <c r="G529" s="52">
        <f t="shared" si="137"/>
        <v>68237</v>
      </c>
      <c r="H529" s="53">
        <f t="shared" si="138"/>
        <v>70963</v>
      </c>
      <c r="I529" s="53">
        <f t="shared" si="139"/>
        <v>53235</v>
      </c>
      <c r="J529" s="53">
        <f t="shared" si="140"/>
        <v>56696</v>
      </c>
      <c r="K529" s="50">
        <f t="shared" si="141"/>
        <v>15002</v>
      </c>
      <c r="L529" s="51">
        <f t="shared" si="142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>
      <c r="A530" s="31" t="s">
        <v>213</v>
      </c>
      <c r="B530" s="1" t="s">
        <v>689</v>
      </c>
      <c r="C530" s="30" t="str">
        <f t="shared" si="124"/>
        <v>LA NI - Mid Ulster</v>
      </c>
      <c r="D530" s="51">
        <f t="shared" si="126"/>
        <v>55860</v>
      </c>
      <c r="E530" s="51">
        <f t="shared" si="127"/>
        <v>56231</v>
      </c>
      <c r="F530" s="52">
        <f t="shared" si="136"/>
        <v>151001</v>
      </c>
      <c r="G530" s="52">
        <f t="shared" si="137"/>
        <v>75748</v>
      </c>
      <c r="H530" s="53">
        <f t="shared" si="138"/>
        <v>75253</v>
      </c>
      <c r="I530" s="53">
        <f t="shared" si="139"/>
        <v>55860</v>
      </c>
      <c r="J530" s="53">
        <f t="shared" si="140"/>
        <v>56231</v>
      </c>
      <c r="K530" s="50">
        <f t="shared" si="141"/>
        <v>19888</v>
      </c>
      <c r="L530" s="51">
        <f t="shared" si="142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>
      <c r="A531" s="31" t="s">
        <v>213</v>
      </c>
      <c r="B531" s="1" t="s">
        <v>690</v>
      </c>
      <c r="C531" s="30" t="str">
        <f t="shared" si="124"/>
        <v>LA NI - Newry, Mourne and Down</v>
      </c>
      <c r="D531" s="51">
        <f t="shared" si="126"/>
        <v>67141</v>
      </c>
      <c r="E531" s="51">
        <f t="shared" si="127"/>
        <v>70300</v>
      </c>
      <c r="F531" s="52">
        <f t="shared" si="136"/>
        <v>182634</v>
      </c>
      <c r="G531" s="52">
        <f t="shared" si="137"/>
        <v>90207</v>
      </c>
      <c r="H531" s="53">
        <f t="shared" si="138"/>
        <v>92427</v>
      </c>
      <c r="I531" s="53">
        <f t="shared" si="139"/>
        <v>67141</v>
      </c>
      <c r="J531" s="53">
        <f t="shared" si="140"/>
        <v>70300</v>
      </c>
      <c r="K531" s="50">
        <f t="shared" si="141"/>
        <v>23066</v>
      </c>
      <c r="L531" s="51">
        <f t="shared" si="142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>
      <c r="A532" s="113"/>
      <c r="B532" s="121"/>
      <c r="C532" s="113"/>
      <c r="D532" s="136">
        <f>SUM(D521:D531)</f>
        <v>716297</v>
      </c>
      <c r="E532" s="136">
        <f>SUM(E521:E531)</f>
        <v>757541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3">SUM(I521:I531)</f>
        <v>716297</v>
      </c>
      <c r="J532" s="136">
        <f t="shared" si="143"/>
        <v>757541</v>
      </c>
      <c r="K532" s="136">
        <f t="shared" si="143"/>
        <v>223650</v>
      </c>
      <c r="L532" s="136">
        <f t="shared" si="143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>
      <c r="A535" s="613" t="s">
        <v>985</v>
      </c>
      <c r="B535" s="614"/>
      <c r="C535" s="615"/>
      <c r="D535" s="616"/>
      <c r="E535" s="616"/>
      <c r="F535" s="616"/>
      <c r="G535" s="617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>
      <c r="C537" s="11"/>
      <c r="D537" s="618" t="s">
        <v>986</v>
      </c>
      <c r="E537" s="619" t="s">
        <v>987</v>
      </c>
      <c r="F537" s="618" t="s">
        <v>988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4.5">
      <c r="C538" s="11"/>
      <c r="D538" s="620" t="s">
        <v>989</v>
      </c>
      <c r="E538" s="621" t="s">
        <v>990</v>
      </c>
      <c r="F538" s="620" t="s">
        <v>991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4.5">
      <c r="C539" s="11"/>
      <c r="D539" s="620" t="s">
        <v>992</v>
      </c>
      <c r="E539" s="621" t="s">
        <v>993</v>
      </c>
      <c r="F539" s="620" t="s">
        <v>994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4.5">
      <c r="C540" s="1" t="s">
        <v>995</v>
      </c>
      <c r="D540" s="622">
        <v>60238038</v>
      </c>
      <c r="E540" s="623"/>
      <c r="F540" s="624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4.5">
      <c r="C541" s="625" t="s">
        <v>996</v>
      </c>
      <c r="D541" s="626"/>
      <c r="E541" s="627">
        <v>60856434</v>
      </c>
      <c r="F541" s="622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4.5">
      <c r="C542" s="625" t="s">
        <v>997</v>
      </c>
      <c r="D542" s="626"/>
      <c r="E542" s="628">
        <f>(E541-D540)/D540</f>
        <v>1.0265872205200309E-2</v>
      </c>
      <c r="F542" s="629">
        <f>(F541-D540)/D540</f>
        <v>2.0553358660187437E-2</v>
      </c>
      <c r="G542" s="630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4.5">
      <c r="C543" s="625" t="s">
        <v>998</v>
      </c>
      <c r="D543" s="626"/>
      <c r="E543" s="631"/>
      <c r="F543" s="622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4.5">
      <c r="C544" s="625" t="s">
        <v>999</v>
      </c>
      <c r="D544" s="626"/>
      <c r="E544" s="631"/>
      <c r="F544" s="622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>
      <c r="A547" s="609"/>
      <c r="B547" s="610"/>
      <c r="C547" s="21" t="s">
        <v>691</v>
      </c>
      <c r="D547" s="139" t="s">
        <v>692</v>
      </c>
      <c r="E547" s="139" t="s">
        <v>693</v>
      </c>
      <c r="F547" s="139" t="s">
        <v>694</v>
      </c>
      <c r="G547" s="139" t="s">
        <v>695</v>
      </c>
      <c r="H547" s="139" t="s">
        <v>696</v>
      </c>
      <c r="I547" s="139" t="s">
        <v>697</v>
      </c>
      <c r="J547" s="549" t="s">
        <v>698</v>
      </c>
      <c r="K547" s="552" t="s">
        <v>699</v>
      </c>
      <c r="L547" s="342" t="s">
        <v>700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>
      <c r="A548" s="611" t="s">
        <v>984</v>
      </c>
      <c r="C548" s="21" t="s">
        <v>701</v>
      </c>
      <c r="D548" s="814" t="s">
        <v>702</v>
      </c>
      <c r="E548" s="815"/>
      <c r="F548" s="815"/>
      <c r="G548" s="815"/>
      <c r="H548" s="815"/>
      <c r="I548" s="816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>
      <c r="A549" s="611" t="s">
        <v>984</v>
      </c>
      <c r="B549" s="11">
        <v>0</v>
      </c>
      <c r="C549" s="138" t="s">
        <v>703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>
      <c r="A550" s="611" t="s">
        <v>984</v>
      </c>
      <c r="B550" s="11">
        <v>1</v>
      </c>
      <c r="C550" s="138" t="s">
        <v>704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50">
        <f>(I550-100%)/5</f>
        <v>7.0239064487661821E-3</v>
      </c>
      <c r="K550" s="553">
        <f t="shared" ref="K550:K563" si="144">(I550/100%)^(1/5)-1</f>
        <v>6.9272652964273984E-3</v>
      </c>
      <c r="L550" s="548">
        <v>6.9272652964273984E-3</v>
      </c>
      <c r="M550" s="544"/>
      <c r="N550" s="544"/>
      <c r="O550" s="545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>
      <c r="A551" s="611" t="s">
        <v>984</v>
      </c>
      <c r="B551" s="11">
        <v>2</v>
      </c>
      <c r="C551" s="138" t="s">
        <v>705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50">
        <f t="shared" ref="J551:J563" si="145">(I551-100%)/5</f>
        <v>-1.6639975996230218E-2</v>
      </c>
      <c r="K551" s="553">
        <f t="shared" si="144"/>
        <v>-1.7223117235316776E-2</v>
      </c>
      <c r="L551" s="548">
        <v>-1.7223117235316776E-2</v>
      </c>
      <c r="M551" s="544"/>
      <c r="N551" s="544"/>
      <c r="O551" s="545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>
      <c r="A552" s="611" t="s">
        <v>984</v>
      </c>
      <c r="B552" s="11">
        <v>3</v>
      </c>
      <c r="C552" s="138" t="s">
        <v>706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50">
        <f t="shared" si="145"/>
        <v>2.4561450496655989E-2</v>
      </c>
      <c r="K552" s="553">
        <f t="shared" si="144"/>
        <v>2.3436830336478032E-2</v>
      </c>
      <c r="L552" s="548">
        <v>2.3436830336478032E-2</v>
      </c>
      <c r="M552" s="544"/>
      <c r="N552" s="544"/>
      <c r="O552" s="545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>
      <c r="A553" s="611" t="s">
        <v>984</v>
      </c>
      <c r="B553" s="11">
        <v>4</v>
      </c>
      <c r="C553" s="138" t="s">
        <v>707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50">
        <f t="shared" si="145"/>
        <v>-3.2900402961513866E-3</v>
      </c>
      <c r="K553" s="553">
        <f t="shared" si="144"/>
        <v>-3.3119051937137156E-3</v>
      </c>
      <c r="L553" s="548">
        <v>-3.3119051937137156E-3</v>
      </c>
      <c r="M553" s="544"/>
      <c r="N553" s="544"/>
      <c r="O553" s="545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>
      <c r="A554" s="611" t="s">
        <v>984</v>
      </c>
      <c r="B554" s="11">
        <v>5</v>
      </c>
      <c r="C554" s="138" t="s">
        <v>708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50">
        <f t="shared" si="145"/>
        <v>1.2116163934465796E-4</v>
      </c>
      <c r="K554" s="553">
        <f t="shared" si="144"/>
        <v>1.2113228972654433E-4</v>
      </c>
      <c r="L554" s="548">
        <v>1.2113228972654433E-4</v>
      </c>
      <c r="M554" s="544"/>
      <c r="N554" s="544"/>
      <c r="O554" s="545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>
      <c r="A555" s="611" t="s">
        <v>984</v>
      </c>
      <c r="B555" s="11">
        <v>6</v>
      </c>
      <c r="C555" s="542" t="s">
        <v>709</v>
      </c>
      <c r="D555" s="543"/>
      <c r="E555" s="543">
        <v>1.0123419501207302</v>
      </c>
      <c r="F555" s="543">
        <v>1.0224746276334522</v>
      </c>
      <c r="G555" s="543">
        <v>1.0318096590054313</v>
      </c>
      <c r="H555" s="543">
        <v>1.040568100689119</v>
      </c>
      <c r="I555" s="543">
        <v>1.0491476885800255</v>
      </c>
      <c r="J555" s="556">
        <f t="shared" si="145"/>
        <v>9.8295377160050983E-3</v>
      </c>
      <c r="K555" s="557">
        <f t="shared" si="144"/>
        <v>9.641807463928842E-3</v>
      </c>
      <c r="L555" s="612">
        <v>9.6418074639288403E-3</v>
      </c>
      <c r="M555" s="544"/>
      <c r="N555" s="544"/>
      <c r="O555" s="545"/>
      <c r="P555" s="13"/>
      <c r="Q555" s="546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>
      <c r="A556" s="611" t="s">
        <v>984</v>
      </c>
      <c r="B556" s="11">
        <v>7</v>
      </c>
      <c r="C556" s="138" t="s">
        <v>710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50">
        <f t="shared" si="145"/>
        <v>1.4109286979692959E-2</v>
      </c>
      <c r="K556" s="553">
        <f t="shared" si="144"/>
        <v>1.372720562144969E-2</v>
      </c>
      <c r="L556" s="548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>
      <c r="A557" s="611" t="s">
        <v>984</v>
      </c>
      <c r="B557" s="11">
        <v>8</v>
      </c>
      <c r="C557" s="138" t="s">
        <v>711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50">
        <f t="shared" si="145"/>
        <v>1.544722025999028E-2</v>
      </c>
      <c r="K557" s="553">
        <f t="shared" si="144"/>
        <v>1.4990973227517745E-2</v>
      </c>
      <c r="L557" s="548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>
      <c r="A558" s="611" t="s">
        <v>984</v>
      </c>
      <c r="B558" s="11">
        <v>9</v>
      </c>
      <c r="C558" s="138" t="s">
        <v>712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50">
        <f t="shared" si="145"/>
        <v>1.3936381421862798E-2</v>
      </c>
      <c r="K558" s="553">
        <f t="shared" si="144"/>
        <v>1.3563424108683053E-2</v>
      </c>
      <c r="L558" s="548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>
      <c r="A559" s="611" t="s">
        <v>984</v>
      </c>
      <c r="B559" s="11">
        <v>10</v>
      </c>
      <c r="C559" s="138" t="s">
        <v>713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50">
        <f t="shared" si="145"/>
        <v>1.5948429222628447E-2</v>
      </c>
      <c r="K559" s="553">
        <f t="shared" si="144"/>
        <v>1.5462782371323147E-2</v>
      </c>
      <c r="L559" s="548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>
      <c r="A560" s="611" t="s">
        <v>984</v>
      </c>
      <c r="B560" s="11">
        <v>11</v>
      </c>
      <c r="C560" s="138" t="s">
        <v>714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50">
        <f t="shared" si="145"/>
        <v>1.4026175814113495E-2</v>
      </c>
      <c r="K560" s="553">
        <f t="shared" si="144"/>
        <v>1.364849335671825E-2</v>
      </c>
      <c r="L560" s="548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>
      <c r="A561" s="611" t="s">
        <v>984</v>
      </c>
      <c r="B561" s="11">
        <v>12</v>
      </c>
      <c r="C561" s="138" t="s">
        <v>715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50">
        <f t="shared" si="145"/>
        <v>1.5685467006668709E-2</v>
      </c>
      <c r="K561" s="553">
        <f t="shared" si="144"/>
        <v>1.5215354312122953E-2</v>
      </c>
      <c r="L561" s="548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>
      <c r="A562" s="611" t="s">
        <v>984</v>
      </c>
      <c r="B562" s="11">
        <v>13</v>
      </c>
      <c r="C562" s="138" t="s">
        <v>716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50">
        <f t="shared" si="145"/>
        <v>2.9868018047315557E-2</v>
      </c>
      <c r="K562" s="553">
        <f t="shared" si="144"/>
        <v>2.8228674820024224E-2</v>
      </c>
      <c r="L562" s="548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>
      <c r="A563" s="58"/>
      <c r="B563" s="404">
        <v>14</v>
      </c>
      <c r="C563" s="138" t="s">
        <v>717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50">
        <f t="shared" si="145"/>
        <v>6.5994827799972008E-3</v>
      </c>
      <c r="K563" s="553">
        <f t="shared" si="144"/>
        <v>6.5140621434043311E-3</v>
      </c>
      <c r="L563" s="548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>
      <c r="B564" s="11">
        <v>15</v>
      </c>
      <c r="C564" s="138"/>
      <c r="D564" s="142"/>
      <c r="E564" s="142"/>
      <c r="F564" s="142"/>
      <c r="G564" s="142"/>
      <c r="H564" s="142"/>
      <c r="I564" s="142"/>
      <c r="J564" s="551" t="s">
        <v>718</v>
      </c>
      <c r="K564" s="6"/>
      <c r="L564" s="341" t="s">
        <v>719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>
      <c r="E565" s="15"/>
      <c r="L565" s="341" t="s">
        <v>720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>
      <c r="E566" s="15"/>
      <c r="L566" s="341" t="s">
        <v>721</v>
      </c>
      <c r="M566" s="13"/>
      <c r="N566" s="13"/>
      <c r="O566" s="13"/>
      <c r="P566" s="13"/>
      <c r="Q566" s="13"/>
      <c r="R566" s="547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>
      <c r="C567" s="558" t="s">
        <v>722</v>
      </c>
      <c r="E567" s="15"/>
      <c r="L567" s="341" t="s">
        <v>723</v>
      </c>
      <c r="M567" s="13"/>
      <c r="N567" s="13"/>
      <c r="O567" s="13"/>
      <c r="P567" s="13"/>
      <c r="Q567" s="13"/>
      <c r="R567" s="547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>
      <c r="E568" s="15"/>
      <c r="L568" s="341" t="s">
        <v>724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>
      <c r="E569" s="15"/>
      <c r="L569" s="341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>
      <c r="C570" s="11"/>
      <c r="L570" s="341" t="s">
        <v>725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>
      <c r="C571" s="11"/>
      <c r="L571" s="341" t="s">
        <v>726</v>
      </c>
      <c r="M571" s="13"/>
      <c r="N571" s="13"/>
      <c r="O571" s="633"/>
      <c r="P571" s="634" t="s">
        <v>1001</v>
      </c>
      <c r="Q571" s="635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5" customHeight="1">
      <c r="C572" s="11"/>
      <c r="M572" s="13"/>
      <c r="N572" s="13"/>
      <c r="O572" s="638" t="s">
        <v>698</v>
      </c>
      <c r="P572" s="638" t="s">
        <v>699</v>
      </c>
      <c r="Q572" s="639" t="s">
        <v>1002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>
      <c r="A573" s="609"/>
      <c r="B573" s="610"/>
      <c r="C573" s="138" t="s">
        <v>704</v>
      </c>
      <c r="D573" s="632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50">
        <f>(N573-100%)/10</f>
        <v>6.0996339197137541E-3</v>
      </c>
      <c r="P573" s="553">
        <f>(N573/100%)^(1/10)-1</f>
        <v>5.9384037531065026E-3</v>
      </c>
      <c r="Q573" s="636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>
      <c r="A574" s="611" t="s">
        <v>1000</v>
      </c>
      <c r="C574" s="138" t="s">
        <v>705</v>
      </c>
      <c r="D574" s="632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50">
        <f t="shared" ref="O574:O586" si="146">(N574-100%)/10</f>
        <v>-6.0280923298853817E-3</v>
      </c>
      <c r="P574" s="553">
        <f t="shared" ref="P574:P586" si="147">(N574/100%)^(1/10)-1</f>
        <v>-6.1981420710855994E-3</v>
      </c>
      <c r="Q574" s="636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>
      <c r="A575" s="611" t="s">
        <v>1000</v>
      </c>
      <c r="C575" s="138" t="s">
        <v>706</v>
      </c>
      <c r="D575" s="632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50">
        <f t="shared" si="146"/>
        <v>1.5087615236704566E-2</v>
      </c>
      <c r="P575" s="553">
        <f t="shared" si="147"/>
        <v>1.4151550808456648E-2</v>
      </c>
      <c r="Q575" s="636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>
      <c r="A576" s="611" t="s">
        <v>1000</v>
      </c>
      <c r="C576" s="138" t="s">
        <v>707</v>
      </c>
      <c r="D576" s="632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50">
        <f t="shared" si="146"/>
        <v>8.1374209845206378E-4</v>
      </c>
      <c r="P576" s="553">
        <f t="shared" si="147"/>
        <v>8.1077757246905691E-4</v>
      </c>
      <c r="Q576" s="636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>
      <c r="A577" s="611" t="s">
        <v>1000</v>
      </c>
      <c r="C577" s="138" t="s">
        <v>708</v>
      </c>
      <c r="D577" s="632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50">
        <f t="shared" si="146"/>
        <v>2.5619811438394092E-3</v>
      </c>
      <c r="P577" s="553">
        <f t="shared" si="147"/>
        <v>2.5329148145079028E-3</v>
      </c>
      <c r="Q577" s="636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>
      <c r="A578" s="611" t="s">
        <v>1000</v>
      </c>
      <c r="C578" s="542" t="s">
        <v>709</v>
      </c>
      <c r="D578" s="543"/>
      <c r="E578" s="543">
        <v>1.0123419501207302</v>
      </c>
      <c r="F578" s="543">
        <v>1.0224746276334522</v>
      </c>
      <c r="G578" s="543">
        <v>1.0318096590054313</v>
      </c>
      <c r="H578" s="543">
        <v>1.040568100689119</v>
      </c>
      <c r="I578" s="543">
        <v>1.0491476885800255</v>
      </c>
      <c r="J578" s="543">
        <v>1.0546473961073131</v>
      </c>
      <c r="K578" s="543">
        <v>1.0600156863772707</v>
      </c>
      <c r="L578" s="543">
        <v>1.0652587749595908</v>
      </c>
      <c r="M578" s="543">
        <v>1.0703773048442411</v>
      </c>
      <c r="N578" s="543">
        <v>1.0753751834317971</v>
      </c>
      <c r="O578" s="556">
        <f t="shared" si="146"/>
        <v>7.5375183431797051E-3</v>
      </c>
      <c r="P578" s="557">
        <f t="shared" si="147"/>
        <v>7.2934292896156272E-3</v>
      </c>
      <c r="Q578" s="557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>
      <c r="A579" s="611" t="s">
        <v>1000</v>
      </c>
      <c r="C579" s="138" t="s">
        <v>710</v>
      </c>
      <c r="D579" s="632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50">
        <f t="shared" si="146"/>
        <v>9.7308873986410305E-3</v>
      </c>
      <c r="P579" s="553">
        <f t="shared" si="147"/>
        <v>9.3293197294876951E-3</v>
      </c>
      <c r="Q579" s="636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>
      <c r="A580" s="611" t="s">
        <v>1000</v>
      </c>
      <c r="C580" s="138" t="s">
        <v>711</v>
      </c>
      <c r="D580" s="632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50">
        <f t="shared" si="146"/>
        <v>1.0416577441320607E-2</v>
      </c>
      <c r="P580" s="553">
        <f t="shared" si="147"/>
        <v>9.95826625164975E-3</v>
      </c>
      <c r="Q580" s="636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>
      <c r="A581" s="611" t="s">
        <v>1000</v>
      </c>
      <c r="C581" s="138" t="s">
        <v>712</v>
      </c>
      <c r="D581" s="632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50">
        <f t="shared" si="146"/>
        <v>9.64227339891921E-3</v>
      </c>
      <c r="P581" s="553">
        <f t="shared" si="147"/>
        <v>9.2477809488915597E-3</v>
      </c>
      <c r="Q581" s="636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>
      <c r="A582" s="611" t="s">
        <v>1000</v>
      </c>
      <c r="C582" s="138" t="s">
        <v>713</v>
      </c>
      <c r="D582" s="632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50">
        <f t="shared" si="146"/>
        <v>1.0673446748664817E-2</v>
      </c>
      <c r="P582" s="553">
        <f t="shared" si="147"/>
        <v>1.0192973847719333E-2</v>
      </c>
      <c r="Q582" s="636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>
      <c r="A583" s="611" t="s">
        <v>1000</v>
      </c>
      <c r="C583" s="138" t="s">
        <v>714</v>
      </c>
      <c r="D583" s="632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50">
        <f t="shared" si="146"/>
        <v>9.6882929737077683E-3</v>
      </c>
      <c r="P583" s="553">
        <f t="shared" si="147"/>
        <v>9.2901335764377091E-3</v>
      </c>
      <c r="Q583" s="636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>
      <c r="A584" s="611" t="s">
        <v>1000</v>
      </c>
      <c r="C584" s="138" t="s">
        <v>715</v>
      </c>
      <c r="D584" s="632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50">
        <f t="shared" si="146"/>
        <v>1.0538678763041154E-2</v>
      </c>
      <c r="P584" s="553">
        <f t="shared" si="147"/>
        <v>1.0069894342066732E-2</v>
      </c>
      <c r="Q584" s="636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>
      <c r="A585" s="611" t="s">
        <v>1000</v>
      </c>
      <c r="C585" s="138" t="s">
        <v>716</v>
      </c>
      <c r="D585" s="632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50">
        <f t="shared" si="146"/>
        <v>1.7807228078299507E-2</v>
      </c>
      <c r="P585" s="553">
        <f t="shared" si="147"/>
        <v>1.6522963134986579E-2</v>
      </c>
      <c r="Q585" s="636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>
      <c r="A586" s="58"/>
      <c r="B586" s="404"/>
      <c r="C586" s="138" t="s">
        <v>717</v>
      </c>
      <c r="D586" s="632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50">
        <f t="shared" si="146"/>
        <v>5.8821170316610384E-3</v>
      </c>
      <c r="P586" s="553">
        <f t="shared" si="147"/>
        <v>5.7319838926312983E-3</v>
      </c>
      <c r="Q586" s="636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>
      <c r="C587" s="11"/>
      <c r="E587" s="15"/>
      <c r="M587" s="13"/>
      <c r="N587" s="13"/>
      <c r="O587" s="551" t="s">
        <v>718</v>
      </c>
      <c r="P587" s="551" t="s">
        <v>718</v>
      </c>
      <c r="Q587" s="637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>
      <c r="C588" s="11"/>
      <c r="E588" s="15"/>
      <c r="M588" s="13"/>
      <c r="N588" s="13"/>
      <c r="O588" s="551" t="s">
        <v>1003</v>
      </c>
      <c r="P588" s="551" t="s">
        <v>1003</v>
      </c>
      <c r="Q588" s="637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>
      <c r="C589" s="11"/>
      <c r="E589" s="15"/>
      <c r="M589" s="13"/>
      <c r="N589" s="13"/>
      <c r="O589" s="13"/>
      <c r="P589" s="13"/>
      <c r="Q589" s="637" t="s">
        <v>725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>
      <c r="E590" s="15"/>
      <c r="M590" s="13"/>
      <c r="N590" s="13"/>
      <c r="O590" s="13"/>
      <c r="P590" s="13"/>
      <c r="Q590" s="637" t="s">
        <v>726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S141"/>
  <sheetViews>
    <sheetView showGridLines="0" zoomScale="70" zoomScaleNormal="70" workbookViewId="0">
      <selection activeCell="F31" sqref="F31"/>
    </sheetView>
  </sheetViews>
  <sheetFormatPr defaultRowHeight="14.5"/>
  <cols>
    <col min="1" max="1" width="2.453125" customWidth="1"/>
    <col min="2" max="2" width="5.81640625" customWidth="1"/>
    <col min="3" max="3" width="55.26953125" customWidth="1"/>
    <col min="4" max="4" width="19.453125" customWidth="1"/>
    <col min="5" max="5" width="13.54296875" customWidth="1"/>
    <col min="6" max="6" width="14.54296875" customWidth="1"/>
    <col min="7" max="7" width="15.453125" customWidth="1"/>
    <col min="8" max="8" width="17.1796875" customWidth="1"/>
    <col min="9" max="9" width="14.54296875" customWidth="1"/>
    <col min="10" max="10" width="18.26953125" customWidth="1"/>
    <col min="11" max="11" width="16.453125" customWidth="1"/>
    <col min="12" max="18" width="13.453125" customWidth="1"/>
    <col min="19" max="19" width="3.453125" customWidth="1"/>
  </cols>
  <sheetData>
    <row r="1" spans="2:19" ht="30" customHeight="1">
      <c r="B1" s="582" t="s">
        <v>1059</v>
      </c>
    </row>
    <row r="2" spans="2:19" ht="30" customHeight="1">
      <c r="B2" s="155" t="s">
        <v>32</v>
      </c>
      <c r="C2" s="155"/>
      <c r="D2" s="154"/>
      <c r="E2" s="171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4" spans="2:19">
      <c r="B4" s="156" t="s">
        <v>33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160"/>
    </row>
    <row r="5" spans="2:19">
      <c r="B5" s="160"/>
      <c r="C5" t="s">
        <v>34</v>
      </c>
      <c r="S5" s="160"/>
    </row>
    <row r="6" spans="2:19">
      <c r="B6" s="160"/>
      <c r="C6" t="s">
        <v>35</v>
      </c>
      <c r="S6" s="160"/>
    </row>
    <row r="7" spans="2:19">
      <c r="B7" s="160"/>
      <c r="C7" t="s">
        <v>36</v>
      </c>
      <c r="S7" s="160"/>
    </row>
    <row r="8" spans="2:19"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0"/>
    </row>
    <row r="10" spans="2:19">
      <c r="B10" s="156" t="s">
        <v>37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160"/>
    </row>
    <row r="11" spans="2:19">
      <c r="B11" s="158"/>
      <c r="C11" t="s">
        <v>38</v>
      </c>
      <c r="E11" s="150" t="s">
        <v>39</v>
      </c>
      <c r="S11" s="160"/>
    </row>
    <row r="12" spans="2:19">
      <c r="B12" s="158"/>
      <c r="C12" t="s">
        <v>40</v>
      </c>
      <c r="E12" s="150" t="s">
        <v>41</v>
      </c>
      <c r="G12" s="128">
        <f>'Population selection'!D14</f>
        <v>21895402</v>
      </c>
      <c r="H12" t="str">
        <f>C25&amp;" population based on selection on left using mid-2022 ONS data"</f>
        <v>Men aged 18 and above population based on selection on left using mid-2022 ONS data</v>
      </c>
      <c r="S12" s="160"/>
    </row>
    <row r="13" spans="2:19">
      <c r="B13" s="158"/>
      <c r="E13" s="640"/>
      <c r="G13" s="718">
        <f>2.05533586601874%</f>
        <v>2.0553358660187402E-2</v>
      </c>
      <c r="H13" t="s">
        <v>1004</v>
      </c>
      <c r="S13" s="160"/>
    </row>
    <row r="14" spans="2:19">
      <c r="B14" s="158"/>
      <c r="C14" s="148"/>
      <c r="G14" s="128">
        <f>(100%+G13)*G12</f>
        <v>22345426.050314985</v>
      </c>
      <c r="H14" t="s">
        <v>1007</v>
      </c>
      <c r="S14" s="160"/>
    </row>
    <row r="15" spans="2:19">
      <c r="B15" s="160"/>
      <c r="C15" t="s">
        <v>42</v>
      </c>
      <c r="E15" s="719" t="s">
        <v>43</v>
      </c>
      <c r="F15" s="170" t="str">
        <f>IF(E15="yes","","If no, enter current locality population below")</f>
        <v/>
      </c>
      <c r="S15" s="160"/>
    </row>
    <row r="16" spans="2:19">
      <c r="B16" s="160"/>
      <c r="F16" s="170" t="str">
        <f>IF(AND(NOT(ISBLANK(E17)),E15="yes"),"error - change cell above to 'no'","")</f>
        <v/>
      </c>
      <c r="S16" s="160"/>
    </row>
    <row r="17" spans="2:19">
      <c r="B17" s="160"/>
      <c r="C17" t="str">
        <f>"Manually entered current locality population "&amp;IF(E15="no","","(n/a)")</f>
        <v>Manually entered current locality population (n/a)</v>
      </c>
      <c r="E17" s="720"/>
      <c r="F17" s="170" t="str">
        <f>IF(E15="yes","Leave blue cell on left blank if NICE estimate is used","")</f>
        <v>Leave blue cell on left blank if NICE estimate is used</v>
      </c>
      <c r="S17" s="160"/>
    </row>
    <row r="18" spans="2:19">
      <c r="B18" s="160"/>
      <c r="F18" s="170" t="str">
        <f>IF(AND(ISBLANK(E17),E15="no"),"error - enter current locality population above","")</f>
        <v/>
      </c>
      <c r="S18" s="160"/>
    </row>
    <row r="19" spans="2:19">
      <c r="B19" s="160"/>
      <c r="C19" t="s">
        <v>1005</v>
      </c>
      <c r="D19" s="152"/>
      <c r="E19" s="718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60"/>
    </row>
    <row r="20" spans="2:19">
      <c r="B20" s="160"/>
      <c r="C20" t="s">
        <v>1006</v>
      </c>
      <c r="D20" s="152"/>
      <c r="E20" s="718"/>
      <c r="F20" t="str">
        <f>IF(E20=0,"Enter local value or delete the NICE assumption if required","Local value")</f>
        <v>Enter local value or delete the NICE assumption if required</v>
      </c>
      <c r="S20" s="160"/>
    </row>
    <row r="21" spans="2:19"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0"/>
    </row>
    <row r="23" spans="2:19">
      <c r="B23" s="156" t="s">
        <v>44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160"/>
    </row>
    <row r="24" spans="2:19" ht="85" customHeight="1">
      <c r="B24" s="158"/>
      <c r="F24" s="241" t="s">
        <v>45</v>
      </c>
      <c r="G24" s="165" t="s">
        <v>46</v>
      </c>
      <c r="H24" s="229" t="s">
        <v>47</v>
      </c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160"/>
    </row>
    <row r="25" spans="2:19">
      <c r="B25" s="158"/>
      <c r="C25" s="240" t="s">
        <v>1065</v>
      </c>
      <c r="D25" s="243"/>
      <c r="E25" s="168"/>
      <c r="F25" s="128">
        <f>IF(ISBLANK(E17),G14,'Population selection'!F16)</f>
        <v>22345426.050314985</v>
      </c>
      <c r="G25" s="242"/>
      <c r="H25" s="239" t="s">
        <v>48</v>
      </c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60"/>
    </row>
    <row r="26" spans="2:19">
      <c r="B26" s="158"/>
      <c r="C26" s="641" t="s">
        <v>1066</v>
      </c>
      <c r="D26" s="244"/>
      <c r="E26" s="168"/>
      <c r="F26" s="209"/>
      <c r="G26" s="128">
        <f>K43</f>
        <v>23443652.091023844</v>
      </c>
      <c r="H26" s="239" t="s">
        <v>48</v>
      </c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0"/>
    </row>
    <row r="27" spans="2:19">
      <c r="B27" s="160"/>
      <c r="C27" s="167" t="s">
        <v>1067</v>
      </c>
      <c r="D27" s="168"/>
      <c r="E27" s="718">
        <v>1.94123E-3</v>
      </c>
      <c r="F27" s="721">
        <f>E27*F25</f>
        <v>43377.611411652957</v>
      </c>
      <c r="G27" s="721">
        <f>E27*K42*K43</f>
        <v>45509.520748658215</v>
      </c>
      <c r="H27" s="819" t="s">
        <v>1064</v>
      </c>
      <c r="I27" s="820"/>
      <c r="J27" s="820"/>
      <c r="K27" s="820"/>
      <c r="L27" s="820"/>
      <c r="M27" s="820"/>
      <c r="N27" s="820"/>
      <c r="O27" s="820"/>
      <c r="P27" s="820"/>
      <c r="Q27" s="820"/>
      <c r="R27" s="820"/>
      <c r="S27" s="160"/>
    </row>
    <row r="28" spans="2:19">
      <c r="B28" s="160"/>
      <c r="C28" s="167" t="s">
        <v>1155</v>
      </c>
      <c r="D28" s="168"/>
      <c r="E28" s="718">
        <v>0.69</v>
      </c>
      <c r="F28" s="721">
        <f>F27*E28</f>
        <v>29930.551874040539</v>
      </c>
      <c r="G28" s="721">
        <f>G27*E28</f>
        <v>31401.569316574165</v>
      </c>
      <c r="H28" s="357" t="s">
        <v>1068</v>
      </c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160"/>
    </row>
    <row r="29" spans="2:19">
      <c r="B29" s="160"/>
      <c r="C29" s="167" t="s">
        <v>1156</v>
      </c>
      <c r="D29" s="168"/>
      <c r="E29" s="718">
        <v>0.19</v>
      </c>
      <c r="F29" s="721">
        <f>F27*E29</f>
        <v>8241.746168214062</v>
      </c>
      <c r="G29" s="721">
        <f>G27*E29</f>
        <v>8646.8089422450612</v>
      </c>
      <c r="H29" s="357" t="s">
        <v>1068</v>
      </c>
      <c r="I29" s="684"/>
      <c r="J29" s="684"/>
      <c r="K29" s="684"/>
      <c r="L29" s="684"/>
      <c r="M29" s="684"/>
      <c r="N29" s="684"/>
      <c r="O29" s="684"/>
      <c r="P29" s="684"/>
      <c r="Q29" s="684"/>
      <c r="R29" s="684"/>
      <c r="S29" s="160"/>
    </row>
    <row r="30" spans="2:19">
      <c r="B30" s="160"/>
      <c r="C30" s="167"/>
      <c r="D30" s="168"/>
      <c r="E30" s="353"/>
      <c r="F30" s="665"/>
      <c r="G30" s="128"/>
      <c r="H30" s="765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60"/>
    </row>
    <row r="31" spans="2:19">
      <c r="B31" s="160"/>
      <c r="C31" s="228" t="s">
        <v>1069</v>
      </c>
      <c r="D31" s="168"/>
      <c r="E31" s="353"/>
      <c r="F31" s="722">
        <f>F28+F29</f>
        <v>38172.298042254602</v>
      </c>
      <c r="G31" s="722">
        <f>G28+G29</f>
        <v>40048.378258819226</v>
      </c>
      <c r="H31" s="201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60"/>
    </row>
    <row r="32" spans="2:19">
      <c r="B32" s="160"/>
      <c r="C32" s="359"/>
      <c r="E32" s="360"/>
      <c r="F32" s="361"/>
      <c r="G32" s="361"/>
      <c r="H32" s="191"/>
      <c r="S32" s="160"/>
    </row>
    <row r="33" spans="2:19">
      <c r="B33" s="160"/>
      <c r="C33" s="359"/>
      <c r="E33" s="360"/>
      <c r="F33" s="361"/>
      <c r="G33" s="361"/>
      <c r="H33" s="191"/>
      <c r="S33" s="160"/>
    </row>
    <row r="34" spans="2:19">
      <c r="B34" s="160"/>
      <c r="C34" s="359"/>
      <c r="E34" s="360"/>
      <c r="F34" s="361"/>
      <c r="G34" s="361"/>
      <c r="H34" s="191"/>
      <c r="S34" s="160"/>
    </row>
    <row r="35" spans="2:19">
      <c r="B35" s="160"/>
      <c r="C35" t="s">
        <v>49</v>
      </c>
      <c r="F35" s="719" t="s">
        <v>43</v>
      </c>
      <c r="G35" s="361"/>
      <c r="H35" s="191"/>
      <c r="S35" s="160"/>
    </row>
    <row r="36" spans="2:19">
      <c r="B36" s="160"/>
      <c r="C36" s="359"/>
      <c r="E36" s="360"/>
      <c r="F36" s="361"/>
      <c r="G36" s="361"/>
      <c r="H36" s="191"/>
      <c r="S36" s="160"/>
    </row>
    <row r="37" spans="2:19">
      <c r="B37" s="160"/>
      <c r="C37" t="str">
        <f>"Manually entered current eligible population high risk/locally advanced prostate cancer"&amp;IF(F36="no","","(n/a)")</f>
        <v>Manually entered current eligible population high risk/locally advanced prostate cancer(n/a)</v>
      </c>
      <c r="F37" s="723"/>
      <c r="G37" s="590" t="str">
        <f>IF(F35="yes","Leave blue cell on left blank if NICE estimate is used","enter local value on left")</f>
        <v>Leave blue cell on left blank if NICE estimate is used</v>
      </c>
      <c r="S37" s="160"/>
    </row>
    <row r="38" spans="2:19">
      <c r="B38" s="160"/>
      <c r="C38" t="str">
        <f>"Manually entered current eligible population metastatic prostate cancer "&amp;IF(F38="no","","(n/a)")</f>
        <v>Manually entered current eligible population metastatic prostate cancer (n/a)</v>
      </c>
      <c r="F38" s="723"/>
      <c r="G38" s="170"/>
      <c r="S38" s="160"/>
    </row>
    <row r="39" spans="2:19">
      <c r="B39" s="160"/>
      <c r="G39" s="591"/>
      <c r="S39" s="160"/>
    </row>
    <row r="40" spans="2:19" ht="43.5">
      <c r="B40" s="160"/>
      <c r="C40" s="162"/>
      <c r="F40" s="237" t="s">
        <v>45</v>
      </c>
      <c r="G40" s="165" t="s">
        <v>50</v>
      </c>
      <c r="H40" s="165" t="s">
        <v>51</v>
      </c>
      <c r="I40" s="238" t="s">
        <v>52</v>
      </c>
      <c r="J40" s="165" t="s">
        <v>53</v>
      </c>
      <c r="K40" s="165" t="s">
        <v>54</v>
      </c>
      <c r="L40" s="592"/>
      <c r="M40" s="592"/>
      <c r="N40" s="592"/>
      <c r="O40" s="592"/>
      <c r="P40" s="592"/>
      <c r="Q40" s="592"/>
      <c r="S40" s="160"/>
    </row>
    <row r="41" spans="2:19">
      <c r="B41" s="160"/>
      <c r="C41" s="239" t="s">
        <v>55</v>
      </c>
      <c r="D41" s="198"/>
      <c r="E41" s="168"/>
      <c r="F41" s="209"/>
      <c r="G41" s="353">
        <f>IF($E$19&lt;&gt;"",E19+100%,100%)</f>
        <v>1.0096418074639288</v>
      </c>
      <c r="H41" s="353">
        <f>IF($E$19&lt;&gt;"",G41*(100%+$E$19),100%)</f>
        <v>1.0193765793790293</v>
      </c>
      <c r="I41" s="353">
        <f>IF($E$19&lt;&gt;"",H41*(100%+$E$19),100%)</f>
        <v>1.0292052120906403</v>
      </c>
      <c r="J41" s="353">
        <f>IF($E$19&lt;&gt;"",I41*(100%+$E$19),100%)</f>
        <v>1.0391286105864903</v>
      </c>
      <c r="K41" s="353">
        <f>IF($E$19&lt;&gt;"",J41*(100%+$E$19),100%)</f>
        <v>1.0491476885800251</v>
      </c>
      <c r="L41" t="s">
        <v>56</v>
      </c>
      <c r="M41" s="588"/>
      <c r="N41" s="588"/>
      <c r="O41" s="588"/>
      <c r="P41" s="588"/>
      <c r="Q41" s="588"/>
      <c r="S41" s="160"/>
    </row>
    <row r="42" spans="2:19">
      <c r="B42" s="160"/>
      <c r="C42" s="239" t="s">
        <v>57</v>
      </c>
      <c r="D42" s="198"/>
      <c r="E42" s="168"/>
      <c r="F42" s="209"/>
      <c r="G42" s="353">
        <f>IF(E20&lt;&gt;"",E20+100%,100%)</f>
        <v>1</v>
      </c>
      <c r="H42" s="353">
        <f>IF($E$20&lt;&gt;"",G42*(100%+$E$20),100%)</f>
        <v>1</v>
      </c>
      <c r="I42" s="353">
        <f>IF($E$20&lt;&gt;"",H42*(100%+$E$20),100%)</f>
        <v>1</v>
      </c>
      <c r="J42" s="353">
        <f>IF($E$20&lt;&gt;"",I42*(100%+$E$20),100%)</f>
        <v>1</v>
      </c>
      <c r="K42" s="353">
        <f>IF($E$20&lt;&gt;"",J42*(100%+$E$20),100%)</f>
        <v>1</v>
      </c>
      <c r="L42" t="s">
        <v>1153</v>
      </c>
      <c r="M42" s="588"/>
      <c r="N42" s="588"/>
      <c r="O42" s="588"/>
      <c r="P42" s="588"/>
      <c r="Q42" s="588"/>
      <c r="S42" s="160"/>
    </row>
    <row r="43" spans="2:19">
      <c r="B43" s="160"/>
      <c r="C43" s="405" t="str">
        <f>IF('Inputs and eligible population'!E17=0,"Baseline population (inflated by growth(s))","Manually entered locality population (inflated by growth(s))")</f>
        <v>Baseline population (inflated by growth(s))</v>
      </c>
      <c r="D43" s="198"/>
      <c r="E43" s="168"/>
      <c r="F43" s="128">
        <f>IF(ISBLANK(E17),G14,'Population selection'!F16)</f>
        <v>22345426.050314985</v>
      </c>
      <c r="G43" s="128">
        <f>F43*G41</f>
        <v>22560876.345991582</v>
      </c>
      <c r="H43" s="128">
        <f>F43*H41</f>
        <v>22778403.971937142</v>
      </c>
      <c r="I43" s="128">
        <f>F43*I41</f>
        <v>22998028.957370155</v>
      </c>
      <c r="J43" s="128">
        <f>F43*J41</f>
        <v>23219771.524626978</v>
      </c>
      <c r="K43" s="128">
        <f>F43*K41</f>
        <v>23443652.091023844</v>
      </c>
      <c r="M43" s="286"/>
      <c r="N43" s="286"/>
      <c r="O43" s="286"/>
      <c r="P43" s="286"/>
      <c r="Q43" s="286"/>
      <c r="S43" s="160"/>
    </row>
    <row r="44" spans="2:19">
      <c r="B44" s="160"/>
      <c r="C44" s="405" t="s">
        <v>1151</v>
      </c>
      <c r="D44" s="198"/>
      <c r="E44" s="168"/>
      <c r="F44" s="182">
        <f>IF(ISBLANK(F37),F28,F37)</f>
        <v>29930.551874040539</v>
      </c>
      <c r="G44" s="182">
        <f>$F$44*G41*G42</f>
        <v>30219.136492499172</v>
      </c>
      <c r="H44" s="182">
        <f t="shared" ref="H44:K44" si="0">$F$44*H41*H42</f>
        <v>30510.503588286039</v>
      </c>
      <c r="I44" s="182">
        <f t="shared" si="0"/>
        <v>30804.679989511806</v>
      </c>
      <c r="J44" s="182">
        <f t="shared" si="0"/>
        <v>31101.69278295862</v>
      </c>
      <c r="K44" s="182">
        <f t="shared" si="0"/>
        <v>31401.569316574169</v>
      </c>
      <c r="M44" s="286"/>
      <c r="N44" s="286"/>
      <c r="O44" s="286"/>
      <c r="P44" s="286"/>
      <c r="Q44" s="286"/>
      <c r="S44" s="160"/>
    </row>
    <row r="45" spans="2:19">
      <c r="B45" s="160"/>
      <c r="C45" s="405" t="s">
        <v>1152</v>
      </c>
      <c r="D45" s="198"/>
      <c r="E45" s="168"/>
      <c r="F45" s="182">
        <f>IF(ISBLANK(F38),F29,F38)</f>
        <v>8241.746168214062</v>
      </c>
      <c r="G45" s="182">
        <f>$F$45*G41*G42</f>
        <v>8321.2114979345552</v>
      </c>
      <c r="H45" s="182">
        <f t="shared" ref="H45:K45" si="1">$F$45*H41*H42</f>
        <v>8401.4430170642718</v>
      </c>
      <c r="I45" s="182">
        <f t="shared" si="1"/>
        <v>8482.4481130539752</v>
      </c>
      <c r="J45" s="182">
        <f t="shared" si="1"/>
        <v>8564.234244582809</v>
      </c>
      <c r="K45" s="182">
        <f t="shared" si="1"/>
        <v>8646.8089422450612</v>
      </c>
      <c r="M45" s="286"/>
      <c r="N45" s="286"/>
      <c r="O45" s="286"/>
      <c r="P45" s="286"/>
      <c r="Q45" s="286"/>
      <c r="S45" s="160"/>
    </row>
    <row r="46" spans="2:19">
      <c r="B46" s="160"/>
      <c r="C46" s="228" t="str">
        <f>IF(ISBLANK(#REF!),"NICE estimate (4th Line)","Eligible population, local estimate")</f>
        <v>Eligible population, local estimate</v>
      </c>
      <c r="D46" s="198"/>
      <c r="E46" s="168"/>
      <c r="F46" s="182">
        <f>F44+F45</f>
        <v>38172.298042254602</v>
      </c>
      <c r="G46" s="182">
        <f t="shared" ref="G46:K46" si="2">G44+G45</f>
        <v>38540.347990433729</v>
      </c>
      <c r="H46" s="182">
        <f t="shared" si="2"/>
        <v>38911.946605350313</v>
      </c>
      <c r="I46" s="182">
        <f t="shared" si="2"/>
        <v>39287.128102565781</v>
      </c>
      <c r="J46" s="182">
        <f t="shared" si="2"/>
        <v>39665.927027541431</v>
      </c>
      <c r="K46" s="182">
        <f t="shared" si="2"/>
        <v>40048.378258819226</v>
      </c>
      <c r="L46" s="170" t="str">
        <f>IF(F35="no","local estimate used","")</f>
        <v/>
      </c>
      <c r="M46" s="361"/>
      <c r="N46" s="361"/>
      <c r="O46" s="361"/>
      <c r="P46" s="361"/>
      <c r="Q46" s="361"/>
      <c r="S46" s="160"/>
    </row>
    <row r="47" spans="2:19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0"/>
    </row>
    <row r="50" spans="2:18">
      <c r="B50" s="685" t="s">
        <v>58</v>
      </c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157"/>
    </row>
    <row r="51" spans="2:18">
      <c r="B51" s="686"/>
      <c r="C51" s="209" t="s">
        <v>60</v>
      </c>
      <c r="D51" s="214" t="s">
        <v>61</v>
      </c>
      <c r="E51" s="210"/>
      <c r="F51" s="210"/>
      <c r="G51" s="210"/>
      <c r="H51" s="211"/>
      <c r="I51" s="212" t="s">
        <v>62</v>
      </c>
      <c r="J51" s="165" t="s">
        <v>63</v>
      </c>
      <c r="K51" s="212" t="s">
        <v>64</v>
      </c>
      <c r="R51" s="159"/>
    </row>
    <row r="52" spans="2:18" ht="61.5" customHeight="1">
      <c r="B52" s="686"/>
      <c r="C52" s="349" t="s">
        <v>1070</v>
      </c>
      <c r="D52" s="201" t="s">
        <v>1071</v>
      </c>
      <c r="E52" s="202"/>
      <c r="F52" s="202"/>
      <c r="G52" s="202"/>
      <c r="H52" s="198"/>
      <c r="I52" s="724">
        <v>87.453184000000007</v>
      </c>
      <c r="J52" s="725" t="s">
        <v>1032</v>
      </c>
      <c r="K52" s="796" t="s">
        <v>1178</v>
      </c>
      <c r="L52" s="589"/>
      <c r="M52" s="589"/>
      <c r="N52" s="589"/>
      <c r="O52" s="589"/>
      <c r="R52" s="159"/>
    </row>
    <row r="53" spans="2:18">
      <c r="B53" s="160"/>
      <c r="C53" s="349" t="s">
        <v>1072</v>
      </c>
      <c r="D53" s="201" t="s">
        <v>1167</v>
      </c>
      <c r="E53" s="202"/>
      <c r="F53" s="202"/>
      <c r="G53" s="202"/>
      <c r="H53" s="198"/>
      <c r="I53" s="724">
        <v>260</v>
      </c>
      <c r="J53" s="725" t="s">
        <v>1032</v>
      </c>
      <c r="K53" s="355" t="s">
        <v>1169</v>
      </c>
      <c r="L53" s="589"/>
      <c r="M53" s="589"/>
      <c r="N53" s="589"/>
      <c r="O53" s="589"/>
      <c r="R53" s="159"/>
    </row>
    <row r="54" spans="2:18">
      <c r="B54" s="686"/>
      <c r="C54" s="349" t="s">
        <v>1072</v>
      </c>
      <c r="D54" s="201" t="s">
        <v>1166</v>
      </c>
      <c r="E54" s="202"/>
      <c r="F54" s="202"/>
      <c r="G54" s="202"/>
      <c r="H54" s="198"/>
      <c r="I54" s="724">
        <v>129.37</v>
      </c>
      <c r="J54" s="725" t="s">
        <v>1032</v>
      </c>
      <c r="K54" s="355" t="s">
        <v>1169</v>
      </c>
      <c r="L54" s="589"/>
      <c r="M54" s="589"/>
      <c r="N54" s="589"/>
      <c r="O54" s="589"/>
      <c r="R54" s="159"/>
    </row>
    <row r="55" spans="2:18">
      <c r="B55" s="160"/>
      <c r="C55" s="349" t="s">
        <v>1073</v>
      </c>
      <c r="D55" s="201" t="s">
        <v>1076</v>
      </c>
      <c r="E55" s="202"/>
      <c r="F55" s="202"/>
      <c r="G55" s="202"/>
      <c r="H55" s="198"/>
      <c r="I55" s="724">
        <v>75.239999999999995</v>
      </c>
      <c r="J55" s="725" t="s">
        <v>1032</v>
      </c>
      <c r="K55" s="355" t="s">
        <v>1169</v>
      </c>
      <c r="L55" s="589"/>
      <c r="M55" s="589"/>
      <c r="N55" s="589"/>
      <c r="O55" s="589"/>
      <c r="R55" s="159"/>
    </row>
    <row r="56" spans="2:18">
      <c r="B56" s="160"/>
      <c r="C56" s="349" t="s">
        <v>1073</v>
      </c>
      <c r="D56" s="201" t="s">
        <v>1077</v>
      </c>
      <c r="E56" s="202"/>
      <c r="F56" s="202"/>
      <c r="G56" s="202"/>
      <c r="H56" s="198"/>
      <c r="I56" s="724">
        <v>225.72</v>
      </c>
      <c r="J56" s="725" t="s">
        <v>1032</v>
      </c>
      <c r="K56" s="355" t="s">
        <v>1169</v>
      </c>
      <c r="L56" s="589"/>
      <c r="M56" s="589"/>
      <c r="N56" s="589"/>
      <c r="O56" s="589"/>
      <c r="R56" s="159"/>
    </row>
    <row r="57" spans="2:18">
      <c r="B57" s="160"/>
      <c r="C57" s="349" t="s">
        <v>1074</v>
      </c>
      <c r="D57" s="201" t="s">
        <v>1078</v>
      </c>
      <c r="E57" s="202"/>
      <c r="F57" s="202"/>
      <c r="G57" s="202"/>
      <c r="H57" s="198"/>
      <c r="I57" s="724">
        <v>69</v>
      </c>
      <c r="J57" s="725" t="s">
        <v>1032</v>
      </c>
      <c r="K57" s="355" t="s">
        <v>1169</v>
      </c>
      <c r="L57" s="589"/>
      <c r="M57" s="589"/>
      <c r="N57" s="589"/>
      <c r="O57" s="589"/>
      <c r="R57" s="159"/>
    </row>
    <row r="58" spans="2:18">
      <c r="B58" s="160"/>
      <c r="C58" s="349" t="s">
        <v>1074</v>
      </c>
      <c r="D58" s="201" t="s">
        <v>1077</v>
      </c>
      <c r="E58" s="202"/>
      <c r="F58" s="202"/>
      <c r="G58" s="202"/>
      <c r="H58" s="198"/>
      <c r="I58" s="724">
        <v>207</v>
      </c>
      <c r="J58" s="725" t="s">
        <v>1032</v>
      </c>
      <c r="K58" s="355" t="s">
        <v>1169</v>
      </c>
      <c r="L58" s="589"/>
      <c r="M58" s="589"/>
      <c r="N58" s="589"/>
      <c r="O58" s="589"/>
      <c r="R58" s="159"/>
    </row>
    <row r="59" spans="2:18">
      <c r="B59" s="160"/>
      <c r="C59" s="349" t="s">
        <v>1074</v>
      </c>
      <c r="D59" s="201" t="s">
        <v>1113</v>
      </c>
      <c r="E59" s="202"/>
      <c r="F59" s="202"/>
      <c r="G59" s="202"/>
      <c r="H59" s="198"/>
      <c r="I59" s="724">
        <v>414</v>
      </c>
      <c r="J59" s="725" t="s">
        <v>1032</v>
      </c>
      <c r="K59" s="355" t="s">
        <v>1169</v>
      </c>
      <c r="L59" s="589"/>
      <c r="M59" s="589"/>
      <c r="N59" s="589"/>
      <c r="O59" s="589"/>
      <c r="R59" s="159"/>
    </row>
    <row r="60" spans="2:18">
      <c r="B60" s="160"/>
      <c r="C60" s="349" t="s">
        <v>1075</v>
      </c>
      <c r="D60" s="201" t="s">
        <v>1195</v>
      </c>
      <c r="E60" s="202"/>
      <c r="F60" s="202"/>
      <c r="G60" s="202"/>
      <c r="H60" s="198"/>
      <c r="I60" s="724">
        <v>70</v>
      </c>
      <c r="J60" s="725" t="s">
        <v>1032</v>
      </c>
      <c r="K60" s="355" t="s">
        <v>1169</v>
      </c>
      <c r="L60" s="589"/>
      <c r="M60" s="589"/>
      <c r="N60" s="589"/>
      <c r="O60" s="589"/>
      <c r="R60" s="159"/>
    </row>
    <row r="61" spans="2:18">
      <c r="B61" s="160"/>
      <c r="C61" s="349" t="s">
        <v>1075</v>
      </c>
      <c r="D61" s="201" t="s">
        <v>1079</v>
      </c>
      <c r="E61" s="202"/>
      <c r="F61" s="202"/>
      <c r="G61" s="202"/>
      <c r="H61" s="198"/>
      <c r="I61" s="724">
        <v>235</v>
      </c>
      <c r="J61" s="725" t="s">
        <v>1032</v>
      </c>
      <c r="K61" s="355" t="s">
        <v>1169</v>
      </c>
      <c r="L61" s="589"/>
      <c r="M61" s="589"/>
      <c r="N61" s="589"/>
      <c r="O61" s="589"/>
      <c r="R61" s="159"/>
    </row>
    <row r="62" spans="2:18">
      <c r="B62" s="160"/>
      <c r="C62" s="195"/>
      <c r="D62" s="152"/>
      <c r="E62" s="152"/>
      <c r="F62" s="152"/>
      <c r="G62" s="152"/>
      <c r="R62" s="159"/>
    </row>
    <row r="63" spans="2:18">
      <c r="B63" s="160"/>
      <c r="D63" s="152"/>
      <c r="E63" s="152"/>
      <c r="F63" s="152"/>
      <c r="G63" s="152"/>
      <c r="R63" s="159"/>
    </row>
    <row r="64" spans="2:18">
      <c r="B64" s="160"/>
      <c r="C64" s="200" t="s">
        <v>65</v>
      </c>
      <c r="D64" s="687">
        <v>78</v>
      </c>
      <c r="E64" s="201"/>
      <c r="F64" s="202"/>
      <c r="G64" s="202"/>
      <c r="H64" s="168"/>
      <c r="R64" s="159"/>
    </row>
    <row r="65" spans="2:18" ht="16.5">
      <c r="B65" s="160"/>
      <c r="C65" s="200" t="s">
        <v>66</v>
      </c>
      <c r="D65" s="688">
        <v>1.79</v>
      </c>
      <c r="E65" s="201"/>
      <c r="F65" s="202"/>
      <c r="G65" s="202"/>
      <c r="H65" s="168"/>
      <c r="R65" s="159"/>
    </row>
    <row r="66" spans="2:18">
      <c r="B66" s="160"/>
      <c r="R66" s="159"/>
    </row>
    <row r="67" spans="2:18">
      <c r="B67" s="160"/>
      <c r="C67" s="148"/>
      <c r="R67" s="159"/>
    </row>
    <row r="68" spans="2:18">
      <c r="B68" s="160"/>
      <c r="D68" s="366" t="s">
        <v>1189</v>
      </c>
      <c r="E68" s="801" t="s">
        <v>67</v>
      </c>
      <c r="F68" s="213" t="s">
        <v>68</v>
      </c>
      <c r="G68" s="213" t="s">
        <v>69</v>
      </c>
      <c r="H68" s="213" t="s">
        <v>70</v>
      </c>
      <c r="I68" s="212" t="s">
        <v>71</v>
      </c>
      <c r="J68" s="212" t="s">
        <v>72</v>
      </c>
      <c r="L68" s="165" t="s">
        <v>67</v>
      </c>
      <c r="M68" s="702" t="s">
        <v>68</v>
      </c>
      <c r="N68" s="213" t="s">
        <v>69</v>
      </c>
      <c r="O68" s="213" t="s">
        <v>70</v>
      </c>
      <c r="P68" s="212" t="s">
        <v>71</v>
      </c>
      <c r="Q68" s="212" t="s">
        <v>72</v>
      </c>
      <c r="R68" s="159"/>
    </row>
    <row r="69" spans="2:18" ht="31" customHeight="1">
      <c r="B69" s="160"/>
      <c r="C69" s="817" t="s">
        <v>1157</v>
      </c>
      <c r="D69" s="818"/>
      <c r="E69" s="689">
        <v>0</v>
      </c>
      <c r="F69" s="690">
        <v>0.15</v>
      </c>
      <c r="G69" s="690">
        <v>0.2</v>
      </c>
      <c r="H69" s="690">
        <v>0.25</v>
      </c>
      <c r="I69" s="690">
        <v>0.3</v>
      </c>
      <c r="J69" s="690">
        <v>0.3</v>
      </c>
      <c r="L69" s="726">
        <f>F$44*E69</f>
        <v>0</v>
      </c>
      <c r="M69" s="726">
        <f t="shared" ref="M69:Q69" si="3">G$44*F69</f>
        <v>4532.8704738748756</v>
      </c>
      <c r="N69" s="726">
        <f t="shared" si="3"/>
        <v>6102.1007176572084</v>
      </c>
      <c r="O69" s="726">
        <f t="shared" si="3"/>
        <v>7701.1699973779514</v>
      </c>
      <c r="P69" s="726">
        <f t="shared" si="3"/>
        <v>9330.507834887585</v>
      </c>
      <c r="Q69" s="726">
        <f t="shared" si="3"/>
        <v>9420.4707949722506</v>
      </c>
      <c r="R69" s="159"/>
    </row>
    <row r="70" spans="2:18">
      <c r="B70" s="160"/>
      <c r="C70" s="817" t="s">
        <v>1158</v>
      </c>
      <c r="D70" s="818"/>
      <c r="E70" s="689">
        <v>0.05</v>
      </c>
      <c r="F70" s="690">
        <v>3.5000000000000003E-2</v>
      </c>
      <c r="G70" s="690">
        <v>0.03</v>
      </c>
      <c r="H70" s="690">
        <v>0.02</v>
      </c>
      <c r="I70" s="690">
        <v>0.02</v>
      </c>
      <c r="J70" s="690">
        <v>0.02</v>
      </c>
      <c r="L70" s="726">
        <f t="shared" ref="L70:L74" si="4">F$44*E70</f>
        <v>1496.5275937020269</v>
      </c>
      <c r="M70" s="726">
        <f t="shared" ref="M70:M74" si="5">G$44*F70</f>
        <v>1057.6697772374712</v>
      </c>
      <c r="N70" s="726">
        <f t="shared" ref="N70:N74" si="6">H$44*G70</f>
        <v>915.31510764858115</v>
      </c>
      <c r="O70" s="726">
        <f t="shared" ref="O70:O74" si="7">I$44*H70</f>
        <v>616.09359979023611</v>
      </c>
      <c r="P70" s="726">
        <f t="shared" ref="P70:P74" si="8">J$44*I70</f>
        <v>622.03385565917245</v>
      </c>
      <c r="Q70" s="726">
        <f t="shared" ref="Q70:Q74" si="9">K$44*J70</f>
        <v>628.03138633148342</v>
      </c>
      <c r="R70" s="159"/>
    </row>
    <row r="71" spans="2:18" ht="14.5" customHeight="1">
      <c r="B71" s="160"/>
      <c r="C71" s="817" t="s">
        <v>1159</v>
      </c>
      <c r="D71" s="818"/>
      <c r="E71" s="782">
        <v>0.43200000000000005</v>
      </c>
      <c r="F71" s="783">
        <v>0.35</v>
      </c>
      <c r="G71" s="783">
        <v>0.32</v>
      </c>
      <c r="H71" s="783">
        <v>0.3</v>
      </c>
      <c r="I71" s="783">
        <v>0.28000000000000003</v>
      </c>
      <c r="J71" s="783">
        <v>0.28000000000000003</v>
      </c>
      <c r="L71" s="726">
        <f t="shared" si="4"/>
        <v>12929.998409585514</v>
      </c>
      <c r="M71" s="726">
        <f t="shared" si="5"/>
        <v>10576.69777237471</v>
      </c>
      <c r="N71" s="726">
        <f t="shared" si="6"/>
        <v>9763.3611482515335</v>
      </c>
      <c r="O71" s="726">
        <f t="shared" si="7"/>
        <v>9241.4039968535417</v>
      </c>
      <c r="P71" s="726">
        <f t="shared" si="8"/>
        <v>8708.4739792284145</v>
      </c>
      <c r="Q71" s="726">
        <f t="shared" si="9"/>
        <v>8792.4394086407683</v>
      </c>
      <c r="R71" s="159"/>
    </row>
    <row r="72" spans="2:18">
      <c r="B72" s="160"/>
      <c r="C72" s="817" t="s">
        <v>1160</v>
      </c>
      <c r="D72" s="817"/>
      <c r="E72" s="784">
        <v>0.27600000000000002</v>
      </c>
      <c r="F72" s="785">
        <v>0.23499999999999999</v>
      </c>
      <c r="G72" s="785">
        <v>0.22</v>
      </c>
      <c r="H72" s="785">
        <v>0.2</v>
      </c>
      <c r="I72" s="785">
        <v>0.18</v>
      </c>
      <c r="J72" s="785">
        <v>0.18</v>
      </c>
      <c r="L72" s="726">
        <f t="shared" si="4"/>
        <v>8260.8323172351902</v>
      </c>
      <c r="M72" s="726">
        <f t="shared" si="5"/>
        <v>7101.4970757373048</v>
      </c>
      <c r="N72" s="726">
        <f t="shared" si="6"/>
        <v>6712.3107894229288</v>
      </c>
      <c r="O72" s="726">
        <f t="shared" si="7"/>
        <v>6160.9359979023611</v>
      </c>
      <c r="P72" s="726">
        <f t="shared" si="8"/>
        <v>5598.304700932551</v>
      </c>
      <c r="Q72" s="726">
        <f t="shared" si="9"/>
        <v>5652.2824769833505</v>
      </c>
      <c r="R72" s="159"/>
    </row>
    <row r="73" spans="2:18">
      <c r="B73" s="160"/>
      <c r="C73" s="817" t="s">
        <v>1161</v>
      </c>
      <c r="D73" s="817"/>
      <c r="E73" s="784">
        <v>9.1999999999999998E-2</v>
      </c>
      <c r="F73" s="785">
        <v>0.08</v>
      </c>
      <c r="G73" s="785">
        <v>0.08</v>
      </c>
      <c r="H73" s="785">
        <v>0.08</v>
      </c>
      <c r="I73" s="785">
        <v>0.08</v>
      </c>
      <c r="J73" s="785">
        <v>0.08</v>
      </c>
      <c r="L73" s="726">
        <f t="shared" si="4"/>
        <v>2753.6107724117296</v>
      </c>
      <c r="M73" s="726">
        <f t="shared" si="5"/>
        <v>2417.5309193999337</v>
      </c>
      <c r="N73" s="726">
        <f t="shared" si="6"/>
        <v>2440.8402870628834</v>
      </c>
      <c r="O73" s="726">
        <f t="shared" si="7"/>
        <v>2464.3743991609444</v>
      </c>
      <c r="P73" s="726">
        <f t="shared" si="8"/>
        <v>2488.1354226366898</v>
      </c>
      <c r="Q73" s="726">
        <f t="shared" si="9"/>
        <v>2512.1255453259337</v>
      </c>
      <c r="R73" s="159"/>
    </row>
    <row r="74" spans="2:18">
      <c r="B74" s="160"/>
      <c r="C74" s="817" t="s">
        <v>1085</v>
      </c>
      <c r="D74" s="817" t="s">
        <v>1085</v>
      </c>
      <c r="E74" s="784">
        <v>0.15</v>
      </c>
      <c r="F74" s="785">
        <v>0.15</v>
      </c>
      <c r="G74" s="785">
        <v>0.15</v>
      </c>
      <c r="H74" s="785">
        <v>0.15</v>
      </c>
      <c r="I74" s="785">
        <v>0.14000000000000001</v>
      </c>
      <c r="J74" s="785">
        <v>0.14000000000000001</v>
      </c>
      <c r="L74" s="726">
        <f t="shared" si="4"/>
        <v>4489.5827811060808</v>
      </c>
      <c r="M74" s="726">
        <f t="shared" si="5"/>
        <v>4532.8704738748756</v>
      </c>
      <c r="N74" s="726">
        <f t="shared" si="6"/>
        <v>4576.5755382429061</v>
      </c>
      <c r="O74" s="726">
        <f t="shared" si="7"/>
        <v>4620.7019984267708</v>
      </c>
      <c r="P74" s="726">
        <f t="shared" si="8"/>
        <v>4354.2369896142072</v>
      </c>
      <c r="Q74" s="726">
        <f t="shared" si="9"/>
        <v>4396.2197043203842</v>
      </c>
      <c r="R74" s="159"/>
    </row>
    <row r="75" spans="2:18">
      <c r="B75" s="160"/>
      <c r="E75" s="151">
        <f>SUM(E69:E74)</f>
        <v>1</v>
      </c>
      <c r="F75" s="151">
        <f t="shared" ref="F75:J75" si="10">SUM(F69:F74)</f>
        <v>0.99999999999999989</v>
      </c>
      <c r="G75" s="151">
        <f t="shared" si="10"/>
        <v>1</v>
      </c>
      <c r="H75" s="151">
        <f t="shared" si="10"/>
        <v>1</v>
      </c>
      <c r="I75" s="151">
        <f t="shared" si="10"/>
        <v>1</v>
      </c>
      <c r="J75" s="151">
        <f t="shared" si="10"/>
        <v>1</v>
      </c>
      <c r="L75" s="354">
        <f>SUM(L69:L74)</f>
        <v>29930.551874040542</v>
      </c>
      <c r="M75" s="354">
        <f t="shared" ref="M75:Q75" si="11">SUM(M69:M74)</f>
        <v>30219.136492499169</v>
      </c>
      <c r="N75" s="354">
        <f t="shared" si="11"/>
        <v>30510.503588286039</v>
      </c>
      <c r="O75" s="354">
        <f t="shared" si="11"/>
        <v>30804.679989511809</v>
      </c>
      <c r="P75" s="354">
        <f t="shared" si="11"/>
        <v>31101.692782958624</v>
      </c>
      <c r="Q75" s="354">
        <f t="shared" si="11"/>
        <v>31401.569316574169</v>
      </c>
      <c r="R75" s="159"/>
    </row>
    <row r="76" spans="2:18">
      <c r="B76" s="160"/>
      <c r="C76" s="148"/>
      <c r="E76" s="797"/>
      <c r="F76" s="797"/>
      <c r="G76" s="797"/>
      <c r="H76" s="797"/>
      <c r="I76" s="797"/>
      <c r="J76" s="797"/>
      <c r="L76" s="798"/>
      <c r="M76" s="798"/>
      <c r="N76" s="798"/>
      <c r="O76" s="798"/>
      <c r="P76" s="798"/>
      <c r="Q76" s="798"/>
      <c r="R76" s="159"/>
    </row>
    <row r="77" spans="2:18">
      <c r="B77" s="160"/>
      <c r="D77" s="366" t="s">
        <v>1190</v>
      </c>
      <c r="E77" s="801" t="s">
        <v>67</v>
      </c>
      <c r="F77" s="213" t="s">
        <v>68</v>
      </c>
      <c r="G77" s="213" t="s">
        <v>69</v>
      </c>
      <c r="H77" s="213" t="s">
        <v>70</v>
      </c>
      <c r="I77" s="212" t="s">
        <v>71</v>
      </c>
      <c r="J77" s="212" t="s">
        <v>72</v>
      </c>
      <c r="L77" s="165" t="s">
        <v>67</v>
      </c>
      <c r="M77" s="702" t="s">
        <v>68</v>
      </c>
      <c r="N77" s="213" t="s">
        <v>69</v>
      </c>
      <c r="O77" s="213" t="s">
        <v>70</v>
      </c>
      <c r="P77" s="212" t="s">
        <v>71</v>
      </c>
      <c r="Q77" s="212" t="s">
        <v>72</v>
      </c>
      <c r="R77" s="159"/>
    </row>
    <row r="78" spans="2:18">
      <c r="B78" s="160"/>
      <c r="C78" s="817" t="s">
        <v>1157</v>
      </c>
      <c r="D78" s="818"/>
      <c r="E78" s="689">
        <v>0</v>
      </c>
      <c r="F78" s="690">
        <v>0.15</v>
      </c>
      <c r="G78" s="690">
        <v>0.2</v>
      </c>
      <c r="H78" s="690">
        <v>0.25</v>
      </c>
      <c r="I78" s="690">
        <v>0.3</v>
      </c>
      <c r="J78" s="690">
        <v>0.3</v>
      </c>
      <c r="L78" s="726">
        <f>F$45*E78</f>
        <v>0</v>
      </c>
      <c r="M78" s="726">
        <f t="shared" ref="M78:Q83" si="12">G$45*F78</f>
        <v>1248.1817246901833</v>
      </c>
      <c r="N78" s="726">
        <f t="shared" si="12"/>
        <v>1680.2886034128544</v>
      </c>
      <c r="O78" s="726">
        <f t="shared" si="12"/>
        <v>2120.6120282634938</v>
      </c>
      <c r="P78" s="726">
        <f t="shared" si="12"/>
        <v>2569.2702733748424</v>
      </c>
      <c r="Q78" s="726">
        <f t="shared" si="12"/>
        <v>2594.0426826735184</v>
      </c>
      <c r="R78" s="159"/>
    </row>
    <row r="79" spans="2:18">
      <c r="B79" s="160"/>
      <c r="C79" s="817" t="s">
        <v>1158</v>
      </c>
      <c r="D79" s="818"/>
      <c r="E79" s="689">
        <v>0.05</v>
      </c>
      <c r="F79" s="690">
        <v>3.5000000000000003E-2</v>
      </c>
      <c r="G79" s="690">
        <v>0.03</v>
      </c>
      <c r="H79" s="690">
        <v>0.02</v>
      </c>
      <c r="I79" s="690">
        <v>0.02</v>
      </c>
      <c r="J79" s="690">
        <v>0.02</v>
      </c>
      <c r="L79" s="726">
        <f>F$45*E79</f>
        <v>412.08730841070314</v>
      </c>
      <c r="M79" s="726">
        <f t="shared" si="12"/>
        <v>291.24240242770946</v>
      </c>
      <c r="N79" s="726">
        <f t="shared" si="12"/>
        <v>252.04329051192815</v>
      </c>
      <c r="O79" s="726">
        <f t="shared" si="12"/>
        <v>169.6489622610795</v>
      </c>
      <c r="P79" s="726">
        <f t="shared" si="12"/>
        <v>171.28468489165618</v>
      </c>
      <c r="Q79" s="726">
        <f t="shared" si="12"/>
        <v>172.93617884490124</v>
      </c>
      <c r="R79" s="159"/>
    </row>
    <row r="80" spans="2:18">
      <c r="B80" s="160"/>
      <c r="C80" s="817" t="s">
        <v>1159</v>
      </c>
      <c r="D80" s="818"/>
      <c r="E80" s="782">
        <v>0.43200000000000005</v>
      </c>
      <c r="F80" s="783">
        <v>0.35</v>
      </c>
      <c r="G80" s="783">
        <v>0.32</v>
      </c>
      <c r="H80" s="783">
        <v>0.3</v>
      </c>
      <c r="I80" s="783">
        <v>0.28000000000000003</v>
      </c>
      <c r="J80" s="783">
        <v>0.28000000000000003</v>
      </c>
      <c r="L80" s="726">
        <f t="shared" ref="L80:L82" si="13">F$45*E80</f>
        <v>3560.4343446684752</v>
      </c>
      <c r="M80" s="726">
        <f t="shared" si="12"/>
        <v>2912.4240242770943</v>
      </c>
      <c r="N80" s="726">
        <f t="shared" si="12"/>
        <v>2688.4617654605672</v>
      </c>
      <c r="O80" s="726">
        <f t="shared" si="12"/>
        <v>2544.7344339161923</v>
      </c>
      <c r="P80" s="726">
        <f t="shared" si="12"/>
        <v>2397.9855884831868</v>
      </c>
      <c r="Q80" s="726">
        <f t="shared" si="12"/>
        <v>2421.1065038286174</v>
      </c>
      <c r="R80" s="159"/>
    </row>
    <row r="81" spans="2:18">
      <c r="B81" s="160"/>
      <c r="C81" s="817" t="s">
        <v>1160</v>
      </c>
      <c r="D81" s="817"/>
      <c r="E81" s="784">
        <v>0.27600000000000002</v>
      </c>
      <c r="F81" s="785">
        <v>0.23499999999999999</v>
      </c>
      <c r="G81" s="785">
        <v>0.22</v>
      </c>
      <c r="H81" s="785">
        <v>0.2</v>
      </c>
      <c r="I81" s="785">
        <v>0.18</v>
      </c>
      <c r="J81" s="785">
        <v>0.18</v>
      </c>
      <c r="L81" s="726">
        <f t="shared" si="13"/>
        <v>2274.7219424270811</v>
      </c>
      <c r="M81" s="726">
        <f t="shared" si="12"/>
        <v>1955.4847020146203</v>
      </c>
      <c r="N81" s="726">
        <f t="shared" si="12"/>
        <v>1848.3174637541399</v>
      </c>
      <c r="O81" s="726">
        <f t="shared" si="12"/>
        <v>1696.4896226107951</v>
      </c>
      <c r="P81" s="726">
        <f t="shared" si="12"/>
        <v>1541.5621640249055</v>
      </c>
      <c r="Q81" s="726">
        <f t="shared" si="12"/>
        <v>1556.4256096041111</v>
      </c>
      <c r="R81" s="159"/>
    </row>
    <row r="82" spans="2:18">
      <c r="B82" s="160"/>
      <c r="C82" s="817" t="s">
        <v>1161</v>
      </c>
      <c r="D82" s="817"/>
      <c r="E82" s="784">
        <v>9.1999999999999998E-2</v>
      </c>
      <c r="F82" s="785">
        <v>0.08</v>
      </c>
      <c r="G82" s="785">
        <v>0.08</v>
      </c>
      <c r="H82" s="785">
        <v>0.08</v>
      </c>
      <c r="I82" s="785">
        <v>0.08</v>
      </c>
      <c r="J82" s="785">
        <v>0.08</v>
      </c>
      <c r="L82" s="726">
        <f t="shared" si="13"/>
        <v>758.24064747569366</v>
      </c>
      <c r="M82" s="726">
        <f t="shared" si="12"/>
        <v>665.69691983476446</v>
      </c>
      <c r="N82" s="726">
        <f t="shared" si="12"/>
        <v>672.11544136514181</v>
      </c>
      <c r="O82" s="726">
        <f t="shared" si="12"/>
        <v>678.59584904431802</v>
      </c>
      <c r="P82" s="726">
        <f t="shared" si="12"/>
        <v>685.13873956662474</v>
      </c>
      <c r="Q82" s="726">
        <f t="shared" si="12"/>
        <v>691.74471537960494</v>
      </c>
      <c r="R82" s="159"/>
    </row>
    <row r="83" spans="2:18">
      <c r="B83" s="160"/>
      <c r="C83" s="817" t="s">
        <v>1085</v>
      </c>
      <c r="D83" s="817" t="s">
        <v>1085</v>
      </c>
      <c r="E83" s="784">
        <v>0.15</v>
      </c>
      <c r="F83" s="785">
        <v>0.15</v>
      </c>
      <c r="G83" s="785">
        <v>0.15</v>
      </c>
      <c r="H83" s="785">
        <v>0.15</v>
      </c>
      <c r="I83" s="785">
        <v>0.14000000000000001</v>
      </c>
      <c r="J83" s="785">
        <v>0.14000000000000001</v>
      </c>
      <c r="L83" s="726">
        <f>F$45*E83</f>
        <v>1236.2619252321092</v>
      </c>
      <c r="M83" s="726">
        <f t="shared" si="12"/>
        <v>1248.1817246901833</v>
      </c>
      <c r="N83" s="726">
        <f t="shared" si="12"/>
        <v>1260.2164525596406</v>
      </c>
      <c r="O83" s="726">
        <f t="shared" si="12"/>
        <v>1272.3672169580962</v>
      </c>
      <c r="P83" s="726">
        <f t="shared" si="12"/>
        <v>1198.9927942415934</v>
      </c>
      <c r="Q83" s="726">
        <f t="shared" si="12"/>
        <v>1210.5532519143087</v>
      </c>
      <c r="R83" s="159"/>
    </row>
    <row r="84" spans="2:18">
      <c r="B84" s="160"/>
      <c r="E84" s="151">
        <f>SUM(E78:E83)</f>
        <v>1</v>
      </c>
      <c r="F84" s="151">
        <f t="shared" ref="F84:J84" si="14">SUM(F78:F83)</f>
        <v>0.99999999999999989</v>
      </c>
      <c r="G84" s="151">
        <f t="shared" si="14"/>
        <v>1</v>
      </c>
      <c r="H84" s="151">
        <f t="shared" si="14"/>
        <v>1</v>
      </c>
      <c r="I84" s="151">
        <f t="shared" si="14"/>
        <v>1</v>
      </c>
      <c r="J84" s="151">
        <f t="shared" si="14"/>
        <v>1</v>
      </c>
      <c r="L84" s="354">
        <f>SUM(L78:L83)</f>
        <v>8241.746168214062</v>
      </c>
      <c r="M84" s="354">
        <f t="shared" ref="M84:Q84" si="15">SUM(M78:M83)</f>
        <v>8321.2114979345552</v>
      </c>
      <c r="N84" s="354">
        <f t="shared" si="15"/>
        <v>8401.4430170642718</v>
      </c>
      <c r="O84" s="354">
        <f t="shared" si="15"/>
        <v>8482.4481130539752</v>
      </c>
      <c r="P84" s="354">
        <f t="shared" si="15"/>
        <v>8564.2342445828108</v>
      </c>
      <c r="Q84" s="354">
        <f t="shared" si="15"/>
        <v>8646.8089422450612</v>
      </c>
      <c r="R84" s="159"/>
    </row>
    <row r="85" spans="2:18" ht="16" customHeight="1">
      <c r="B85" s="161"/>
      <c r="C85" s="162" t="s">
        <v>1086</v>
      </c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3"/>
    </row>
    <row r="86" spans="2:18">
      <c r="B86" s="331"/>
    </row>
    <row r="87" spans="2:18">
      <c r="B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</row>
    <row r="88" spans="2:18">
      <c r="B88" s="156" t="s">
        <v>73</v>
      </c>
      <c r="C88" s="331"/>
      <c r="P88" s="331"/>
      <c r="Q88" s="331"/>
      <c r="R88" s="157"/>
    </row>
    <row r="89" spans="2:18">
      <c r="B89" s="160" t="s">
        <v>74</v>
      </c>
      <c r="R89" s="159"/>
    </row>
    <row r="90" spans="2:18">
      <c r="B90" s="160" t="s">
        <v>75</v>
      </c>
      <c r="R90" s="159"/>
    </row>
    <row r="91" spans="2:18">
      <c r="B91" s="160"/>
      <c r="C91" s="356"/>
      <c r="D91" s="215"/>
      <c r="E91" s="215"/>
      <c r="F91" s="742"/>
      <c r="G91" s="743"/>
      <c r="H91" s="743"/>
      <c r="I91" s="592"/>
      <c r="R91" s="159"/>
    </row>
    <row r="92" spans="2:18" ht="116.5" customHeight="1">
      <c r="B92" s="160"/>
      <c r="C92" s="414" t="s">
        <v>76</v>
      </c>
      <c r="D92" s="414" t="s">
        <v>77</v>
      </c>
      <c r="E92" s="414" t="s">
        <v>78</v>
      </c>
      <c r="F92" s="414" t="s">
        <v>1080</v>
      </c>
      <c r="G92" s="414" t="s">
        <v>1081</v>
      </c>
      <c r="H92" s="414" t="s">
        <v>1082</v>
      </c>
      <c r="I92" s="414" t="s">
        <v>1083</v>
      </c>
      <c r="J92" s="414" t="s">
        <v>1084</v>
      </c>
      <c r="K92" s="414" t="s">
        <v>1085</v>
      </c>
      <c r="M92" s="414" t="s">
        <v>79</v>
      </c>
      <c r="N92" s="414" t="s">
        <v>80</v>
      </c>
      <c r="R92" s="159"/>
    </row>
    <row r="93" spans="2:18" ht="29.15" hidden="1" customHeight="1">
      <c r="B93" s="160"/>
      <c r="C93" s="416" t="s">
        <v>1029</v>
      </c>
      <c r="D93" s="165" t="s">
        <v>81</v>
      </c>
      <c r="E93" s="165" t="s">
        <v>1030</v>
      </c>
      <c r="F93" s="414"/>
      <c r="G93" s="414"/>
      <c r="H93" s="414"/>
      <c r="I93" s="414"/>
      <c r="J93" s="414"/>
      <c r="K93" s="414" t="s">
        <v>1085</v>
      </c>
      <c r="M93" s="209"/>
      <c r="N93" s="209"/>
      <c r="R93" s="159"/>
    </row>
    <row r="94" spans="2:18" ht="43.5" hidden="1">
      <c r="B94" s="160"/>
      <c r="C94" s="416" t="s">
        <v>1029</v>
      </c>
      <c r="D94" s="165" t="s">
        <v>81</v>
      </c>
      <c r="E94" s="165" t="s">
        <v>932</v>
      </c>
      <c r="F94" s="691"/>
      <c r="G94" s="691"/>
      <c r="H94" s="691"/>
      <c r="I94" s="691"/>
      <c r="J94" s="691"/>
      <c r="K94" s="691"/>
      <c r="M94" s="767" t="s">
        <v>96</v>
      </c>
      <c r="N94" s="768">
        <f>VLOOKUP(M94,payscales!$Q$5:$V$41,4,0)</f>
        <v>103.07</v>
      </c>
      <c r="R94" s="159"/>
    </row>
    <row r="95" spans="2:18" ht="29">
      <c r="B95" s="160"/>
      <c r="C95" s="416" t="s">
        <v>1087</v>
      </c>
      <c r="D95" s="165" t="s">
        <v>83</v>
      </c>
      <c r="E95" s="165" t="s">
        <v>1030</v>
      </c>
      <c r="F95" s="691">
        <v>4</v>
      </c>
      <c r="G95" s="691">
        <v>4</v>
      </c>
      <c r="H95" s="691">
        <v>4</v>
      </c>
      <c r="I95" s="691">
        <v>4</v>
      </c>
      <c r="J95" s="691">
        <v>4</v>
      </c>
      <c r="K95" s="691">
        <v>4</v>
      </c>
      <c r="M95" s="209"/>
      <c r="N95" s="209"/>
      <c r="R95" s="159"/>
    </row>
    <row r="96" spans="2:18" ht="43.5">
      <c r="B96" s="160"/>
      <c r="C96" s="416" t="s">
        <v>1087</v>
      </c>
      <c r="D96" s="165" t="s">
        <v>83</v>
      </c>
      <c r="E96" s="165" t="s">
        <v>932</v>
      </c>
      <c r="F96" s="691">
        <v>20</v>
      </c>
      <c r="G96" s="691">
        <v>20</v>
      </c>
      <c r="H96" s="691">
        <v>20</v>
      </c>
      <c r="I96" s="691">
        <v>20</v>
      </c>
      <c r="J96" s="691">
        <v>20</v>
      </c>
      <c r="K96" s="691">
        <v>20</v>
      </c>
      <c r="M96" s="769" t="s">
        <v>96</v>
      </c>
      <c r="N96" s="727">
        <f>VLOOKUP(M96,payscales!$Q$5:$V$41,4,0)</f>
        <v>103.07</v>
      </c>
      <c r="R96" s="159"/>
    </row>
    <row r="97" spans="2:18" ht="30.65" customHeight="1">
      <c r="B97" s="160"/>
      <c r="C97" s="412" t="s">
        <v>84</v>
      </c>
      <c r="D97" s="771" t="s">
        <v>85</v>
      </c>
      <c r="E97" s="771" t="s">
        <v>82</v>
      </c>
      <c r="F97" s="688">
        <v>0</v>
      </c>
      <c r="G97" s="688">
        <v>15</v>
      </c>
      <c r="H97" s="688">
        <v>15</v>
      </c>
      <c r="I97" s="688">
        <v>15</v>
      </c>
      <c r="J97" s="688">
        <v>15</v>
      </c>
      <c r="K97" s="688">
        <v>0</v>
      </c>
      <c r="M97" s="769" t="s">
        <v>86</v>
      </c>
      <c r="N97" s="727">
        <f>VLOOKUP(M97,payscales!$Q$5:$V$41,4,0)</f>
        <v>38.99</v>
      </c>
      <c r="R97" s="159"/>
    </row>
    <row r="98" spans="2:18" ht="43.5">
      <c r="B98" s="160"/>
      <c r="C98" s="412" t="s">
        <v>84</v>
      </c>
      <c r="D98" s="165" t="s">
        <v>87</v>
      </c>
      <c r="E98" s="165" t="s">
        <v>82</v>
      </c>
      <c r="F98" s="688">
        <v>0</v>
      </c>
      <c r="G98" s="688">
        <v>15</v>
      </c>
      <c r="H98" s="688">
        <v>15</v>
      </c>
      <c r="I98" s="688">
        <v>15</v>
      </c>
      <c r="J98" s="688">
        <v>15</v>
      </c>
      <c r="K98" s="688">
        <v>0</v>
      </c>
      <c r="M98" s="769" t="s">
        <v>86</v>
      </c>
      <c r="N98" s="727">
        <f>VLOOKUP(M98,payscales!$Q$5:$V$41,4,0)</f>
        <v>38.99</v>
      </c>
      <c r="R98" s="159"/>
    </row>
    <row r="99" spans="2:18" ht="29">
      <c r="B99" s="160"/>
      <c r="C99" s="412" t="s">
        <v>84</v>
      </c>
      <c r="D99" s="165" t="s">
        <v>88</v>
      </c>
      <c r="E99" s="165" t="s">
        <v>82</v>
      </c>
      <c r="F99" s="688">
        <v>0</v>
      </c>
      <c r="G99" s="688">
        <v>15</v>
      </c>
      <c r="H99" s="688">
        <v>15</v>
      </c>
      <c r="I99" s="688">
        <v>15</v>
      </c>
      <c r="J99" s="688">
        <v>15</v>
      </c>
      <c r="K99" s="688">
        <v>0</v>
      </c>
      <c r="M99" s="769" t="s">
        <v>86</v>
      </c>
      <c r="N99" s="727">
        <f>VLOOKUP(M99,payscales!$Q$5:$V$41,4,0)</f>
        <v>38.99</v>
      </c>
      <c r="R99" s="159"/>
    </row>
    <row r="100" spans="2:18" ht="43.5" hidden="1">
      <c r="B100" s="160"/>
      <c r="C100" s="413" t="s">
        <v>90</v>
      </c>
      <c r="D100" s="165" t="s">
        <v>91</v>
      </c>
      <c r="E100" s="165" t="s">
        <v>82</v>
      </c>
      <c r="F100" s="688">
        <v>0</v>
      </c>
      <c r="G100" s="688">
        <v>0</v>
      </c>
      <c r="H100" s="688">
        <v>0</v>
      </c>
      <c r="I100" s="688">
        <v>0</v>
      </c>
      <c r="J100" s="688">
        <v>0</v>
      </c>
      <c r="K100" s="688">
        <v>0</v>
      </c>
      <c r="M100" s="212"/>
      <c r="N100" s="212"/>
      <c r="R100" s="159"/>
    </row>
    <row r="101" spans="2:18" ht="43.5" hidden="1">
      <c r="B101" s="160"/>
      <c r="C101" s="413" t="s">
        <v>90</v>
      </c>
      <c r="D101" s="238" t="s">
        <v>92</v>
      </c>
      <c r="E101" s="165" t="s">
        <v>82</v>
      </c>
      <c r="F101" s="688">
        <v>0</v>
      </c>
      <c r="G101" s="688">
        <v>0</v>
      </c>
      <c r="H101" s="688">
        <v>0</v>
      </c>
      <c r="I101" s="688">
        <v>0</v>
      </c>
      <c r="J101" s="688">
        <v>0</v>
      </c>
      <c r="K101" s="688">
        <v>0</v>
      </c>
      <c r="M101" s="212"/>
      <c r="N101" s="212"/>
      <c r="R101" s="159"/>
    </row>
    <row r="102" spans="2:18" ht="43.5" hidden="1">
      <c r="B102" s="160"/>
      <c r="C102" s="413" t="s">
        <v>90</v>
      </c>
      <c r="D102" s="165" t="s">
        <v>91</v>
      </c>
      <c r="E102" s="165" t="s">
        <v>93</v>
      </c>
      <c r="F102" s="688">
        <v>0</v>
      </c>
      <c r="G102" s="688">
        <v>0</v>
      </c>
      <c r="H102" s="688">
        <v>0</v>
      </c>
      <c r="I102" s="688">
        <v>0</v>
      </c>
      <c r="J102" s="688">
        <v>0</v>
      </c>
      <c r="K102" s="688">
        <v>0</v>
      </c>
      <c r="M102" s="770" t="s">
        <v>86</v>
      </c>
      <c r="N102" s="292">
        <f>VLOOKUP(M102,payscales!$Q$5:$V$41,4,0)</f>
        <v>38.99</v>
      </c>
      <c r="R102" s="159"/>
    </row>
    <row r="103" spans="2:18" ht="43.5" hidden="1">
      <c r="B103" s="160"/>
      <c r="C103" s="413" t="s">
        <v>90</v>
      </c>
      <c r="D103" s="238" t="s">
        <v>92</v>
      </c>
      <c r="E103" s="165" t="s">
        <v>93</v>
      </c>
      <c r="F103" s="688">
        <v>0</v>
      </c>
      <c r="G103" s="688">
        <v>0</v>
      </c>
      <c r="H103" s="688">
        <v>0</v>
      </c>
      <c r="I103" s="688">
        <v>0</v>
      </c>
      <c r="J103" s="688">
        <v>0</v>
      </c>
      <c r="K103" s="688">
        <v>0</v>
      </c>
      <c r="M103" s="770" t="s">
        <v>86</v>
      </c>
      <c r="N103" s="292">
        <f>VLOOKUP(M103,payscales!$Q$5:$V$41,4,0)</f>
        <v>38.99</v>
      </c>
      <c r="R103" s="159"/>
    </row>
    <row r="104" spans="2:18" ht="29">
      <c r="B104" s="160"/>
      <c r="C104" s="413" t="s">
        <v>90</v>
      </c>
      <c r="D104" s="165" t="s">
        <v>94</v>
      </c>
      <c r="E104" s="165" t="s">
        <v>82</v>
      </c>
      <c r="F104" s="688">
        <v>0</v>
      </c>
      <c r="G104" s="688">
        <v>0</v>
      </c>
      <c r="H104" s="688">
        <v>0</v>
      </c>
      <c r="I104" s="688">
        <v>0</v>
      </c>
      <c r="J104" s="688">
        <v>0</v>
      </c>
      <c r="K104" s="688">
        <v>0</v>
      </c>
      <c r="M104" s="770" t="s">
        <v>95</v>
      </c>
      <c r="N104" s="292">
        <f>VLOOKUP(M104,payscales!$Q$5:$V$41,4,0)</f>
        <v>43.28</v>
      </c>
      <c r="R104" s="159"/>
    </row>
    <row r="105" spans="2:18" ht="29">
      <c r="B105" s="160"/>
      <c r="C105" s="415" t="s">
        <v>97</v>
      </c>
      <c r="D105" s="165" t="s">
        <v>98</v>
      </c>
      <c r="E105" s="165" t="s">
        <v>1048</v>
      </c>
      <c r="F105" s="688"/>
      <c r="G105" s="688"/>
      <c r="H105" s="688"/>
      <c r="I105" s="688"/>
      <c r="J105" s="688"/>
      <c r="K105" s="688"/>
      <c r="M105" s="209"/>
      <c r="N105" s="209"/>
      <c r="R105" s="159"/>
    </row>
    <row r="106" spans="2:18" ht="43.5">
      <c r="B106" s="160"/>
      <c r="C106" s="415" t="s">
        <v>97</v>
      </c>
      <c r="D106" s="165" t="s">
        <v>98</v>
      </c>
      <c r="E106" s="165" t="s">
        <v>932</v>
      </c>
      <c r="F106" s="688"/>
      <c r="G106" s="688"/>
      <c r="H106" s="688"/>
      <c r="I106" s="688"/>
      <c r="J106" s="688"/>
      <c r="K106" s="688"/>
      <c r="M106" s="769" t="s">
        <v>96</v>
      </c>
      <c r="N106" s="727">
        <f>VLOOKUP(M106,payscales!$Q$5:$V$41,4,0)</f>
        <v>103.07</v>
      </c>
      <c r="R106" s="159"/>
    </row>
    <row r="107" spans="2:18" ht="29">
      <c r="B107" s="160"/>
      <c r="C107" s="417" t="s">
        <v>99</v>
      </c>
      <c r="D107" s="165" t="s">
        <v>1031</v>
      </c>
      <c r="E107" s="165" t="s">
        <v>1048</v>
      </c>
      <c r="F107" s="691">
        <v>7.5</v>
      </c>
      <c r="G107" s="691">
        <v>7.5</v>
      </c>
      <c r="H107" s="691">
        <v>7.5</v>
      </c>
      <c r="I107" s="691">
        <v>7.5</v>
      </c>
      <c r="J107" s="691">
        <v>7.5</v>
      </c>
      <c r="K107" s="691">
        <v>7.5</v>
      </c>
      <c r="M107" s="209"/>
      <c r="N107" s="209"/>
      <c r="R107" s="159"/>
    </row>
    <row r="108" spans="2:18" ht="29">
      <c r="B108" s="160"/>
      <c r="C108" s="417" t="s">
        <v>99</v>
      </c>
      <c r="D108" s="165" t="s">
        <v>1031</v>
      </c>
      <c r="E108" s="165" t="s">
        <v>931</v>
      </c>
      <c r="F108" s="688"/>
      <c r="G108" s="688"/>
      <c r="H108" s="688"/>
      <c r="I108" s="688"/>
      <c r="J108" s="688"/>
      <c r="K108" s="688"/>
      <c r="M108" s="769" t="s">
        <v>86</v>
      </c>
      <c r="N108" s="727">
        <f>VLOOKUP(M108,payscales!$Q$5:$V$41,4,0)</f>
        <v>38.99</v>
      </c>
      <c r="R108" s="159"/>
    </row>
    <row r="109" spans="2:18">
      <c r="B109" s="160"/>
      <c r="C109" s="417" t="s">
        <v>99</v>
      </c>
      <c r="D109" s="165" t="s">
        <v>1091</v>
      </c>
      <c r="E109" s="165" t="s">
        <v>1048</v>
      </c>
      <c r="F109" s="688">
        <v>2</v>
      </c>
      <c r="G109" s="688">
        <v>2</v>
      </c>
      <c r="H109" s="688">
        <v>2</v>
      </c>
      <c r="I109" s="688">
        <v>2</v>
      </c>
      <c r="J109" s="688">
        <v>2</v>
      </c>
      <c r="K109" s="688">
        <v>2</v>
      </c>
      <c r="M109" s="209"/>
      <c r="N109" s="209"/>
      <c r="R109" s="159"/>
    </row>
    <row r="110" spans="2:18" ht="29">
      <c r="B110" s="160"/>
      <c r="C110" s="417" t="s">
        <v>99</v>
      </c>
      <c r="D110" s="165" t="s">
        <v>1091</v>
      </c>
      <c r="E110" s="165" t="s">
        <v>931</v>
      </c>
      <c r="F110" s="688"/>
      <c r="G110" s="688"/>
      <c r="H110" s="688"/>
      <c r="I110" s="688"/>
      <c r="J110" s="688"/>
      <c r="K110" s="688"/>
      <c r="M110" s="769" t="s">
        <v>86</v>
      </c>
      <c r="N110" s="727">
        <f>VLOOKUP(M110,payscales!$Q$5:$V$41,4,0)</f>
        <v>38.99</v>
      </c>
      <c r="R110" s="159"/>
    </row>
    <row r="111" spans="2:18" ht="29">
      <c r="B111" s="160"/>
      <c r="C111" s="417" t="s">
        <v>99</v>
      </c>
      <c r="D111" s="165" t="s">
        <v>1088</v>
      </c>
      <c r="E111" s="165" t="s">
        <v>1048</v>
      </c>
      <c r="F111" s="691">
        <v>7.5</v>
      </c>
      <c r="G111" s="691">
        <v>7.5</v>
      </c>
      <c r="H111" s="691">
        <v>7.5</v>
      </c>
      <c r="I111" s="691">
        <v>7.5</v>
      </c>
      <c r="J111" s="691">
        <v>7.5</v>
      </c>
      <c r="K111" s="691">
        <v>7.5</v>
      </c>
      <c r="M111" s="209"/>
      <c r="N111" s="209"/>
      <c r="R111" s="159"/>
    </row>
    <row r="112" spans="2:18" ht="29">
      <c r="B112" s="160"/>
      <c r="C112" s="417" t="s">
        <v>99</v>
      </c>
      <c r="D112" s="165" t="s">
        <v>1088</v>
      </c>
      <c r="E112" s="165" t="s">
        <v>931</v>
      </c>
      <c r="F112" s="691"/>
      <c r="G112" s="691"/>
      <c r="H112" s="691"/>
      <c r="I112" s="691"/>
      <c r="J112" s="691"/>
      <c r="K112" s="691"/>
      <c r="M112" s="769" t="s">
        <v>86</v>
      </c>
      <c r="N112" s="727">
        <f>VLOOKUP(M112,payscales!$Q$5:$V$41,4,0)</f>
        <v>38.99</v>
      </c>
      <c r="R112" s="159"/>
    </row>
    <row r="113" spans="2:18" ht="29">
      <c r="B113" s="160"/>
      <c r="C113" s="417" t="s">
        <v>99</v>
      </c>
      <c r="D113" s="165" t="s">
        <v>1089</v>
      </c>
      <c r="E113" s="165" t="s">
        <v>1048</v>
      </c>
      <c r="F113" s="691">
        <v>7.5</v>
      </c>
      <c r="G113" s="691">
        <v>7.5</v>
      </c>
      <c r="H113" s="691">
        <v>7.5</v>
      </c>
      <c r="I113" s="691">
        <v>7.5</v>
      </c>
      <c r="J113" s="691">
        <v>7.5</v>
      </c>
      <c r="K113" s="691">
        <v>7.5</v>
      </c>
      <c r="M113" s="209"/>
      <c r="N113" s="209"/>
      <c r="R113" s="159"/>
    </row>
    <row r="114" spans="2:18" ht="29">
      <c r="B114" s="160"/>
      <c r="C114" s="417" t="s">
        <v>99</v>
      </c>
      <c r="D114" s="165" t="s">
        <v>1089</v>
      </c>
      <c r="E114" s="165" t="s">
        <v>931</v>
      </c>
      <c r="F114" s="691"/>
      <c r="G114" s="691"/>
      <c r="H114" s="691"/>
      <c r="I114" s="691"/>
      <c r="J114" s="691"/>
      <c r="K114" s="691"/>
      <c r="M114" s="769" t="s">
        <v>86</v>
      </c>
      <c r="N114" s="727">
        <f>VLOOKUP(M114,payscales!$Q$5:$V$41,4,0)</f>
        <v>38.99</v>
      </c>
      <c r="R114" s="159"/>
    </row>
    <row r="115" spans="2:18">
      <c r="B115" s="160"/>
      <c r="C115" s="417" t="s">
        <v>99</v>
      </c>
      <c r="D115" s="165" t="s">
        <v>1090</v>
      </c>
      <c r="E115" s="165" t="s">
        <v>1048</v>
      </c>
      <c r="F115" s="691">
        <v>7.5</v>
      </c>
      <c r="G115" s="691">
        <v>7.5</v>
      </c>
      <c r="H115" s="691">
        <v>7.5</v>
      </c>
      <c r="I115" s="691">
        <v>7.5</v>
      </c>
      <c r="J115" s="691">
        <v>7.5</v>
      </c>
      <c r="K115" s="691">
        <v>7.5</v>
      </c>
      <c r="M115" s="209"/>
      <c r="N115" s="209"/>
      <c r="R115" s="159"/>
    </row>
    <row r="116" spans="2:18" ht="29">
      <c r="B116" s="160"/>
      <c r="C116" s="417" t="s">
        <v>99</v>
      </c>
      <c r="D116" s="165" t="s">
        <v>1090</v>
      </c>
      <c r="E116" s="165" t="s">
        <v>931</v>
      </c>
      <c r="F116" s="688"/>
      <c r="G116" s="688"/>
      <c r="H116" s="688"/>
      <c r="I116" s="688"/>
      <c r="J116" s="688"/>
      <c r="K116" s="688"/>
      <c r="M116" s="769" t="s">
        <v>100</v>
      </c>
      <c r="N116" s="727">
        <f>VLOOKUP(M116,payscales!$Q$5:$V$41,4,0)</f>
        <v>31.51</v>
      </c>
      <c r="R116" s="159"/>
    </row>
    <row r="117" spans="2:18" ht="29">
      <c r="B117" s="160"/>
      <c r="C117" s="365" t="s">
        <v>101</v>
      </c>
      <c r="D117" s="365" t="s">
        <v>102</v>
      </c>
      <c r="E117" s="165" t="s">
        <v>1048</v>
      </c>
      <c r="F117" s="740" t="s">
        <v>1032</v>
      </c>
      <c r="G117" s="740" t="s">
        <v>1032</v>
      </c>
      <c r="H117" s="740" t="s">
        <v>1032</v>
      </c>
      <c r="I117" s="740" t="s">
        <v>1032</v>
      </c>
      <c r="J117" s="740" t="s">
        <v>1032</v>
      </c>
      <c r="K117" s="740" t="s">
        <v>1032</v>
      </c>
      <c r="M117" s="212"/>
      <c r="N117" s="209"/>
      <c r="R117" s="159"/>
    </row>
    <row r="118" spans="2:18">
      <c r="B118" s="160"/>
      <c r="C118" s="356"/>
      <c r="D118" s="215"/>
      <c r="E118" s="215"/>
      <c r="F118" s="215"/>
      <c r="R118" s="159"/>
    </row>
    <row r="119" spans="2:18">
      <c r="B119" s="160"/>
      <c r="C119" s="199" t="s">
        <v>103</v>
      </c>
      <c r="D119" s="152"/>
      <c r="R119" s="159"/>
    </row>
    <row r="120" spans="2:18">
      <c r="B120" s="160"/>
      <c r="C120" t="s">
        <v>1196</v>
      </c>
      <c r="D120" s="152"/>
      <c r="R120" s="159"/>
    </row>
    <row r="121" spans="2:18">
      <c r="B121" s="160"/>
      <c r="C121" t="s">
        <v>1033</v>
      </c>
      <c r="D121" s="152"/>
      <c r="R121" s="159"/>
    </row>
    <row r="122" spans="2:18">
      <c r="B122" s="160"/>
      <c r="C122" t="s">
        <v>1044</v>
      </c>
      <c r="D122" s="152"/>
      <c r="R122" s="159"/>
    </row>
    <row r="123" spans="2:18">
      <c r="B123" s="160"/>
      <c r="C123" s="215" t="s">
        <v>104</v>
      </c>
      <c r="D123" s="152"/>
      <c r="R123" s="159"/>
    </row>
    <row r="124" spans="2:18">
      <c r="B124" s="161"/>
      <c r="C124" s="162"/>
      <c r="D124" s="164"/>
      <c r="E124" s="164"/>
      <c r="F124" s="164"/>
      <c r="G124" s="164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3"/>
    </row>
    <row r="125" spans="2:18">
      <c r="D125" s="152"/>
      <c r="E125" s="152"/>
      <c r="F125" s="152"/>
      <c r="G125" s="152"/>
    </row>
    <row r="126" spans="2:18">
      <c r="B126" s="408" t="s">
        <v>105</v>
      </c>
      <c r="C126" s="407"/>
      <c r="D126" s="407"/>
      <c r="E126" s="407"/>
      <c r="F126" s="407"/>
      <c r="G126" s="407"/>
      <c r="H126" s="407"/>
      <c r="I126" s="407"/>
      <c r="J126" s="407"/>
      <c r="K126" s="407"/>
      <c r="L126" s="407"/>
      <c r="M126" s="407"/>
      <c r="N126" s="407"/>
      <c r="O126" s="407"/>
      <c r="P126" s="407"/>
      <c r="Q126" s="230"/>
    </row>
    <row r="127" spans="2:18">
      <c r="B127" s="234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35"/>
    </row>
    <row r="128" spans="2:18">
      <c r="B128" s="234"/>
      <c r="C128" s="692" t="s">
        <v>1034</v>
      </c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35"/>
    </row>
    <row r="129" spans="2:17">
      <c r="B129" s="234"/>
      <c r="C129" s="693" t="s">
        <v>1035</v>
      </c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35"/>
    </row>
    <row r="130" spans="2:17">
      <c r="B130" s="234"/>
      <c r="C130" s="694" t="s">
        <v>1036</v>
      </c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35"/>
    </row>
    <row r="131" spans="2:17">
      <c r="B131" s="234"/>
      <c r="C131" s="692" t="s">
        <v>1037</v>
      </c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35"/>
    </row>
    <row r="132" spans="2:17">
      <c r="B132" s="234"/>
      <c r="C132" s="694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35"/>
    </row>
    <row r="133" spans="2:17">
      <c r="B133" s="234"/>
      <c r="C133" s="695" t="s">
        <v>1038</v>
      </c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35"/>
    </row>
    <row r="134" spans="2:17">
      <c r="B134" s="234"/>
      <c r="C134" s="694" t="s">
        <v>1039</v>
      </c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35"/>
    </row>
    <row r="135" spans="2:17">
      <c r="B135" s="234"/>
      <c r="C135" s="696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35"/>
    </row>
    <row r="136" spans="2:17">
      <c r="B136" s="234"/>
      <c r="C136" s="697" t="s">
        <v>1040</v>
      </c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35"/>
    </row>
    <row r="137" spans="2:17">
      <c r="B137" s="234"/>
      <c r="C137" s="698" t="s">
        <v>1041</v>
      </c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35"/>
    </row>
    <row r="138" spans="2:17">
      <c r="B138" s="234"/>
      <c r="C138" s="699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35"/>
    </row>
    <row r="139" spans="2:17">
      <c r="B139" s="234"/>
      <c r="C139" s="700" t="s">
        <v>1042</v>
      </c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35"/>
    </row>
    <row r="140" spans="2:17">
      <c r="B140" s="234"/>
      <c r="C140" s="694" t="s">
        <v>1043</v>
      </c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35"/>
    </row>
    <row r="141" spans="2:17">
      <c r="B141" s="232"/>
      <c r="C141" s="236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3"/>
    </row>
  </sheetData>
  <sheetProtection algorithmName="SHA-512" hashValue="JnF6oa0jqGt9In+fzHBsHuho2ct5Y5teF9MiZIWix5xPtXXPMryIWXdmZ9VA8MDxW0+gWldUxagv9f9kbFgTJQ==" saltValue="64MWhWrKcu0zpr+pvJa0Hg==" spinCount="100000" sheet="1" objects="1" scenarios="1"/>
  <mergeCells count="13">
    <mergeCell ref="C83:D83"/>
    <mergeCell ref="C78:D78"/>
    <mergeCell ref="C79:D79"/>
    <mergeCell ref="C80:D80"/>
    <mergeCell ref="C81:D81"/>
    <mergeCell ref="C82:D82"/>
    <mergeCell ref="C74:D74"/>
    <mergeCell ref="C71:D71"/>
    <mergeCell ref="C69:D69"/>
    <mergeCell ref="C70:D70"/>
    <mergeCell ref="H27:R27"/>
    <mergeCell ref="C72:D72"/>
    <mergeCell ref="C73:D73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30" r:id="rId1" xr:uid="{455197D5-395B-4BDD-AFA8-25C314F576FE}"/>
    <hyperlink ref="C134" r:id="rId2" xr:uid="{5DCF28A9-555A-44A1-9926-6523406C38A2}"/>
    <hyperlink ref="C140" r:id="rId3" xr:uid="{0C0CBFCC-EF4E-460D-B888-C36EA491BCCB}"/>
    <hyperlink ref="C137" r:id="rId4" xr:uid="{16BE7812-6BBC-4C39-95D5-E6FD261A4EA8}"/>
    <hyperlink ref="H27:R27" r:id="rId5" display="Cancer Registrations Statistics, England 2021- NHS Digital, ICD C61" xr:uid="{048CF2F8-1122-4C1D-9071-D6A8F8F42392}"/>
    <hyperlink ref="H28" r:id="rId6" display="https://www.npca.org.uk/reports/npca-state-of-the-nation-report/" xr:uid="{958C7C00-8395-4A16-9F65-D90ED6785F04}"/>
    <hyperlink ref="H29" r:id="rId7" display="https://www.npca.org.uk/reports/npca-state-of-the-nation-report/" xr:uid="{3D3A9538-6982-45F9-A559-70678BE9A051}"/>
    <hyperlink ref="K53" r:id="rId8" xr:uid="{427D6DD2-55BE-440A-8902-B6B17E7A76CA}"/>
    <hyperlink ref="K54:K61" r:id="rId9" display="BNF" xr:uid="{F22EC329-E0E2-479A-AE54-0DBEF479BB74}"/>
  </hyperlinks>
  <pageMargins left="0.7" right="0.7" top="0.75" bottom="0.75" header="0.3" footer="0.3"/>
  <pageSetup paperSize="9" scale="49" orientation="landscape" verticalDpi="0" r:id="rId10"/>
  <legacyDrawing r:id="rId1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F35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CE677D1D-7939-422A-BA90-14DBD19EBA79}">
          <x14:formula1>
            <xm:f>payscales!$Q$5:$Q$41</xm:f>
          </x14:formula1>
          <xm:sqref>M94 M96:M99 M106 M116 M108:M114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647DA-C84E-4380-9318-A467DAF6E9E3}">
  <sheetPr>
    <tabColor theme="8" tint="0.59999389629810485"/>
    <pageSetUpPr fitToPage="1"/>
  </sheetPr>
  <dimension ref="A1:AI94"/>
  <sheetViews>
    <sheetView showGridLines="0" zoomScale="70" zoomScaleNormal="70" workbookViewId="0">
      <selection activeCell="K1" sqref="K1"/>
    </sheetView>
  </sheetViews>
  <sheetFormatPr defaultColWidth="9.1796875" defaultRowHeight="12.5"/>
  <cols>
    <col min="1" max="1" width="3.54296875" style="3" customWidth="1"/>
    <col min="2" max="2" width="64.453125" style="3" customWidth="1"/>
    <col min="3" max="3" width="18.1796875" style="3" customWidth="1"/>
    <col min="4" max="4" width="33" style="3" customWidth="1"/>
    <col min="5" max="5" width="12.54296875" style="3" customWidth="1"/>
    <col min="6" max="6" width="24.54296875" style="3" customWidth="1"/>
    <col min="7" max="7" width="11.81640625" style="3" customWidth="1"/>
    <col min="8" max="8" width="11.1796875" style="3" customWidth="1"/>
    <col min="9" max="9" width="12" style="3" customWidth="1"/>
    <col min="10" max="10" width="15.1796875" style="3" customWidth="1"/>
    <col min="11" max="11" width="11.81640625" style="3" customWidth="1"/>
    <col min="12" max="12" width="13.453125" style="3" customWidth="1"/>
    <col min="13" max="13" width="15.1796875" style="3" customWidth="1"/>
    <col min="14" max="14" width="13.26953125" style="3" customWidth="1"/>
    <col min="15" max="15" width="13" style="3" customWidth="1"/>
    <col min="16" max="16" width="15.1796875" style="3" bestFit="1" customWidth="1"/>
    <col min="17" max="25" width="15.1796875" style="3" customWidth="1"/>
    <col min="26" max="26" width="12.1796875" style="3" customWidth="1"/>
    <col min="27" max="27" width="14" style="3" customWidth="1"/>
    <col min="28" max="16384" width="9.1796875" style="3"/>
  </cols>
  <sheetData>
    <row r="1" spans="1:31" ht="30" customHeight="1">
      <c r="A1" s="193"/>
      <c r="B1" s="582" t="str">
        <f>'Inputs and eligible population'!B1</f>
        <v>Relugolix for treating hormone-sensitive prostate cancer</v>
      </c>
      <c r="C1" s="147"/>
      <c r="D1" s="131"/>
      <c r="E1" s="131"/>
      <c r="F1" s="131"/>
      <c r="G1" s="131" t="s">
        <v>106</v>
      </c>
      <c r="H1" s="131" t="s">
        <v>106</v>
      </c>
      <c r="I1" s="131" t="s">
        <v>106</v>
      </c>
      <c r="J1" s="131" t="s">
        <v>106</v>
      </c>
      <c r="K1" s="131" t="s">
        <v>106</v>
      </c>
      <c r="L1" s="131" t="s">
        <v>106</v>
      </c>
      <c r="M1" s="131" t="s">
        <v>106</v>
      </c>
      <c r="N1" s="15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</row>
    <row r="2" spans="1:31" ht="26.25" customHeight="1">
      <c r="A2" s="193"/>
      <c r="B2" s="145" t="s">
        <v>107</v>
      </c>
      <c r="C2" s="146" t="s">
        <v>106</v>
      </c>
      <c r="D2" s="131" t="s">
        <v>106</v>
      </c>
      <c r="E2" s="131" t="s">
        <v>106</v>
      </c>
      <c r="F2" s="131" t="s">
        <v>106</v>
      </c>
      <c r="G2" s="131" t="s">
        <v>106</v>
      </c>
      <c r="H2" s="131" t="s">
        <v>106</v>
      </c>
      <c r="I2" s="131" t="s">
        <v>106</v>
      </c>
      <c r="J2" s="131" t="s">
        <v>106</v>
      </c>
      <c r="K2" s="132" t="s">
        <v>106</v>
      </c>
      <c r="L2" s="132"/>
      <c r="M2" s="132"/>
      <c r="N2" s="132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4"/>
      <c r="AC2" s="4"/>
      <c r="AD2" s="4"/>
      <c r="AE2" s="4"/>
    </row>
    <row r="3" spans="1:31" ht="14.5" customHeight="1">
      <c r="A3" s="193"/>
      <c r="B3" s="129"/>
      <c r="C3" s="147"/>
      <c r="D3" s="131"/>
      <c r="E3" s="131"/>
      <c r="F3" s="131"/>
      <c r="G3" s="131" t="s">
        <v>106</v>
      </c>
      <c r="H3" s="131" t="s">
        <v>106</v>
      </c>
      <c r="I3" s="131" t="s">
        <v>106</v>
      </c>
      <c r="J3" s="131" t="s">
        <v>106</v>
      </c>
      <c r="K3" s="132" t="s">
        <v>106</v>
      </c>
      <c r="L3" s="132"/>
      <c r="M3" s="132"/>
      <c r="N3" s="132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4"/>
      <c r="AC3" s="4"/>
      <c r="AD3" s="4"/>
      <c r="AE3" s="4"/>
    </row>
    <row r="4" spans="1:31" ht="14.5" customHeight="1">
      <c r="A4" s="193"/>
      <c r="B4" t="s">
        <v>108</v>
      </c>
      <c r="C4" s="147"/>
      <c r="D4" s="131"/>
      <c r="E4" s="131"/>
      <c r="F4" s="131"/>
      <c r="G4" s="131" t="s">
        <v>106</v>
      </c>
      <c r="H4" s="131" t="s">
        <v>106</v>
      </c>
      <c r="I4" s="131" t="s">
        <v>106</v>
      </c>
      <c r="J4" s="131" t="s">
        <v>106</v>
      </c>
      <c r="K4" s="132" t="s">
        <v>106</v>
      </c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4"/>
      <c r="AC4" s="4"/>
      <c r="AD4" s="4"/>
      <c r="AE4" s="4"/>
    </row>
    <row r="5" spans="1:31" ht="14.5" customHeight="1">
      <c r="A5" s="193"/>
      <c r="B5" t="s">
        <v>35</v>
      </c>
      <c r="C5" s="147"/>
      <c r="D5" s="131"/>
      <c r="E5" s="131"/>
      <c r="F5" s="131"/>
      <c r="G5" s="131"/>
      <c r="H5" s="131" t="s">
        <v>106</v>
      </c>
      <c r="I5" s="131" t="s">
        <v>106</v>
      </c>
      <c r="J5" s="131" t="s">
        <v>106</v>
      </c>
      <c r="K5" s="132" t="s">
        <v>106</v>
      </c>
      <c r="L5" s="131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4"/>
      <c r="AC5" s="4"/>
      <c r="AD5" s="4"/>
      <c r="AE5" s="4"/>
    </row>
    <row r="6" spans="1:31" ht="14.5" customHeight="1" thickBot="1">
      <c r="A6" s="193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4"/>
      <c r="AC6" s="4"/>
      <c r="AD6" s="4"/>
    </row>
    <row r="7" spans="1:31" s="248" customFormat="1" ht="14.5">
      <c r="A7" s="250"/>
      <c r="B7" s="246" t="s">
        <v>109</v>
      </c>
      <c r="C7" s="250"/>
      <c r="D7" s="745" t="s">
        <v>1049</v>
      </c>
      <c r="E7" s="746"/>
      <c r="F7" s="747"/>
      <c r="G7" s="746"/>
      <c r="H7" s="746"/>
      <c r="I7" s="748" t="s">
        <v>1050</v>
      </c>
      <c r="J7" s="749"/>
      <c r="K7" s="749"/>
      <c r="L7" s="749"/>
      <c r="M7" s="749"/>
      <c r="N7" s="757"/>
      <c r="O7" s="75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4"/>
      <c r="AC7" s="4"/>
      <c r="AD7" s="4"/>
    </row>
    <row r="8" spans="1:31" s="248" customFormat="1" ht="61.5" customHeight="1">
      <c r="A8" s="250"/>
      <c r="B8" s="249" t="s">
        <v>110</v>
      </c>
      <c r="C8" s="251" t="s">
        <v>111</v>
      </c>
      <c r="D8" s="753" t="s">
        <v>118</v>
      </c>
      <c r="E8" s="252" t="s">
        <v>112</v>
      </c>
      <c r="F8" s="252" t="s">
        <v>114</v>
      </c>
      <c r="G8" s="645" t="s">
        <v>113</v>
      </c>
      <c r="H8" s="758" t="s">
        <v>115</v>
      </c>
      <c r="I8" s="753" t="s">
        <v>1051</v>
      </c>
      <c r="J8" s="761" t="s">
        <v>1052</v>
      </c>
      <c r="K8" s="252" t="s">
        <v>117</v>
      </c>
      <c r="L8" s="761" t="s">
        <v>1053</v>
      </c>
      <c r="M8" s="251" t="s">
        <v>116</v>
      </c>
      <c r="N8" s="249" t="s">
        <v>119</v>
      </c>
      <c r="O8" s="754" t="s">
        <v>120</v>
      </c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4"/>
      <c r="AC8" s="4"/>
      <c r="AD8" s="4"/>
      <c r="AE8" s="4"/>
    </row>
    <row r="9" spans="1:31" s="248" customFormat="1" ht="14.5">
      <c r="A9" s="250"/>
      <c r="B9" s="730" t="s">
        <v>1097</v>
      </c>
      <c r="C9" s="750" t="s">
        <v>1070</v>
      </c>
      <c r="D9" s="755" t="s">
        <v>1100</v>
      </c>
      <c r="E9" s="731" t="s">
        <v>1101</v>
      </c>
      <c r="F9" s="733">
        <v>120</v>
      </c>
      <c r="G9" s="732">
        <v>30</v>
      </c>
      <c r="H9" s="759">
        <f>F9*G9</f>
        <v>3600</v>
      </c>
      <c r="I9" s="760">
        <v>360</v>
      </c>
      <c r="J9" s="733">
        <v>1</v>
      </c>
      <c r="K9" s="730">
        <v>1</v>
      </c>
      <c r="L9" s="734">
        <f>I9*J9*K9</f>
        <v>360</v>
      </c>
      <c r="M9" s="735">
        <f>'Inputs and eligible population'!I52</f>
        <v>87.453184000000007</v>
      </c>
      <c r="N9" s="762">
        <f>SUM(N45)</f>
        <v>4.0000000000000008E-2</v>
      </c>
      <c r="O9" s="756">
        <f>L9/H9*M9*(1+N9)</f>
        <v>9.0951311360000009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4"/>
      <c r="AC9" s="4"/>
      <c r="AD9" s="4"/>
      <c r="AE9" s="4"/>
    </row>
    <row r="10" spans="1:31" s="248" customFormat="1" ht="14.5">
      <c r="A10" s="250"/>
      <c r="B10" s="730" t="s">
        <v>1099</v>
      </c>
      <c r="C10" s="750" t="s">
        <v>1070</v>
      </c>
      <c r="D10" s="755" t="s">
        <v>1100</v>
      </c>
      <c r="E10" s="731" t="s">
        <v>1101</v>
      </c>
      <c r="F10" s="733">
        <v>120</v>
      </c>
      <c r="G10" s="732">
        <v>30</v>
      </c>
      <c r="H10" s="759">
        <f>F10*G10</f>
        <v>3600</v>
      </c>
      <c r="I10" s="760">
        <v>120</v>
      </c>
      <c r="J10" s="733">
        <v>28</v>
      </c>
      <c r="K10" s="730">
        <v>13</v>
      </c>
      <c r="L10" s="734">
        <f>I10*J10*K10</f>
        <v>43680</v>
      </c>
      <c r="M10" s="735">
        <f>'Inputs and eligible population'!I52</f>
        <v>87.453184000000007</v>
      </c>
      <c r="N10" s="762">
        <f>N45</f>
        <v>4.0000000000000008E-2</v>
      </c>
      <c r="O10" s="756">
        <f>L10/H10*M10*(1+N10)</f>
        <v>1103.5425778346666</v>
      </c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4"/>
      <c r="AC10" s="4"/>
      <c r="AD10" s="4"/>
      <c r="AE10" s="4"/>
    </row>
    <row r="11" spans="1:31" s="248" customFormat="1" ht="15" thickBot="1">
      <c r="A11" s="250"/>
      <c r="B11" s="736" t="s">
        <v>1098</v>
      </c>
      <c r="C11" s="253" t="s">
        <v>121</v>
      </c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63">
        <f>SUM(O9:O10)</f>
        <v>1112.6377089706666</v>
      </c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4"/>
      <c r="AC11" s="4"/>
      <c r="AD11" s="4"/>
      <c r="AE11" s="4"/>
    </row>
    <row r="12" spans="1:31" s="248" customFormat="1" ht="15" thickBot="1">
      <c r="A12" s="250"/>
      <c r="B12" s="246"/>
      <c r="C12" s="250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4"/>
      <c r="O12" s="764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4"/>
      <c r="AC12" s="4"/>
      <c r="AD12" s="4"/>
      <c r="AE12" s="4"/>
    </row>
    <row r="13" spans="1:31" s="248" customFormat="1" ht="15" thickBot="1">
      <c r="A13" s="250"/>
      <c r="B13" s="730" t="s">
        <v>1102</v>
      </c>
      <c r="C13" s="730" t="s">
        <v>1070</v>
      </c>
      <c r="D13" s="755" t="s">
        <v>1100</v>
      </c>
      <c r="E13" s="731" t="s">
        <v>1101</v>
      </c>
      <c r="F13" s="733">
        <v>120</v>
      </c>
      <c r="G13" s="732">
        <v>30</v>
      </c>
      <c r="H13" s="759">
        <f>F13*G13</f>
        <v>3600</v>
      </c>
      <c r="I13" s="760">
        <v>120</v>
      </c>
      <c r="J13" s="733">
        <v>28</v>
      </c>
      <c r="K13" s="730">
        <v>13</v>
      </c>
      <c r="L13" s="734">
        <f>I13*J13*K13</f>
        <v>43680</v>
      </c>
      <c r="M13" s="735">
        <f>'Inputs and eligible population'!I52</f>
        <v>87.453184000000007</v>
      </c>
      <c r="N13" s="762">
        <f>N45</f>
        <v>4.0000000000000008E-2</v>
      </c>
      <c r="O13" s="756">
        <f>L13/H13*M13*(1+N13)</f>
        <v>1103.5425778346666</v>
      </c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4"/>
      <c r="AC13" s="4"/>
      <c r="AD13" s="4"/>
      <c r="AE13" s="4"/>
    </row>
    <row r="14" spans="1:31" s="248" customFormat="1" ht="15" thickBot="1">
      <c r="A14" s="250"/>
      <c r="B14" s="736" t="s">
        <v>1103</v>
      </c>
      <c r="C14" s="253" t="s">
        <v>121</v>
      </c>
      <c r="D14" s="757"/>
      <c r="E14" s="757"/>
      <c r="F14" s="757"/>
      <c r="G14" s="757"/>
      <c r="H14" s="757"/>
      <c r="I14" s="757"/>
      <c r="J14" s="757"/>
      <c r="K14" s="757"/>
      <c r="L14" s="757"/>
      <c r="M14" s="757"/>
      <c r="N14" s="776"/>
      <c r="O14" s="774">
        <f>SUM(O13:O13)</f>
        <v>1103.5425778346666</v>
      </c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4"/>
      <c r="AC14" s="4"/>
      <c r="AD14" s="4"/>
      <c r="AE14" s="4"/>
    </row>
    <row r="15" spans="1:31" s="248" customFormat="1" ht="15" thickBot="1">
      <c r="A15" s="250"/>
      <c r="B15" s="786"/>
      <c r="C15" s="786"/>
      <c r="D15" s="764"/>
      <c r="E15" s="764"/>
      <c r="F15" s="764"/>
      <c r="G15" s="764"/>
      <c r="H15" s="764"/>
      <c r="I15" s="764"/>
      <c r="J15" s="764"/>
      <c r="K15" s="764"/>
      <c r="L15" s="764"/>
      <c r="M15" s="764"/>
      <c r="N15" s="764"/>
      <c r="O15" s="775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4"/>
      <c r="AC15" s="4"/>
      <c r="AD15" s="4"/>
      <c r="AE15" s="4"/>
    </row>
    <row r="16" spans="1:31" s="248" customFormat="1" ht="43.5">
      <c r="A16" s="250"/>
      <c r="B16" s="249" t="s">
        <v>110</v>
      </c>
      <c r="C16" s="251" t="s">
        <v>111</v>
      </c>
      <c r="D16" s="753" t="s">
        <v>118</v>
      </c>
      <c r="E16" s="252" t="s">
        <v>112</v>
      </c>
      <c r="F16" s="252" t="s">
        <v>114</v>
      </c>
      <c r="G16" s="645" t="s">
        <v>113</v>
      </c>
      <c r="H16" s="758" t="s">
        <v>115</v>
      </c>
      <c r="I16" s="753" t="s">
        <v>1051</v>
      </c>
      <c r="J16" s="761" t="s">
        <v>1052</v>
      </c>
      <c r="K16" s="252" t="s">
        <v>117</v>
      </c>
      <c r="L16" s="761" t="s">
        <v>1053</v>
      </c>
      <c r="M16" s="251" t="s">
        <v>116</v>
      </c>
      <c r="N16" s="249" t="s">
        <v>119</v>
      </c>
      <c r="O16" s="754" t="s">
        <v>120</v>
      </c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4"/>
      <c r="AC16" s="4"/>
      <c r="AD16" s="4"/>
      <c r="AE16" s="4"/>
    </row>
    <row r="17" spans="1:31" s="248" customFormat="1" ht="14.5">
      <c r="A17" s="250"/>
      <c r="B17" s="730" t="s">
        <v>1168</v>
      </c>
      <c r="C17" s="750" t="s">
        <v>1072</v>
      </c>
      <c r="D17" s="755" t="s">
        <v>1010</v>
      </c>
      <c r="E17" s="731" t="s">
        <v>1011</v>
      </c>
      <c r="F17" s="733">
        <v>120</v>
      </c>
      <c r="G17" s="732">
        <v>2</v>
      </c>
      <c r="H17" s="759">
        <f>F17*G17</f>
        <v>240</v>
      </c>
      <c r="I17" s="760">
        <v>240</v>
      </c>
      <c r="J17" s="733">
        <v>1</v>
      </c>
      <c r="K17" s="730">
        <v>1</v>
      </c>
      <c r="L17" s="734">
        <f>I17*J17*K17</f>
        <v>240</v>
      </c>
      <c r="M17" s="735">
        <f>'Inputs and eligible population'!I53</f>
        <v>260</v>
      </c>
      <c r="N17" s="762">
        <f>N46</f>
        <v>4.0000000000000008E-2</v>
      </c>
      <c r="O17" s="756">
        <f>L17/H17*M17*(1+N17)</f>
        <v>270.40000000000003</v>
      </c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4"/>
      <c r="AC17" s="4"/>
      <c r="AD17" s="4"/>
      <c r="AE17" s="4"/>
    </row>
    <row r="18" spans="1:31" s="248" customFormat="1" ht="14.5">
      <c r="A18" s="250"/>
      <c r="B18" s="730" t="s">
        <v>1106</v>
      </c>
      <c r="C18" s="750" t="s">
        <v>1072</v>
      </c>
      <c r="D18" s="755" t="s">
        <v>1010</v>
      </c>
      <c r="E18" s="731" t="s">
        <v>1011</v>
      </c>
      <c r="F18" s="733">
        <v>80</v>
      </c>
      <c r="G18" s="732">
        <v>1</v>
      </c>
      <c r="H18" s="759">
        <f>F18*G18</f>
        <v>80</v>
      </c>
      <c r="I18" s="760">
        <v>80</v>
      </c>
      <c r="J18" s="733">
        <v>1</v>
      </c>
      <c r="K18" s="730">
        <v>13</v>
      </c>
      <c r="L18" s="734">
        <f>I18*J18*K18</f>
        <v>1040</v>
      </c>
      <c r="M18" s="735">
        <f>'Inputs and eligible population'!I54</f>
        <v>129.37</v>
      </c>
      <c r="N18" s="762">
        <f>N46</f>
        <v>4.0000000000000008E-2</v>
      </c>
      <c r="O18" s="756">
        <f>L18/H18*M18*(1+N18)</f>
        <v>1749.0824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4"/>
      <c r="AC18" s="4"/>
      <c r="AD18" s="4"/>
      <c r="AE18" s="4"/>
    </row>
    <row r="19" spans="1:31" s="248" customFormat="1" ht="15" thickBot="1">
      <c r="A19" s="250"/>
      <c r="B19" s="736" t="s">
        <v>1104</v>
      </c>
      <c r="C19" s="253" t="s">
        <v>121</v>
      </c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63">
        <f>SUM(O17:O18)</f>
        <v>2019.4824000000001</v>
      </c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4"/>
      <c r="AC19" s="4"/>
      <c r="AD19" s="4"/>
      <c r="AE19" s="4"/>
    </row>
    <row r="20" spans="1:31" s="248" customFormat="1" ht="15" thickBot="1">
      <c r="A20" s="250"/>
      <c r="B20" s="246"/>
      <c r="C20" s="250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4"/>
      <c r="O20" s="764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4"/>
      <c r="AC20" s="4"/>
      <c r="AD20" s="4"/>
      <c r="AE20" s="4"/>
    </row>
    <row r="21" spans="1:31" s="248" customFormat="1" ht="15" thickBot="1">
      <c r="A21" s="250"/>
      <c r="B21" s="730" t="s">
        <v>1107</v>
      </c>
      <c r="C21" s="730" t="s">
        <v>1072</v>
      </c>
      <c r="D21" s="755" t="s">
        <v>1010</v>
      </c>
      <c r="E21" s="731" t="s">
        <v>1011</v>
      </c>
      <c r="F21" s="733">
        <v>80</v>
      </c>
      <c r="G21" s="732">
        <v>1</v>
      </c>
      <c r="H21" s="759">
        <f>F21*G21</f>
        <v>80</v>
      </c>
      <c r="I21" s="760">
        <v>80</v>
      </c>
      <c r="J21" s="733">
        <v>1</v>
      </c>
      <c r="K21" s="730">
        <v>13</v>
      </c>
      <c r="L21" s="734">
        <f>I21*J21*K21</f>
        <v>1040</v>
      </c>
      <c r="M21" s="735">
        <f>'Inputs and eligible population'!I54</f>
        <v>129.37</v>
      </c>
      <c r="N21" s="762">
        <f>N46</f>
        <v>4.0000000000000008E-2</v>
      </c>
      <c r="O21" s="756">
        <f>L21/H21*M21*(1+N21)</f>
        <v>1749.0824</v>
      </c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4"/>
      <c r="AC21" s="4"/>
      <c r="AD21" s="4"/>
      <c r="AE21" s="4"/>
    </row>
    <row r="22" spans="1:31" s="248" customFormat="1" ht="15" thickBot="1">
      <c r="A22" s="250"/>
      <c r="B22" s="736" t="s">
        <v>1105</v>
      </c>
      <c r="C22" s="253" t="s">
        <v>121</v>
      </c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76"/>
      <c r="O22" s="813">
        <f>SUM(O21:O21)</f>
        <v>1749.0824</v>
      </c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4"/>
      <c r="AC22" s="4"/>
      <c r="AD22" s="4"/>
      <c r="AE22" s="4"/>
    </row>
    <row r="23" spans="1:31" s="248" customFormat="1" ht="15" thickBot="1">
      <c r="A23" s="250"/>
      <c r="B23" s="196"/>
      <c r="C23" s="5"/>
      <c r="D23" s="178"/>
      <c r="E23" s="112"/>
      <c r="F23" s="179"/>
      <c r="G23" s="180"/>
      <c r="H23" s="5"/>
      <c r="I23" s="5"/>
      <c r="J23" s="181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5"/>
      <c r="AA23" s="132"/>
      <c r="AB23" s="4"/>
      <c r="AC23" s="4"/>
      <c r="AD23" s="4"/>
      <c r="AE23" s="4"/>
    </row>
    <row r="24" spans="1:31" s="248" customFormat="1" ht="43.5">
      <c r="A24" s="250"/>
      <c r="B24" s="249" t="s">
        <v>110</v>
      </c>
      <c r="C24" s="251" t="s">
        <v>111</v>
      </c>
      <c r="D24" s="803" t="s">
        <v>118</v>
      </c>
      <c r="E24" s="804" t="s">
        <v>112</v>
      </c>
      <c r="F24" s="804" t="s">
        <v>114</v>
      </c>
      <c r="G24" s="805" t="s">
        <v>113</v>
      </c>
      <c r="H24" s="806" t="s">
        <v>115</v>
      </c>
      <c r="I24" s="803" t="s">
        <v>1051</v>
      </c>
      <c r="J24" s="807" t="s">
        <v>1109</v>
      </c>
      <c r="K24" s="804" t="s">
        <v>117</v>
      </c>
      <c r="L24" s="807" t="s">
        <v>1053</v>
      </c>
      <c r="M24" s="808" t="s">
        <v>1111</v>
      </c>
      <c r="N24" s="809" t="s">
        <v>116</v>
      </c>
      <c r="O24" s="810" t="s">
        <v>119</v>
      </c>
      <c r="P24" s="811" t="s">
        <v>120</v>
      </c>
      <c r="Q24" s="812"/>
      <c r="R24" s="180"/>
      <c r="S24" s="180"/>
      <c r="T24" s="180"/>
      <c r="U24" s="180"/>
      <c r="V24" s="180"/>
      <c r="W24" s="180"/>
      <c r="X24" s="180"/>
      <c r="Y24" s="180"/>
      <c r="Z24" s="5"/>
      <c r="AA24" s="132"/>
      <c r="AB24" s="4"/>
      <c r="AC24" s="4"/>
      <c r="AD24" s="4"/>
      <c r="AE24" s="4"/>
    </row>
    <row r="25" spans="1:31" s="248" customFormat="1" ht="14.5">
      <c r="A25" s="250"/>
      <c r="B25" s="730" t="s">
        <v>1108</v>
      </c>
      <c r="C25" s="750" t="s">
        <v>1073</v>
      </c>
      <c r="D25" s="755" t="s">
        <v>1010</v>
      </c>
      <c r="E25" s="731" t="s">
        <v>1011</v>
      </c>
      <c r="F25" s="733">
        <v>3.75</v>
      </c>
      <c r="G25" s="732">
        <v>1</v>
      </c>
      <c r="H25" s="759">
        <f>F25*G25</f>
        <v>3.75</v>
      </c>
      <c r="I25" s="760">
        <v>3.75</v>
      </c>
      <c r="J25" s="733">
        <v>1</v>
      </c>
      <c r="K25" s="730">
        <v>13</v>
      </c>
      <c r="L25" s="734">
        <f>I25*J25*K25</f>
        <v>48.75</v>
      </c>
      <c r="M25" s="787">
        <v>0.5</v>
      </c>
      <c r="N25" s="735">
        <f>'Inputs and eligible population'!I55</f>
        <v>75.239999999999995</v>
      </c>
      <c r="O25" s="762">
        <f>N47</f>
        <v>4.0000000000000008E-2</v>
      </c>
      <c r="P25" s="756">
        <f>L25/H25*N25*(1+O25)*M25</f>
        <v>508.62239999999997</v>
      </c>
      <c r="Q25" s="180"/>
      <c r="R25" s="180"/>
      <c r="S25" s="180"/>
      <c r="T25" s="180"/>
      <c r="U25" s="180"/>
      <c r="V25" s="180"/>
      <c r="W25" s="180"/>
      <c r="X25" s="180"/>
      <c r="Y25" s="180"/>
      <c r="Z25" s="5"/>
      <c r="AA25" s="132"/>
      <c r="AB25" s="4"/>
      <c r="AC25" s="4"/>
      <c r="AD25" s="4"/>
      <c r="AE25" s="4"/>
    </row>
    <row r="26" spans="1:31" s="248" customFormat="1" ht="14.5">
      <c r="A26" s="250"/>
      <c r="B26" s="730" t="s">
        <v>1110</v>
      </c>
      <c r="C26" s="750" t="s">
        <v>1073</v>
      </c>
      <c r="D26" s="755" t="s">
        <v>1010</v>
      </c>
      <c r="E26" s="731" t="s">
        <v>1011</v>
      </c>
      <c r="F26" s="733">
        <v>11.25</v>
      </c>
      <c r="G26" s="732">
        <v>1</v>
      </c>
      <c r="H26" s="759">
        <f>F26*G26</f>
        <v>11.25</v>
      </c>
      <c r="I26" s="760">
        <v>11.25</v>
      </c>
      <c r="J26" s="733">
        <v>1</v>
      </c>
      <c r="K26" s="734">
        <f>365/90</f>
        <v>4.0555555555555554</v>
      </c>
      <c r="L26" s="734">
        <f>I26*J26*K26</f>
        <v>45.625</v>
      </c>
      <c r="M26" s="787">
        <v>0.5</v>
      </c>
      <c r="N26" s="735">
        <f>'Inputs and eligible population'!I56</f>
        <v>225.72</v>
      </c>
      <c r="O26" s="762">
        <f>N47</f>
        <v>4.0000000000000008E-2</v>
      </c>
      <c r="P26" s="756">
        <f>L26/H26*N26*(1+O26)*M26</f>
        <v>476.01839999999999</v>
      </c>
      <c r="Q26" s="180"/>
      <c r="R26" s="180"/>
      <c r="S26" s="180"/>
      <c r="T26" s="180"/>
      <c r="U26" s="180"/>
      <c r="V26" s="180"/>
      <c r="W26" s="180"/>
      <c r="X26" s="180"/>
      <c r="Y26" s="180"/>
      <c r="Z26" s="5"/>
      <c r="AA26" s="132"/>
      <c r="AB26" s="4"/>
      <c r="AC26" s="4"/>
      <c r="AD26" s="4"/>
      <c r="AE26" s="4"/>
    </row>
    <row r="27" spans="1:31" s="248" customFormat="1" ht="15" thickBot="1">
      <c r="A27" s="250"/>
      <c r="B27" s="736" t="s">
        <v>1073</v>
      </c>
      <c r="C27" s="253" t="s">
        <v>121</v>
      </c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63">
        <f>SUM(P25:P26)</f>
        <v>984.6407999999999</v>
      </c>
      <c r="Q27" s="180"/>
      <c r="R27" s="180"/>
      <c r="S27" s="180"/>
      <c r="T27" s="180"/>
      <c r="U27" s="180"/>
      <c r="V27" s="180"/>
      <c r="W27" s="180"/>
      <c r="X27" s="180"/>
      <c r="Y27" s="180"/>
      <c r="Z27" s="5"/>
      <c r="AA27" s="132"/>
      <c r="AB27" s="4"/>
      <c r="AC27" s="4"/>
      <c r="AD27" s="4"/>
      <c r="AE27" s="4"/>
    </row>
    <row r="28" spans="1:31" s="248" customFormat="1" ht="15" thickBot="1">
      <c r="A28" s="25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5"/>
      <c r="AA28" s="132"/>
      <c r="AB28" s="4"/>
      <c r="AC28" s="4"/>
      <c r="AD28" s="4"/>
      <c r="AE28" s="4"/>
    </row>
    <row r="29" spans="1:31" s="248" customFormat="1" ht="43.5">
      <c r="A29" s="250"/>
      <c r="B29" s="249" t="s">
        <v>110</v>
      </c>
      <c r="C29" s="251" t="s">
        <v>111</v>
      </c>
      <c r="D29" s="803" t="s">
        <v>118</v>
      </c>
      <c r="E29" s="804" t="s">
        <v>112</v>
      </c>
      <c r="F29" s="804" t="s">
        <v>114</v>
      </c>
      <c r="G29" s="805" t="s">
        <v>113</v>
      </c>
      <c r="H29" s="806" t="s">
        <v>115</v>
      </c>
      <c r="I29" s="803" t="s">
        <v>1051</v>
      </c>
      <c r="J29" s="807" t="s">
        <v>1109</v>
      </c>
      <c r="K29" s="804" t="s">
        <v>117</v>
      </c>
      <c r="L29" s="807" t="s">
        <v>1053</v>
      </c>
      <c r="M29" s="807" t="s">
        <v>1111</v>
      </c>
      <c r="N29" s="808" t="s">
        <v>116</v>
      </c>
      <c r="O29" s="809" t="s">
        <v>119</v>
      </c>
      <c r="P29" s="810" t="s">
        <v>120</v>
      </c>
      <c r="Q29" s="180"/>
      <c r="R29" s="180"/>
      <c r="S29" s="180"/>
      <c r="T29" s="180"/>
      <c r="U29" s="180"/>
      <c r="V29" s="180"/>
      <c r="W29" s="180"/>
      <c r="X29" s="180"/>
      <c r="Y29" s="180"/>
      <c r="Z29" s="5"/>
      <c r="AA29" s="132"/>
      <c r="AB29" s="4"/>
      <c r="AC29" s="4"/>
      <c r="AD29" s="4"/>
      <c r="AE29" s="4"/>
    </row>
    <row r="30" spans="1:31" s="248" customFormat="1" ht="14.5">
      <c r="A30" s="250"/>
      <c r="B30" s="730" t="s">
        <v>1112</v>
      </c>
      <c r="C30" s="750" t="s">
        <v>1074</v>
      </c>
      <c r="D30" s="755" t="s">
        <v>1010</v>
      </c>
      <c r="E30" s="731" t="s">
        <v>1011</v>
      </c>
      <c r="F30" s="733">
        <v>3</v>
      </c>
      <c r="G30" s="732">
        <v>1</v>
      </c>
      <c r="H30" s="759">
        <f>F30*G30</f>
        <v>3</v>
      </c>
      <c r="I30" s="760">
        <v>3</v>
      </c>
      <c r="J30" s="733">
        <v>1</v>
      </c>
      <c r="K30" s="734">
        <v>13</v>
      </c>
      <c r="L30" s="734">
        <f>I30*J30*K30</f>
        <v>39</v>
      </c>
      <c r="M30" s="787">
        <v>0.33300000000000002</v>
      </c>
      <c r="N30" s="735">
        <f>'Inputs and eligible population'!I57</f>
        <v>69</v>
      </c>
      <c r="O30" s="762">
        <f>N48</f>
        <v>4.0000000000000008E-2</v>
      </c>
      <c r="P30" s="756">
        <f>L30/H30*N30*(1+O30)*M30</f>
        <v>310.64904000000001</v>
      </c>
      <c r="Q30" s="180"/>
      <c r="R30" s="180"/>
      <c r="S30" s="180"/>
      <c r="T30" s="180"/>
      <c r="U30" s="180"/>
      <c r="V30" s="180"/>
      <c r="W30" s="180"/>
      <c r="X30" s="180"/>
      <c r="Y30" s="180"/>
      <c r="Z30" s="5"/>
      <c r="AA30" s="132"/>
      <c r="AB30" s="4"/>
      <c r="AC30" s="4"/>
      <c r="AD30" s="4"/>
      <c r="AE30" s="4"/>
    </row>
    <row r="31" spans="1:31" s="248" customFormat="1" ht="14.5">
      <c r="A31" s="250"/>
      <c r="B31" s="730" t="s">
        <v>1110</v>
      </c>
      <c r="C31" s="750" t="s">
        <v>1074</v>
      </c>
      <c r="D31" s="755" t="s">
        <v>1010</v>
      </c>
      <c r="E31" s="731" t="s">
        <v>1011</v>
      </c>
      <c r="F31" s="733">
        <v>11.25</v>
      </c>
      <c r="G31" s="732">
        <v>1</v>
      </c>
      <c r="H31" s="759">
        <f>F31*G31</f>
        <v>11.25</v>
      </c>
      <c r="I31" s="760">
        <v>11.25</v>
      </c>
      <c r="J31" s="733">
        <v>1</v>
      </c>
      <c r="K31" s="734">
        <f>365/90</f>
        <v>4.0555555555555554</v>
      </c>
      <c r="L31" s="734">
        <f>I31*J31*K31</f>
        <v>45.625</v>
      </c>
      <c r="M31" s="787">
        <v>0.33300000000000002</v>
      </c>
      <c r="N31" s="735">
        <f>'Inputs and eligible population'!I58</f>
        <v>207</v>
      </c>
      <c r="O31" s="762">
        <f>N48</f>
        <v>4.0000000000000008E-2</v>
      </c>
      <c r="P31" s="756">
        <f>L31/H31*N31*(1+O31)*M31</f>
        <v>290.73564000000005</v>
      </c>
      <c r="Q31" s="180"/>
      <c r="R31" s="180"/>
      <c r="S31" s="180"/>
      <c r="T31" s="180"/>
      <c r="U31" s="180"/>
      <c r="V31" s="180"/>
      <c r="W31" s="180"/>
      <c r="X31" s="180"/>
      <c r="Y31" s="180"/>
      <c r="Z31" s="5"/>
      <c r="AA31" s="132"/>
      <c r="AB31" s="4"/>
      <c r="AC31" s="4"/>
      <c r="AD31" s="4"/>
      <c r="AE31" s="4"/>
    </row>
    <row r="32" spans="1:31" s="248" customFormat="1" ht="14.5">
      <c r="A32" s="250"/>
      <c r="B32" s="730" t="s">
        <v>1114</v>
      </c>
      <c r="C32" s="750" t="s">
        <v>1074</v>
      </c>
      <c r="D32" s="755" t="s">
        <v>1010</v>
      </c>
      <c r="E32" s="731" t="s">
        <v>1011</v>
      </c>
      <c r="F32" s="733">
        <v>22.5</v>
      </c>
      <c r="G32" s="732">
        <v>1</v>
      </c>
      <c r="H32" s="759">
        <f>F32*G32</f>
        <v>22.5</v>
      </c>
      <c r="I32" s="760">
        <v>22.5</v>
      </c>
      <c r="J32" s="733">
        <v>1</v>
      </c>
      <c r="K32" s="730">
        <v>2</v>
      </c>
      <c r="L32" s="734">
        <f>I32*J32*K32</f>
        <v>45</v>
      </c>
      <c r="M32" s="787">
        <v>0.33400000000000002</v>
      </c>
      <c r="N32" s="735">
        <f>'Inputs and eligible population'!I59</f>
        <v>414</v>
      </c>
      <c r="O32" s="762">
        <f>N48</f>
        <v>4.0000000000000008E-2</v>
      </c>
      <c r="P32" s="756">
        <f>L32/H32*N32*(1+O32)*M32</f>
        <v>287.61408</v>
      </c>
      <c r="Q32" s="180"/>
      <c r="R32" s="180"/>
      <c r="S32" s="180"/>
      <c r="T32" s="180"/>
      <c r="U32" s="180"/>
      <c r="V32" s="180"/>
      <c r="W32" s="180"/>
      <c r="X32" s="180"/>
      <c r="Y32" s="180"/>
      <c r="Z32" s="5"/>
      <c r="AA32" s="132"/>
      <c r="AB32" s="4"/>
      <c r="AC32" s="4"/>
      <c r="AD32" s="4"/>
      <c r="AE32" s="4"/>
    </row>
    <row r="33" spans="1:31" s="248" customFormat="1" ht="15" thickBot="1">
      <c r="A33" s="250"/>
      <c r="B33" s="736" t="s">
        <v>1074</v>
      </c>
      <c r="C33" s="253" t="s">
        <v>121</v>
      </c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63">
        <f>SUM(P30:P32)</f>
        <v>888.99876000000017</v>
      </c>
      <c r="Q33" s="180"/>
      <c r="R33" s="180"/>
      <c r="S33" s="180"/>
      <c r="T33" s="180"/>
      <c r="U33" s="180"/>
      <c r="V33" s="180"/>
      <c r="W33" s="180"/>
      <c r="X33" s="180"/>
      <c r="Y33" s="180"/>
      <c r="Z33" s="5"/>
      <c r="AA33" s="132"/>
      <c r="AB33" s="4"/>
      <c r="AC33" s="4"/>
      <c r="AD33" s="4"/>
      <c r="AE33" s="4"/>
    </row>
    <row r="34" spans="1:31" s="248" customFormat="1" ht="15" thickBot="1">
      <c r="A34" s="250"/>
      <c r="B34" s="196"/>
      <c r="C34" s="5"/>
      <c r="D34" s="178"/>
      <c r="E34" s="112"/>
      <c r="F34" s="179"/>
      <c r="G34" s="180"/>
      <c r="H34" s="5"/>
      <c r="I34" s="5"/>
      <c r="J34" s="181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5"/>
      <c r="AA34" s="132"/>
      <c r="AB34" s="4"/>
      <c r="AC34" s="4"/>
      <c r="AD34" s="4"/>
      <c r="AE34" s="4"/>
    </row>
    <row r="35" spans="1:31" s="248" customFormat="1" ht="43.5">
      <c r="A35" s="250"/>
      <c r="B35" s="249" t="s">
        <v>110</v>
      </c>
      <c r="C35" s="251" t="s">
        <v>111</v>
      </c>
      <c r="D35" s="803" t="s">
        <v>118</v>
      </c>
      <c r="E35" s="804" t="s">
        <v>112</v>
      </c>
      <c r="F35" s="804" t="s">
        <v>114</v>
      </c>
      <c r="G35" s="805" t="s">
        <v>113</v>
      </c>
      <c r="H35" s="806" t="s">
        <v>115</v>
      </c>
      <c r="I35" s="803" t="s">
        <v>1051</v>
      </c>
      <c r="J35" s="807" t="s">
        <v>1109</v>
      </c>
      <c r="K35" s="804" t="s">
        <v>117</v>
      </c>
      <c r="L35" s="807" t="s">
        <v>1053</v>
      </c>
      <c r="M35" s="807" t="s">
        <v>1111</v>
      </c>
      <c r="N35" s="808" t="s">
        <v>116</v>
      </c>
      <c r="O35" s="809" t="s">
        <v>119</v>
      </c>
      <c r="P35" s="810" t="s">
        <v>120</v>
      </c>
      <c r="Q35" s="180"/>
      <c r="R35" s="180"/>
      <c r="S35" s="180"/>
      <c r="T35" s="180"/>
      <c r="U35" s="180"/>
      <c r="V35" s="180"/>
      <c r="W35" s="180"/>
      <c r="X35" s="180"/>
      <c r="Y35" s="180"/>
      <c r="Z35" s="5"/>
      <c r="AA35" s="132"/>
      <c r="AB35" s="4"/>
      <c r="AC35" s="4"/>
      <c r="AD35" s="4"/>
      <c r="AE35" s="4"/>
    </row>
    <row r="36" spans="1:31" s="248" customFormat="1" ht="14.5">
      <c r="A36" s="250"/>
      <c r="B36" s="730" t="s">
        <v>1115</v>
      </c>
      <c r="C36" s="750" t="s">
        <v>1075</v>
      </c>
      <c r="D36" s="755" t="s">
        <v>1010</v>
      </c>
      <c r="E36" s="731" t="s">
        <v>1011</v>
      </c>
      <c r="F36" s="733">
        <v>3.6</v>
      </c>
      <c r="G36" s="732">
        <v>1</v>
      </c>
      <c r="H36" s="759">
        <f>F36*G36</f>
        <v>3.6</v>
      </c>
      <c r="I36" s="760">
        <v>3.6</v>
      </c>
      <c r="J36" s="733">
        <v>1</v>
      </c>
      <c r="K36" s="734">
        <v>12</v>
      </c>
      <c r="L36" s="734">
        <f>I36*J36*K36</f>
        <v>43.2</v>
      </c>
      <c r="M36" s="787">
        <v>0.5</v>
      </c>
      <c r="N36" s="735">
        <f>'Inputs and eligible population'!I60</f>
        <v>70</v>
      </c>
      <c r="O36" s="762">
        <f>N49</f>
        <v>4.0000000000000008E-2</v>
      </c>
      <c r="P36" s="756">
        <f>L36/H36*N36*(1+O36)*M36</f>
        <v>436.8</v>
      </c>
      <c r="Q36" s="180"/>
      <c r="R36" s="180"/>
      <c r="S36" s="180"/>
      <c r="T36" s="180"/>
      <c r="U36" s="180"/>
      <c r="V36" s="180"/>
      <c r="W36" s="180"/>
      <c r="X36" s="180"/>
      <c r="Y36" s="180"/>
      <c r="Z36" s="5"/>
      <c r="AA36" s="132"/>
      <c r="AB36" s="4"/>
      <c r="AC36" s="4"/>
      <c r="AD36" s="4"/>
      <c r="AE36" s="4"/>
    </row>
    <row r="37" spans="1:31" s="248" customFormat="1" ht="14.5">
      <c r="A37" s="250"/>
      <c r="B37" s="730" t="s">
        <v>1116</v>
      </c>
      <c r="C37" s="750" t="s">
        <v>1075</v>
      </c>
      <c r="D37" s="755" t="s">
        <v>1010</v>
      </c>
      <c r="E37" s="731" t="s">
        <v>1011</v>
      </c>
      <c r="F37" s="733">
        <v>10.8</v>
      </c>
      <c r="G37" s="732">
        <v>1</v>
      </c>
      <c r="H37" s="759">
        <f>F37*G37</f>
        <v>10.8</v>
      </c>
      <c r="I37" s="760">
        <v>10.8</v>
      </c>
      <c r="J37" s="733">
        <v>1</v>
      </c>
      <c r="K37" s="730">
        <v>4</v>
      </c>
      <c r="L37" s="734">
        <f>I37*J37*K37</f>
        <v>43.2</v>
      </c>
      <c r="M37" s="787">
        <v>0.5</v>
      </c>
      <c r="N37" s="735">
        <f>'Inputs and eligible population'!I61</f>
        <v>235</v>
      </c>
      <c r="O37" s="762">
        <f>N49</f>
        <v>4.0000000000000008E-2</v>
      </c>
      <c r="P37" s="756">
        <f>L37/H37*N37*(1+O37)*M37</f>
        <v>488.8</v>
      </c>
      <c r="Q37" s="180"/>
      <c r="R37" s="180"/>
      <c r="S37" s="180"/>
      <c r="T37" s="180"/>
      <c r="U37" s="180"/>
      <c r="V37" s="180"/>
      <c r="W37" s="180"/>
      <c r="X37" s="180"/>
      <c r="Y37" s="180"/>
      <c r="Z37" s="5"/>
      <c r="AA37" s="132"/>
      <c r="AB37" s="4"/>
      <c r="AC37" s="4"/>
      <c r="AD37" s="4"/>
      <c r="AE37" s="4"/>
    </row>
    <row r="38" spans="1:31" s="248" customFormat="1" ht="15" thickBot="1">
      <c r="A38" s="250"/>
      <c r="B38" s="736" t="s">
        <v>1075</v>
      </c>
      <c r="C38" s="253" t="s">
        <v>121</v>
      </c>
      <c r="D38" s="751"/>
      <c r="E38" s="751"/>
      <c r="F38" s="751"/>
      <c r="G38" s="751"/>
      <c r="H38" s="751"/>
      <c r="I38" s="751"/>
      <c r="J38" s="751"/>
      <c r="K38" s="751"/>
      <c r="L38" s="751"/>
      <c r="M38" s="751"/>
      <c r="N38" s="751"/>
      <c r="O38" s="751"/>
      <c r="P38" s="763">
        <f>SUM(P36:P37)</f>
        <v>925.6</v>
      </c>
      <c r="Q38" s="180"/>
      <c r="R38" s="180"/>
      <c r="S38" s="180"/>
      <c r="T38" s="180"/>
      <c r="U38" s="180"/>
      <c r="V38" s="180"/>
      <c r="W38" s="180"/>
      <c r="X38" s="180"/>
      <c r="Y38" s="180"/>
      <c r="Z38" s="5"/>
      <c r="AA38" s="132"/>
      <c r="AB38" s="4"/>
      <c r="AC38" s="4"/>
      <c r="AD38" s="4"/>
      <c r="AE38" s="4"/>
    </row>
    <row r="39" spans="1:31" s="248" customFormat="1" ht="14.5">
      <c r="A39" s="250"/>
      <c r="B39" s="196"/>
      <c r="C39" s="5"/>
      <c r="D39" s="178"/>
      <c r="E39" s="112"/>
      <c r="F39" s="179"/>
      <c r="G39" s="180"/>
      <c r="H39" s="5"/>
      <c r="I39" s="5"/>
      <c r="J39" s="181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5"/>
      <c r="AA39" s="132"/>
      <c r="AB39" s="4"/>
      <c r="AC39" s="4"/>
      <c r="AD39" s="4"/>
      <c r="AE39" s="4"/>
    </row>
    <row r="40" spans="1:31" s="248" customFormat="1" ht="14.5">
      <c r="A40" s="250"/>
      <c r="B40" s="357" t="s">
        <v>1012</v>
      </c>
      <c r="C40" s="5"/>
      <c r="D40" s="178"/>
      <c r="E40" s="112"/>
      <c r="F40" s="179"/>
      <c r="G40" s="180"/>
      <c r="H40" s="5"/>
      <c r="I40" s="5"/>
      <c r="J40" s="181"/>
      <c r="K40" s="180"/>
      <c r="L40" s="180"/>
      <c r="M40" s="180"/>
      <c r="N40" s="180"/>
      <c r="O40" s="180"/>
      <c r="P40" s="181"/>
      <c r="Q40" s="180"/>
      <c r="R40" s="180"/>
      <c r="S40" s="180"/>
      <c r="T40" s="180"/>
      <c r="U40" s="180"/>
      <c r="V40" s="180"/>
      <c r="W40" s="180"/>
      <c r="X40" s="180"/>
      <c r="Y40" s="180"/>
      <c r="Z40" s="5"/>
      <c r="AA40" s="132"/>
      <c r="AB40" s="4"/>
      <c r="AC40" s="4"/>
      <c r="AD40" s="4"/>
      <c r="AE40" s="4"/>
    </row>
    <row r="41" spans="1:31" s="248" customFormat="1" ht="14.5">
      <c r="A41" s="250"/>
      <c r="B41" s="195" t="s">
        <v>1179</v>
      </c>
      <c r="C41" s="5"/>
      <c r="D41" s="178"/>
      <c r="E41" s="112"/>
      <c r="F41" s="179"/>
      <c r="G41" s="180"/>
      <c r="H41" s="5"/>
      <c r="I41" s="5"/>
      <c r="J41" s="181"/>
      <c r="K41" s="180"/>
      <c r="L41" s="180"/>
      <c r="M41" s="180"/>
      <c r="N41" s="180"/>
      <c r="O41" s="180"/>
      <c r="P41" s="181"/>
      <c r="Q41" s="180"/>
      <c r="R41" s="180"/>
      <c r="S41" s="180"/>
      <c r="T41" s="180"/>
      <c r="U41" s="180"/>
      <c r="V41" s="180"/>
      <c r="W41" s="180"/>
      <c r="X41" s="180"/>
      <c r="Y41" s="180"/>
      <c r="Z41" s="5"/>
      <c r="AA41" s="132"/>
      <c r="AB41" s="4"/>
      <c r="AC41" s="4"/>
      <c r="AD41" s="4"/>
      <c r="AE41" s="4"/>
    </row>
    <row r="42" spans="1:31" s="248" customFormat="1" ht="14.5">
      <c r="A42" s="250"/>
      <c r="B42" s="195"/>
      <c r="C42" s="5"/>
      <c r="D42" s="178"/>
      <c r="E42" s="112"/>
      <c r="F42" s="179"/>
      <c r="G42" s="180"/>
      <c r="H42" s="5"/>
      <c r="I42" s="5"/>
      <c r="J42" s="181"/>
      <c r="K42" s="180"/>
      <c r="L42" s="180"/>
      <c r="M42" s="180"/>
      <c r="N42" s="180"/>
      <c r="O42" s="180"/>
      <c r="P42" s="181"/>
      <c r="Q42" s="180"/>
      <c r="R42" s="180"/>
      <c r="S42" s="180"/>
      <c r="T42" s="180"/>
      <c r="U42" s="180"/>
      <c r="V42" s="180"/>
      <c r="W42" s="180"/>
      <c r="X42" s="180"/>
      <c r="Y42" s="180"/>
      <c r="Z42" s="5"/>
      <c r="AA42" s="132"/>
      <c r="AB42" s="4"/>
      <c r="AC42" s="4"/>
      <c r="AD42" s="4"/>
      <c r="AE42" s="4"/>
    </row>
    <row r="43" spans="1:31" s="248" customFormat="1" ht="14.5">
      <c r="A43" s="5"/>
      <c r="B43" s="246" t="s">
        <v>122</v>
      </c>
      <c r="C43" s="250"/>
      <c r="D43" s="178"/>
      <c r="E43" s="112"/>
      <c r="F43" s="179"/>
      <c r="G43" s="180"/>
      <c r="H43" s="5"/>
      <c r="I43" s="5"/>
      <c r="J43" s="181"/>
      <c r="K43" s="180"/>
      <c r="L43" s="180"/>
      <c r="M43" s="180"/>
      <c r="N43" s="180"/>
      <c r="O43" s="180"/>
      <c r="P43" s="181"/>
      <c r="Q43" s="180"/>
      <c r="R43" s="180"/>
      <c r="S43" s="180"/>
      <c r="T43" s="180"/>
      <c r="U43" s="180"/>
      <c r="V43" s="180"/>
      <c r="W43" s="180"/>
      <c r="X43" s="180"/>
      <c r="Y43" s="180"/>
      <c r="Z43" s="482"/>
      <c r="AA43" s="646"/>
      <c r="AB43" s="4"/>
      <c r="AC43" s="4"/>
      <c r="AD43" s="4"/>
      <c r="AE43" s="4"/>
    </row>
    <row r="44" spans="1:31" s="248" customFormat="1" ht="90.75" customHeight="1">
      <c r="A44" s="5"/>
      <c r="B44" s="249" t="s">
        <v>123</v>
      </c>
      <c r="C44" s="251" t="s">
        <v>124</v>
      </c>
      <c r="D44" s="251" t="s">
        <v>59</v>
      </c>
      <c r="E44" s="254" t="s">
        <v>125</v>
      </c>
      <c r="F44" s="457"/>
      <c r="G44" s="458"/>
      <c r="H44" s="459"/>
      <c r="I44" s="458"/>
      <c r="J44" s="459"/>
      <c r="K44" s="458"/>
      <c r="L44" s="788" t="s">
        <v>1118</v>
      </c>
      <c r="M44" s="788" t="s">
        <v>1119</v>
      </c>
      <c r="N44" s="788" t="s">
        <v>1150</v>
      </c>
      <c r="O44" s="461" t="s">
        <v>126</v>
      </c>
      <c r="P44" s="181"/>
      <c r="Q44" s="180"/>
      <c r="R44" s="180"/>
      <c r="S44" s="180"/>
      <c r="T44" s="180"/>
      <c r="U44" s="180"/>
      <c r="V44" s="180"/>
      <c r="W44" s="180"/>
      <c r="X44" s="180"/>
      <c r="Y44" s="180"/>
      <c r="Z44" s="483"/>
      <c r="AA44" s="646"/>
      <c r="AB44" s="4"/>
      <c r="AC44" s="4"/>
      <c r="AD44" s="4"/>
      <c r="AE44" s="4"/>
    </row>
    <row r="45" spans="1:31" s="248" customFormat="1" ht="14.5">
      <c r="A45" s="5"/>
      <c r="B45" s="730" t="s">
        <v>1070</v>
      </c>
      <c r="C45" s="737" t="s">
        <v>1016</v>
      </c>
      <c r="D45" s="738">
        <v>1</v>
      </c>
      <c r="E45" s="648" t="s">
        <v>1117</v>
      </c>
      <c r="F45" s="650"/>
      <c r="G45" s="651"/>
      <c r="H45" s="652"/>
      <c r="I45" s="652"/>
      <c r="J45" s="652"/>
      <c r="K45" s="652"/>
      <c r="L45" s="789">
        <v>0.8</v>
      </c>
      <c r="M45" s="789">
        <v>0.2</v>
      </c>
      <c r="N45" s="789">
        <f>20%*M45</f>
        <v>4.0000000000000008E-2</v>
      </c>
      <c r="O45" s="654">
        <v>76</v>
      </c>
      <c r="P45" s="181"/>
      <c r="Q45" s="180"/>
      <c r="R45" s="180"/>
      <c r="S45" s="180"/>
      <c r="T45" s="180"/>
      <c r="U45" s="180"/>
      <c r="V45" s="180"/>
      <c r="W45" s="180"/>
      <c r="X45" s="180"/>
      <c r="Y45" s="180"/>
      <c r="Z45" s="484" t="s">
        <v>127</v>
      </c>
      <c r="AA45" s="646"/>
      <c r="AB45" s="4"/>
      <c r="AC45" s="4"/>
      <c r="AD45" s="4"/>
      <c r="AE45" s="4"/>
    </row>
    <row r="46" spans="1:31" s="248" customFormat="1" ht="14.5">
      <c r="A46" s="5"/>
      <c r="B46" s="730" t="s">
        <v>1072</v>
      </c>
      <c r="C46" s="737" t="s">
        <v>1016</v>
      </c>
      <c r="D46" s="738">
        <v>1</v>
      </c>
      <c r="E46" s="648" t="s">
        <v>1117</v>
      </c>
      <c r="F46" s="650"/>
      <c r="G46" s="651"/>
      <c r="H46" s="652"/>
      <c r="I46" s="652"/>
      <c r="J46" s="652"/>
      <c r="K46" s="652"/>
      <c r="L46" s="789">
        <v>0.8</v>
      </c>
      <c r="M46" s="789">
        <v>0.2</v>
      </c>
      <c r="N46" s="789">
        <f t="shared" ref="N46:N49" si="0">20%*M46</f>
        <v>4.0000000000000008E-2</v>
      </c>
      <c r="O46" s="654">
        <v>76</v>
      </c>
      <c r="P46" s="181"/>
      <c r="Q46" s="180"/>
      <c r="R46" s="180"/>
      <c r="S46" s="180"/>
      <c r="T46" s="180"/>
      <c r="U46" s="180"/>
      <c r="V46" s="180"/>
      <c r="W46" s="180"/>
      <c r="X46" s="180"/>
      <c r="Y46" s="180"/>
      <c r="Z46" s="484" t="s">
        <v>128</v>
      </c>
      <c r="AA46" s="646"/>
      <c r="AB46" s="4"/>
      <c r="AC46" s="4"/>
      <c r="AD46" s="4"/>
      <c r="AE46" s="4"/>
    </row>
    <row r="47" spans="1:31" s="4" customFormat="1" ht="14.5">
      <c r="A47" s="5"/>
      <c r="B47" s="730" t="s">
        <v>1073</v>
      </c>
      <c r="C47" s="737" t="s">
        <v>1016</v>
      </c>
      <c r="D47" s="738">
        <v>1</v>
      </c>
      <c r="E47" s="648" t="s">
        <v>1117</v>
      </c>
      <c r="F47" s="650"/>
      <c r="G47" s="651"/>
      <c r="H47" s="652"/>
      <c r="I47" s="652"/>
      <c r="J47" s="652"/>
      <c r="K47" s="652"/>
      <c r="L47" s="789">
        <v>0.8</v>
      </c>
      <c r="M47" s="789">
        <v>0.2</v>
      </c>
      <c r="N47" s="789">
        <f t="shared" si="0"/>
        <v>4.0000000000000008E-2</v>
      </c>
      <c r="O47" s="654">
        <v>76</v>
      </c>
      <c r="P47" s="181"/>
      <c r="Q47" s="180"/>
      <c r="R47" s="180"/>
      <c r="S47" s="180"/>
      <c r="T47" s="180"/>
      <c r="U47" s="180"/>
      <c r="V47" s="180"/>
      <c r="W47" s="180"/>
      <c r="X47" s="180"/>
      <c r="Y47" s="180"/>
      <c r="Z47" s="484" t="s">
        <v>129</v>
      </c>
      <c r="AA47" s="646"/>
    </row>
    <row r="48" spans="1:31" s="4" customFormat="1" ht="14.5">
      <c r="A48" s="5"/>
      <c r="B48" s="730" t="s">
        <v>1074</v>
      </c>
      <c r="C48" s="737" t="s">
        <v>1016</v>
      </c>
      <c r="D48" s="738">
        <v>1</v>
      </c>
      <c r="E48" s="648" t="s">
        <v>1117</v>
      </c>
      <c r="F48" s="650"/>
      <c r="G48" s="651"/>
      <c r="H48" s="652"/>
      <c r="I48" s="652"/>
      <c r="J48" s="652"/>
      <c r="K48" s="652"/>
      <c r="L48" s="789">
        <v>0.8</v>
      </c>
      <c r="M48" s="789">
        <v>0.2</v>
      </c>
      <c r="N48" s="789">
        <f t="shared" si="0"/>
        <v>4.0000000000000008E-2</v>
      </c>
      <c r="O48" s="654">
        <v>76</v>
      </c>
      <c r="P48" s="181"/>
      <c r="Q48" s="180"/>
      <c r="R48" s="180"/>
      <c r="S48" s="180"/>
      <c r="T48" s="180"/>
      <c r="U48" s="180"/>
      <c r="V48" s="180"/>
      <c r="W48" s="180"/>
      <c r="X48" s="180"/>
      <c r="Y48" s="180"/>
      <c r="Z48" s="484" t="s">
        <v>130</v>
      </c>
      <c r="AA48" s="646"/>
    </row>
    <row r="49" spans="1:31" s="4" customFormat="1" ht="14.5">
      <c r="A49" s="5"/>
      <c r="B49" s="730" t="s">
        <v>1075</v>
      </c>
      <c r="C49" s="737" t="s">
        <v>1016</v>
      </c>
      <c r="D49" s="738">
        <v>1</v>
      </c>
      <c r="E49" s="648" t="s">
        <v>1117</v>
      </c>
      <c r="F49" s="650"/>
      <c r="G49" s="651"/>
      <c r="H49" s="652"/>
      <c r="I49" s="652"/>
      <c r="J49" s="652"/>
      <c r="K49" s="652"/>
      <c r="L49" s="789">
        <v>0.8</v>
      </c>
      <c r="M49" s="789">
        <v>0.2</v>
      </c>
      <c r="N49" s="789">
        <f t="shared" si="0"/>
        <v>4.0000000000000008E-2</v>
      </c>
      <c r="O49" s="654">
        <v>76</v>
      </c>
      <c r="P49" s="181"/>
      <c r="Q49" s="180"/>
      <c r="R49" s="180"/>
      <c r="S49" s="180"/>
      <c r="T49" s="180"/>
      <c r="U49" s="180"/>
      <c r="V49" s="180"/>
      <c r="W49" s="180"/>
      <c r="X49" s="180"/>
      <c r="Y49" s="180"/>
      <c r="Z49" s="484" t="s">
        <v>132</v>
      </c>
      <c r="AA49" s="646"/>
    </row>
    <row r="50" spans="1:31" s="4" customFormat="1" ht="14.5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0"/>
      <c r="R50" s="180"/>
      <c r="S50" s="180"/>
      <c r="T50" s="180"/>
      <c r="U50" s="180"/>
      <c r="V50" s="180"/>
      <c r="W50" s="180"/>
      <c r="X50" s="180"/>
      <c r="Y50" s="180"/>
      <c r="Z50" s="484" t="s">
        <v>133</v>
      </c>
      <c r="AA50" s="646"/>
    </row>
    <row r="51" spans="1:31" s="4" customFormat="1" ht="14.5">
      <c r="A51" s="181"/>
      <c r="B51" s="195" t="s">
        <v>1197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0"/>
      <c r="R51" s="180"/>
      <c r="S51" s="180"/>
      <c r="T51" s="180"/>
      <c r="U51" s="180"/>
      <c r="V51" s="180"/>
      <c r="W51" s="180"/>
      <c r="X51" s="180"/>
      <c r="Y51" s="180"/>
      <c r="Z51" s="484" t="s">
        <v>134</v>
      </c>
      <c r="AA51" s="646"/>
    </row>
    <row r="52" spans="1:31" s="4" customFormat="1" ht="14.5">
      <c r="A52" s="181"/>
      <c r="B52" s="195" t="s">
        <v>935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0"/>
      <c r="R52" s="180"/>
      <c r="S52" s="180"/>
      <c r="T52" s="180"/>
      <c r="U52" s="180"/>
      <c r="V52" s="180"/>
      <c r="W52" s="180"/>
      <c r="X52" s="180"/>
      <c r="Y52" s="180"/>
      <c r="Z52" s="484" t="s">
        <v>135</v>
      </c>
      <c r="AA52" s="646"/>
    </row>
    <row r="53" spans="1:31" s="4" customFormat="1" ht="14.5">
      <c r="A53" s="181"/>
      <c r="B53" s="357" t="s">
        <v>1012</v>
      </c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0"/>
      <c r="R53" s="180"/>
      <c r="S53" s="180"/>
      <c r="T53" s="180"/>
      <c r="U53" s="180"/>
      <c r="V53" s="180"/>
      <c r="W53" s="180"/>
      <c r="X53" s="180"/>
      <c r="Y53" s="180"/>
      <c r="Z53" s="484" t="s">
        <v>137</v>
      </c>
      <c r="AA53" s="646"/>
    </row>
    <row r="54" spans="1:31" s="4" customFormat="1" ht="14.5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0"/>
      <c r="R54" s="180"/>
      <c r="S54" s="180"/>
      <c r="T54" s="180"/>
      <c r="U54" s="180"/>
      <c r="V54" s="180"/>
      <c r="W54" s="180"/>
      <c r="X54" s="180"/>
      <c r="Y54" s="180"/>
      <c r="Z54" s="484" t="s">
        <v>138</v>
      </c>
      <c r="AA54" s="646"/>
    </row>
    <row r="55" spans="1:31" s="4" customFormat="1" ht="14.5">
      <c r="A55" s="5"/>
      <c r="B55" s="460" t="s">
        <v>136</v>
      </c>
      <c r="C55" s="178"/>
      <c r="D55" s="178"/>
      <c r="E55" s="112"/>
      <c r="F55" s="179"/>
      <c r="G55" s="180"/>
      <c r="H55" s="5"/>
      <c r="I55" s="5"/>
      <c r="J55" s="181"/>
      <c r="K55" s="180"/>
      <c r="L55" s="180"/>
      <c r="M55" s="180"/>
      <c r="N55" s="180"/>
      <c r="O55" s="180"/>
      <c r="P55" s="181"/>
      <c r="Q55" s="180"/>
      <c r="R55" s="180"/>
      <c r="S55" s="180"/>
      <c r="T55" s="180"/>
      <c r="U55" s="180"/>
      <c r="V55" s="180"/>
      <c r="W55" s="180"/>
      <c r="X55" s="180"/>
      <c r="Y55" s="180"/>
      <c r="Z55" s="484" t="s">
        <v>139</v>
      </c>
      <c r="AA55" s="646"/>
    </row>
    <row r="56" spans="1:31" s="4" customFormat="1" ht="14.5">
      <c r="A56" s="5"/>
      <c r="B56" s="249" t="s">
        <v>123</v>
      </c>
      <c r="C56" s="251" t="s">
        <v>124</v>
      </c>
      <c r="D56" s="254" t="s">
        <v>125</v>
      </c>
      <c r="E56" s="456"/>
      <c r="F56" s="457"/>
      <c r="G56" s="458"/>
      <c r="H56" s="459"/>
      <c r="I56" s="458"/>
      <c r="J56" s="459"/>
      <c r="K56" s="458"/>
      <c r="L56" s="459"/>
      <c r="M56" s="458"/>
      <c r="N56" s="461" t="s">
        <v>126</v>
      </c>
      <c r="O56" s="180"/>
      <c r="P56" s="181"/>
      <c r="Q56" s="180"/>
      <c r="R56" s="180"/>
      <c r="S56" s="180"/>
      <c r="T56" s="180"/>
      <c r="U56" s="180"/>
      <c r="V56" s="180"/>
      <c r="W56" s="180"/>
      <c r="X56" s="180"/>
      <c r="Y56" s="180"/>
      <c r="Z56" s="483"/>
      <c r="AA56" s="646"/>
    </row>
    <row r="57" spans="1:31" s="248" customFormat="1" ht="14.5">
      <c r="A57" s="5"/>
      <c r="B57" s="200" t="s">
        <v>131</v>
      </c>
      <c r="C57" s="647" t="s">
        <v>1014</v>
      </c>
      <c r="D57" s="648" t="s">
        <v>1017</v>
      </c>
      <c r="E57" s="649"/>
      <c r="F57" s="650"/>
      <c r="G57" s="651"/>
      <c r="H57" s="652"/>
      <c r="I57" s="652"/>
      <c r="J57" s="652"/>
      <c r="K57" s="652"/>
      <c r="L57" s="651"/>
      <c r="M57" s="653"/>
      <c r="N57" s="654"/>
      <c r="O57" s="180"/>
      <c r="P57" s="181"/>
      <c r="Q57" s="180"/>
      <c r="R57" s="180"/>
      <c r="S57" s="180"/>
      <c r="T57" s="180"/>
      <c r="U57" s="180"/>
      <c r="V57" s="180"/>
      <c r="W57" s="180"/>
      <c r="X57" s="180"/>
      <c r="Y57" s="180"/>
      <c r="Z57" s="483"/>
      <c r="AA57" s="646"/>
      <c r="AB57" s="4"/>
      <c r="AC57" s="4"/>
      <c r="AD57" s="4"/>
      <c r="AE57" s="4"/>
    </row>
    <row r="58" spans="1:31" s="4" customFormat="1" ht="14.5">
      <c r="A58" s="5"/>
      <c r="B58" s="196" t="s">
        <v>935</v>
      </c>
      <c r="C58" s="5"/>
      <c r="D58" s="178"/>
      <c r="E58" s="112"/>
      <c r="F58" s="179"/>
      <c r="G58" s="180"/>
      <c r="H58" s="5"/>
      <c r="I58" s="5"/>
      <c r="J58" s="181"/>
      <c r="K58" s="180"/>
      <c r="L58" s="180"/>
      <c r="M58" s="180"/>
      <c r="N58" s="180"/>
      <c r="O58" s="180"/>
      <c r="P58" s="181"/>
      <c r="Q58" s="180"/>
      <c r="R58" s="180"/>
      <c r="S58" s="180"/>
      <c r="T58" s="180"/>
      <c r="U58" s="180"/>
      <c r="V58" s="180"/>
      <c r="W58" s="180"/>
      <c r="X58" s="180"/>
      <c r="Y58" s="180"/>
      <c r="Z58" s="483"/>
      <c r="AA58" s="646"/>
    </row>
    <row r="59" spans="1:31" s="4" customFormat="1" ht="14.5">
      <c r="A59" s="5"/>
      <c r="B59" s="357" t="s">
        <v>1012</v>
      </c>
      <c r="C59" s="5"/>
      <c r="D59" s="178"/>
      <c r="E59" s="112"/>
      <c r="F59" s="179"/>
      <c r="G59" s="180"/>
      <c r="H59" s="5"/>
      <c r="I59" s="5"/>
      <c r="J59" s="181"/>
      <c r="K59" s="180"/>
      <c r="L59" s="180"/>
      <c r="M59" s="180"/>
      <c r="N59" s="180"/>
      <c r="O59" s="180"/>
      <c r="P59" s="181"/>
      <c r="Q59" s="180"/>
      <c r="R59" s="180"/>
      <c r="S59" s="180"/>
      <c r="T59" s="180"/>
      <c r="U59" s="180"/>
      <c r="V59" s="180"/>
      <c r="W59" s="180"/>
      <c r="X59" s="180"/>
      <c r="Y59" s="180"/>
      <c r="Z59" s="484"/>
      <c r="AA59" s="646"/>
    </row>
    <row r="60" spans="1:31" s="4" customFormat="1" ht="14.5">
      <c r="A60" s="5"/>
      <c r="B60" s="357"/>
      <c r="C60" s="5"/>
      <c r="D60" s="178"/>
      <c r="E60" s="112"/>
      <c r="F60" s="179"/>
      <c r="G60" s="180"/>
      <c r="H60" s="5"/>
      <c r="I60" s="5"/>
      <c r="J60" s="181"/>
      <c r="K60" s="180"/>
      <c r="L60" s="180"/>
      <c r="M60" s="180"/>
      <c r="N60" s="180"/>
      <c r="O60" s="180"/>
      <c r="P60" s="181"/>
      <c r="Q60" s="180"/>
      <c r="R60" s="180"/>
      <c r="S60" s="180"/>
      <c r="T60" s="180"/>
      <c r="U60" s="180"/>
      <c r="V60" s="180"/>
      <c r="W60" s="180"/>
      <c r="X60" s="180"/>
      <c r="Y60" s="180"/>
      <c r="Z60" s="484"/>
      <c r="AA60" s="646"/>
    </row>
    <row r="61" spans="1:31" s="4" customFormat="1" ht="14.5">
      <c r="A61" s="5"/>
      <c r="B61" s="460" t="s">
        <v>1013</v>
      </c>
      <c r="C61" s="178"/>
      <c r="D61" s="178"/>
      <c r="E61" s="112"/>
      <c r="F61" s="179"/>
      <c r="G61" s="180"/>
      <c r="H61" s="5"/>
      <c r="I61" s="5"/>
      <c r="J61" s="181"/>
      <c r="K61" s="180"/>
      <c r="L61" s="180"/>
      <c r="M61" s="180"/>
      <c r="N61" s="180"/>
      <c r="O61" s="180"/>
      <c r="P61" s="181"/>
      <c r="Q61" s="180"/>
      <c r="R61" s="180"/>
      <c r="S61" s="180"/>
      <c r="T61" s="180"/>
      <c r="U61" s="180"/>
      <c r="V61" s="180"/>
      <c r="W61" s="180"/>
      <c r="X61" s="180"/>
      <c r="Y61" s="180"/>
      <c r="Z61" s="484" t="s">
        <v>1198</v>
      </c>
      <c r="AA61" s="646"/>
    </row>
    <row r="62" spans="1:31" s="4" customFormat="1" ht="14.5">
      <c r="A62" s="5"/>
      <c r="B62" s="249" t="s">
        <v>123</v>
      </c>
      <c r="C62" s="251" t="s">
        <v>124</v>
      </c>
      <c r="D62" s="254" t="s">
        <v>125</v>
      </c>
      <c r="E62" s="456"/>
      <c r="F62" s="457"/>
      <c r="G62" s="458"/>
      <c r="H62" s="459"/>
      <c r="I62" s="458"/>
      <c r="J62" s="459"/>
      <c r="K62" s="458"/>
      <c r="L62" s="459"/>
      <c r="M62" s="458"/>
      <c r="N62" s="461" t="s">
        <v>126</v>
      </c>
      <c r="O62" s="180"/>
      <c r="P62" s="181"/>
      <c r="Q62" s="180"/>
      <c r="R62" s="180"/>
      <c r="S62" s="180"/>
      <c r="T62" s="180"/>
      <c r="U62" s="180"/>
      <c r="V62" s="180"/>
      <c r="W62" s="180"/>
      <c r="X62" s="180"/>
      <c r="Y62" s="180"/>
      <c r="Z62" s="484" t="s">
        <v>140</v>
      </c>
      <c r="AA62" s="646"/>
    </row>
    <row r="63" spans="1:31" s="4" customFormat="1" ht="14.5">
      <c r="A63" s="5"/>
      <c r="B63" s="200" t="s">
        <v>131</v>
      </c>
      <c r="C63" s="647" t="s">
        <v>1014</v>
      </c>
      <c r="D63" s="648" t="s">
        <v>1092</v>
      </c>
      <c r="E63" s="649"/>
      <c r="F63" s="650"/>
      <c r="G63" s="651"/>
      <c r="H63" s="652"/>
      <c r="I63" s="652"/>
      <c r="J63" s="652"/>
      <c r="K63" s="652"/>
      <c r="L63" s="651"/>
      <c r="M63" s="653"/>
      <c r="N63" s="654">
        <v>304</v>
      </c>
      <c r="O63" s="180"/>
      <c r="P63" s="181"/>
      <c r="Q63" s="180"/>
      <c r="R63" s="180"/>
      <c r="S63" s="180"/>
      <c r="T63" s="180"/>
      <c r="U63" s="180"/>
      <c r="V63" s="180"/>
      <c r="W63" s="180"/>
      <c r="X63" s="180"/>
      <c r="Y63" s="180"/>
      <c r="Z63" s="484" t="s">
        <v>141</v>
      </c>
      <c r="AA63" s="646"/>
    </row>
    <row r="64" spans="1:31" s="4" customFormat="1" ht="14.5">
      <c r="A64" s="5"/>
      <c r="B64" s="194"/>
      <c r="C64" s="5"/>
      <c r="D64" s="178"/>
      <c r="E64" s="112"/>
      <c r="F64" s="179"/>
      <c r="G64" s="180"/>
      <c r="H64" s="5"/>
      <c r="I64" s="5"/>
      <c r="J64" s="181"/>
      <c r="K64" s="180"/>
      <c r="L64" s="180"/>
      <c r="M64" s="180"/>
      <c r="N64" s="180"/>
      <c r="O64" s="180"/>
      <c r="P64" s="181"/>
      <c r="Q64" s="180"/>
      <c r="R64" s="180"/>
      <c r="S64" s="180"/>
      <c r="T64" s="180"/>
      <c r="U64" s="180"/>
      <c r="V64" s="180"/>
      <c r="W64" s="180"/>
      <c r="X64" s="180"/>
      <c r="Y64" s="180"/>
      <c r="Z64" s="484" t="s">
        <v>142</v>
      </c>
      <c r="AA64" s="646"/>
    </row>
    <row r="65" spans="1:35" s="4" customFormat="1" ht="14.5">
      <c r="A65" s="5"/>
      <c r="B65" s="460" t="s">
        <v>1015</v>
      </c>
      <c r="C65" s="178"/>
      <c r="D65" s="178"/>
      <c r="E65" s="112"/>
      <c r="F65" s="179"/>
      <c r="G65" s="180"/>
      <c r="H65" s="5"/>
      <c r="I65" s="5"/>
      <c r="J65" s="181"/>
      <c r="K65" s="180"/>
      <c r="L65" s="180"/>
      <c r="M65" s="180"/>
      <c r="N65" s="180"/>
      <c r="O65" s="180"/>
      <c r="P65" s="181"/>
      <c r="Q65" s="180"/>
      <c r="R65" s="180"/>
      <c r="S65" s="180"/>
      <c r="T65" s="180"/>
      <c r="U65" s="180"/>
      <c r="V65" s="180"/>
      <c r="W65" s="180"/>
      <c r="X65" s="180"/>
      <c r="Y65" s="180"/>
      <c r="Z65" s="484" t="s">
        <v>143</v>
      </c>
      <c r="AA65" s="646"/>
    </row>
    <row r="66" spans="1:35" s="4" customFormat="1" ht="14.5">
      <c r="A66" s="5"/>
      <c r="B66" s="249" t="s">
        <v>123</v>
      </c>
      <c r="C66" s="251" t="s">
        <v>124</v>
      </c>
      <c r="D66" s="254" t="s">
        <v>125</v>
      </c>
      <c r="E66" s="456"/>
      <c r="F66" s="457"/>
      <c r="G66" s="458"/>
      <c r="H66" s="459"/>
      <c r="I66" s="458"/>
      <c r="J66" s="459"/>
      <c r="K66" s="458"/>
      <c r="L66" s="459"/>
      <c r="M66" s="458"/>
      <c r="N66" s="461" t="s">
        <v>126</v>
      </c>
      <c r="O66" s="180"/>
      <c r="P66" s="181"/>
      <c r="Q66" s="180"/>
      <c r="R66" s="180"/>
      <c r="S66" s="180"/>
      <c r="T66" s="180"/>
      <c r="U66" s="180"/>
      <c r="V66" s="180"/>
      <c r="W66" s="180"/>
      <c r="X66" s="180"/>
      <c r="Y66" s="180"/>
      <c r="Z66" s="484" t="s">
        <v>144</v>
      </c>
      <c r="AA66" s="646"/>
    </row>
    <row r="67" spans="1:35" s="4" customFormat="1" ht="14.5">
      <c r="A67" s="5"/>
      <c r="B67" s="200" t="s">
        <v>131</v>
      </c>
      <c r="C67" s="647" t="s">
        <v>1016</v>
      </c>
      <c r="D67" s="648" t="s">
        <v>1093</v>
      </c>
      <c r="E67" s="649"/>
      <c r="F67" s="650"/>
      <c r="G67" s="651"/>
      <c r="H67" s="652"/>
      <c r="I67" s="652"/>
      <c r="J67" s="652"/>
      <c r="K67" s="652"/>
      <c r="L67" s="651"/>
      <c r="M67" s="653"/>
      <c r="N67" s="654">
        <v>141</v>
      </c>
      <c r="O67" s="180"/>
      <c r="P67" s="181"/>
      <c r="Q67" s="180"/>
      <c r="R67" s="180"/>
      <c r="S67" s="180"/>
      <c r="T67" s="180"/>
      <c r="U67" s="180"/>
      <c r="V67" s="180"/>
      <c r="W67" s="180"/>
      <c r="X67" s="180"/>
      <c r="Y67" s="180"/>
      <c r="Z67" s="484" t="s">
        <v>130</v>
      </c>
      <c r="AA67" s="646"/>
    </row>
    <row r="68" spans="1:35" s="4" customFormat="1" ht="14.5">
      <c r="A68" s="5"/>
      <c r="B68" s="194"/>
      <c r="C68" s="5"/>
      <c r="D68" s="178"/>
      <c r="E68" s="112"/>
      <c r="F68" s="179"/>
      <c r="G68" s="180"/>
      <c r="H68" s="5"/>
      <c r="I68" s="5"/>
      <c r="J68" s="181"/>
      <c r="K68" s="180"/>
      <c r="L68" s="180"/>
      <c r="M68" s="180"/>
      <c r="N68" s="790"/>
      <c r="O68" s="790"/>
      <c r="P68" s="791"/>
      <c r="Q68" s="180"/>
      <c r="R68" s="180"/>
      <c r="S68" s="180"/>
      <c r="T68" s="180"/>
      <c r="U68" s="180"/>
      <c r="V68" s="180"/>
      <c r="W68" s="180"/>
      <c r="X68" s="180"/>
      <c r="Y68" s="180"/>
      <c r="Z68" s="484" t="s">
        <v>1199</v>
      </c>
      <c r="AA68" s="646"/>
    </row>
    <row r="69" spans="1:35" s="4" customFormat="1" ht="14.5">
      <c r="A69" s="5"/>
      <c r="B69" s="246" t="s">
        <v>1120</v>
      </c>
      <c r="C69" s="744"/>
      <c r="D69" s="744"/>
      <c r="E69" s="766"/>
      <c r="F69" s="112"/>
      <c r="G69" s="180"/>
      <c r="H69" s="5"/>
      <c r="I69" s="793"/>
      <c r="J69" s="464"/>
      <c r="K69" s="464"/>
      <c r="L69" s="464"/>
      <c r="M69" s="464" t="s">
        <v>1018</v>
      </c>
      <c r="Q69" s="792"/>
      <c r="R69" s="463"/>
      <c r="S69" s="465"/>
      <c r="T69" s="465"/>
      <c r="U69" s="465" t="s">
        <v>1019</v>
      </c>
      <c r="V69" s="465"/>
      <c r="W69" s="465"/>
      <c r="X69" s="465"/>
      <c r="Y69" s="180"/>
      <c r="Z69" s="484" t="s">
        <v>1200</v>
      </c>
      <c r="AA69" s="646"/>
    </row>
    <row r="70" spans="1:35" s="4" customFormat="1" ht="43.5">
      <c r="A70" s="5"/>
      <c r="B70" s="252" t="s">
        <v>147</v>
      </c>
      <c r="C70" s="414" t="s">
        <v>1080</v>
      </c>
      <c r="D70" s="414" t="s">
        <v>1081</v>
      </c>
      <c r="E70" s="414" t="s">
        <v>1082</v>
      </c>
      <c r="F70" s="414" t="s">
        <v>1083</v>
      </c>
      <c r="G70" s="414" t="s">
        <v>1084</v>
      </c>
      <c r="H70" s="414" t="s">
        <v>1085</v>
      </c>
      <c r="I70" s="5"/>
      <c r="J70" s="252" t="s">
        <v>148</v>
      </c>
      <c r="K70" s="414" t="s">
        <v>1080</v>
      </c>
      <c r="L70" s="414" t="s">
        <v>1081</v>
      </c>
      <c r="M70" s="414" t="s">
        <v>1082</v>
      </c>
      <c r="N70" s="414" t="s">
        <v>1083</v>
      </c>
      <c r="O70" s="414" t="s">
        <v>1084</v>
      </c>
      <c r="P70" s="414" t="s">
        <v>1085</v>
      </c>
      <c r="Q70" s="180"/>
      <c r="R70" s="252" t="s">
        <v>149</v>
      </c>
      <c r="S70" s="414" t="s">
        <v>1080</v>
      </c>
      <c r="T70" s="414" t="s">
        <v>1081</v>
      </c>
      <c r="U70" s="414" t="s">
        <v>1082</v>
      </c>
      <c r="V70" s="414" t="s">
        <v>1083</v>
      </c>
      <c r="W70" s="414" t="s">
        <v>1084</v>
      </c>
      <c r="X70" s="414" t="s">
        <v>1085</v>
      </c>
      <c r="Y70" s="180"/>
      <c r="Z70" s="484"/>
      <c r="AA70" s="646"/>
    </row>
    <row r="71" spans="1:35" s="4" customFormat="1" ht="14.5">
      <c r="A71" s="5"/>
      <c r="B71" s="773" t="s">
        <v>1144</v>
      </c>
      <c r="C71" s="656">
        <v>1.7084970000000001E-2</v>
      </c>
      <c r="D71" s="656">
        <v>1.7084970000000001E-2</v>
      </c>
      <c r="E71" s="656">
        <v>4.5559920000000004E-2</v>
      </c>
      <c r="F71" s="656">
        <v>4.5559920000000004E-2</v>
      </c>
      <c r="G71" s="656">
        <v>4.5559920000000004E-2</v>
      </c>
      <c r="H71" s="656"/>
      <c r="I71" s="5"/>
      <c r="J71" s="462">
        <v>5222.1899999999996</v>
      </c>
      <c r="K71" s="657">
        <f>C71*$J71</f>
        <v>89.220959484299996</v>
      </c>
      <c r="L71" s="654">
        <f t="shared" ref="K71:P76" si="1">D71*$J71</f>
        <v>89.220959484299996</v>
      </c>
      <c r="M71" s="654">
        <f t="shared" si="1"/>
        <v>237.92255862479999</v>
      </c>
      <c r="N71" s="735">
        <f t="shared" si="1"/>
        <v>237.92255862479999</v>
      </c>
      <c r="O71" s="654">
        <f t="shared" si="1"/>
        <v>237.92255862479999</v>
      </c>
      <c r="P71" s="654">
        <f t="shared" si="1"/>
        <v>0</v>
      </c>
      <c r="Q71" s="180"/>
      <c r="R71" s="658">
        <f t="shared" ref="R71:R76" si="2">J71*0.8</f>
        <v>4177.7519999999995</v>
      </c>
      <c r="S71" s="657">
        <f t="shared" ref="S71:U76" si="3">C71*$R71</f>
        <v>71.37676758744</v>
      </c>
      <c r="T71" s="654">
        <f t="shared" si="3"/>
        <v>71.37676758744</v>
      </c>
      <c r="U71" s="654">
        <f t="shared" si="3"/>
        <v>190.33804689983998</v>
      </c>
      <c r="V71" s="654">
        <f t="shared" ref="V71:X76" si="4">F71*$R71</f>
        <v>190.33804689983998</v>
      </c>
      <c r="W71" s="654">
        <f t="shared" si="4"/>
        <v>190.33804689983998</v>
      </c>
      <c r="X71" s="654">
        <f t="shared" si="4"/>
        <v>0</v>
      </c>
      <c r="Y71" s="180"/>
      <c r="Z71" s="484"/>
      <c r="AA71" s="646"/>
    </row>
    <row r="72" spans="1:35" s="4" customFormat="1" ht="14.5">
      <c r="A72" s="5"/>
      <c r="B72" s="773" t="s">
        <v>1145</v>
      </c>
      <c r="C72" s="656">
        <v>3.8156433000000006E-3</v>
      </c>
      <c r="D72" s="656">
        <v>3.8156433000000006E-3</v>
      </c>
      <c r="E72" s="656">
        <v>1.0175048800000001E-2</v>
      </c>
      <c r="F72" s="656">
        <v>1.0175048800000001E-2</v>
      </c>
      <c r="G72" s="656">
        <v>1.0175048800000001E-2</v>
      </c>
      <c r="H72" s="656"/>
      <c r="I72" s="5"/>
      <c r="J72" s="462">
        <v>879.24</v>
      </c>
      <c r="K72" s="657">
        <f t="shared" si="1"/>
        <v>3.3548662150920006</v>
      </c>
      <c r="L72" s="654">
        <f t="shared" si="1"/>
        <v>3.3548662150920006</v>
      </c>
      <c r="M72" s="654">
        <f t="shared" si="1"/>
        <v>8.9463099069120009</v>
      </c>
      <c r="N72" s="735">
        <f t="shared" si="1"/>
        <v>8.9463099069120009</v>
      </c>
      <c r="O72" s="654">
        <f t="shared" si="1"/>
        <v>8.9463099069120009</v>
      </c>
      <c r="P72" s="654">
        <f t="shared" si="1"/>
        <v>0</v>
      </c>
      <c r="Q72" s="180"/>
      <c r="R72" s="658">
        <f t="shared" si="2"/>
        <v>703.39200000000005</v>
      </c>
      <c r="S72" s="657">
        <f t="shared" si="3"/>
        <v>2.6838929720736004</v>
      </c>
      <c r="T72" s="654">
        <f t="shared" si="3"/>
        <v>2.6838929720736004</v>
      </c>
      <c r="U72" s="654">
        <f t="shared" si="3"/>
        <v>7.1570479255296009</v>
      </c>
      <c r="V72" s="654">
        <f t="shared" si="4"/>
        <v>7.1570479255296009</v>
      </c>
      <c r="W72" s="654">
        <f t="shared" si="4"/>
        <v>7.1570479255296009</v>
      </c>
      <c r="X72" s="654">
        <f t="shared" si="4"/>
        <v>0</v>
      </c>
      <c r="Y72" s="180"/>
      <c r="Z72" s="484"/>
      <c r="AA72" s="646"/>
    </row>
    <row r="73" spans="1:35" s="4" customFormat="1" ht="14.5">
      <c r="A73" s="5"/>
      <c r="B73" s="200" t="s">
        <v>1146</v>
      </c>
      <c r="C73" s="656">
        <v>1.1389980000000001E-2</v>
      </c>
      <c r="D73" s="656">
        <v>1.1389980000000001E-2</v>
      </c>
      <c r="E73" s="656">
        <v>3.0373280000000002E-2</v>
      </c>
      <c r="F73" s="656">
        <v>3.0373280000000002E-2</v>
      </c>
      <c r="G73" s="656">
        <v>3.0373280000000002E-2</v>
      </c>
      <c r="H73" s="656"/>
      <c r="I73" s="5"/>
      <c r="J73" s="462">
        <v>14462.39</v>
      </c>
      <c r="K73" s="657">
        <f t="shared" si="1"/>
        <v>164.72633285220002</v>
      </c>
      <c r="L73" s="654">
        <f t="shared" si="1"/>
        <v>164.72633285220002</v>
      </c>
      <c r="M73" s="654">
        <f t="shared" si="1"/>
        <v>439.27022093920004</v>
      </c>
      <c r="N73" s="735">
        <f t="shared" si="1"/>
        <v>439.27022093920004</v>
      </c>
      <c r="O73" s="654">
        <f t="shared" si="1"/>
        <v>439.27022093920004</v>
      </c>
      <c r="P73" s="654">
        <f t="shared" si="1"/>
        <v>0</v>
      </c>
      <c r="Q73" s="180"/>
      <c r="R73" s="658">
        <f t="shared" si="2"/>
        <v>11569.912</v>
      </c>
      <c r="S73" s="657">
        <f t="shared" si="3"/>
        <v>131.78106628176002</v>
      </c>
      <c r="T73" s="654">
        <f t="shared" si="3"/>
        <v>131.78106628176002</v>
      </c>
      <c r="U73" s="654">
        <f t="shared" si="3"/>
        <v>351.41617675136001</v>
      </c>
      <c r="V73" s="654">
        <f t="shared" si="4"/>
        <v>351.41617675136001</v>
      </c>
      <c r="W73" s="654">
        <f t="shared" si="4"/>
        <v>351.41617675136001</v>
      </c>
      <c r="X73" s="654">
        <f t="shared" si="4"/>
        <v>0</v>
      </c>
      <c r="Y73" s="180"/>
      <c r="Z73" s="484"/>
      <c r="AA73" s="646"/>
    </row>
    <row r="74" spans="1:35" s="4" customFormat="1" ht="14.5">
      <c r="A74" s="5"/>
      <c r="B74" s="200" t="s">
        <v>1147</v>
      </c>
      <c r="C74" s="656">
        <v>1.8793467000000003E-3</v>
      </c>
      <c r="D74" s="656">
        <v>1.8793467000000003E-3</v>
      </c>
      <c r="E74" s="656">
        <v>5.0115912000000011E-3</v>
      </c>
      <c r="F74" s="656">
        <v>5.0115912000000011E-3</v>
      </c>
      <c r="G74" s="656">
        <v>5.0115912000000011E-3</v>
      </c>
      <c r="H74" s="656"/>
      <c r="I74" s="5"/>
      <c r="J74" s="462">
        <v>879.24</v>
      </c>
      <c r="K74" s="657">
        <f t="shared" si="1"/>
        <v>1.6523967925080003</v>
      </c>
      <c r="L74" s="654">
        <f t="shared" si="1"/>
        <v>1.6523967925080003</v>
      </c>
      <c r="M74" s="654">
        <f t="shared" si="1"/>
        <v>4.4063914466880014</v>
      </c>
      <c r="N74" s="735">
        <f t="shared" si="1"/>
        <v>4.4063914466880014</v>
      </c>
      <c r="O74" s="654">
        <f t="shared" si="1"/>
        <v>4.4063914466880014</v>
      </c>
      <c r="P74" s="654">
        <f t="shared" si="1"/>
        <v>0</v>
      </c>
      <c r="Q74" s="180"/>
      <c r="R74" s="658">
        <f t="shared" si="2"/>
        <v>703.39200000000005</v>
      </c>
      <c r="S74" s="657">
        <f t="shared" si="3"/>
        <v>1.3219174340064004</v>
      </c>
      <c r="T74" s="654">
        <f t="shared" si="3"/>
        <v>1.3219174340064004</v>
      </c>
      <c r="U74" s="654">
        <f t="shared" si="3"/>
        <v>3.5251131573504009</v>
      </c>
      <c r="V74" s="654">
        <f t="shared" si="4"/>
        <v>3.5251131573504009</v>
      </c>
      <c r="W74" s="654">
        <f t="shared" si="4"/>
        <v>3.5251131573504009</v>
      </c>
      <c r="X74" s="654">
        <f t="shared" si="4"/>
        <v>0</v>
      </c>
      <c r="Y74" s="180"/>
      <c r="Z74" s="484"/>
      <c r="AA74" s="646"/>
    </row>
    <row r="75" spans="1:35" s="4" customFormat="1" ht="14.5">
      <c r="A75" s="5"/>
      <c r="B75" s="200" t="s">
        <v>1148</v>
      </c>
      <c r="C75" s="656">
        <v>1.3269326700000002E-2</v>
      </c>
      <c r="D75" s="656">
        <v>1.3269326700000002E-2</v>
      </c>
      <c r="E75" s="656">
        <v>3.5384871200000008E-2</v>
      </c>
      <c r="F75" s="656">
        <v>3.5384871200000008E-2</v>
      </c>
      <c r="G75" s="656">
        <v>3.5384871200000008E-2</v>
      </c>
      <c r="H75" s="656"/>
      <c r="I75" s="5"/>
      <c r="J75" s="462">
        <v>2609.36</v>
      </c>
      <c r="K75" s="657">
        <f t="shared" si="1"/>
        <v>34.624450317912007</v>
      </c>
      <c r="L75" s="654">
        <f t="shared" si="1"/>
        <v>34.624450317912007</v>
      </c>
      <c r="M75" s="654">
        <f t="shared" si="1"/>
        <v>92.33186751443202</v>
      </c>
      <c r="N75" s="735">
        <f t="shared" si="1"/>
        <v>92.33186751443202</v>
      </c>
      <c r="O75" s="654">
        <f t="shared" si="1"/>
        <v>92.33186751443202</v>
      </c>
      <c r="P75" s="654">
        <f t="shared" si="1"/>
        <v>0</v>
      </c>
      <c r="Q75" s="180"/>
      <c r="R75" s="658">
        <f t="shared" si="2"/>
        <v>2087.4880000000003</v>
      </c>
      <c r="S75" s="657">
        <f t="shared" si="3"/>
        <v>27.699560254329608</v>
      </c>
      <c r="T75" s="654">
        <f t="shared" si="3"/>
        <v>27.699560254329608</v>
      </c>
      <c r="U75" s="654">
        <f t="shared" si="3"/>
        <v>73.865494011545621</v>
      </c>
      <c r="V75" s="654">
        <f t="shared" si="4"/>
        <v>73.865494011545621</v>
      </c>
      <c r="W75" s="654">
        <f t="shared" si="4"/>
        <v>73.865494011545621</v>
      </c>
      <c r="X75" s="654">
        <f t="shared" si="4"/>
        <v>0</v>
      </c>
      <c r="Y75" s="180"/>
      <c r="Z75" s="484"/>
      <c r="AA75" s="646"/>
    </row>
    <row r="76" spans="1:35" s="4" customFormat="1" ht="14.5">
      <c r="A76" s="5"/>
      <c r="B76" s="200" t="s">
        <v>1149</v>
      </c>
      <c r="C76" s="656">
        <v>9.5106333000000015E-3</v>
      </c>
      <c r="D76" s="656">
        <v>9.5106333000000015E-3</v>
      </c>
      <c r="E76" s="656">
        <v>2.5361688800000004E-2</v>
      </c>
      <c r="F76" s="656">
        <v>2.5361688800000004E-2</v>
      </c>
      <c r="G76" s="656">
        <v>2.5361688800000004E-2</v>
      </c>
      <c r="H76" s="656"/>
      <c r="I76" s="5"/>
      <c r="J76" s="462">
        <v>879.24</v>
      </c>
      <c r="K76" s="657">
        <f t="shared" si="1"/>
        <v>8.3621292226920012</v>
      </c>
      <c r="L76" s="654">
        <f t="shared" si="1"/>
        <v>8.3621292226920012</v>
      </c>
      <c r="M76" s="654">
        <f t="shared" si="1"/>
        <v>22.299011260512003</v>
      </c>
      <c r="N76" s="735">
        <f t="shared" si="1"/>
        <v>22.299011260512003</v>
      </c>
      <c r="O76" s="654">
        <f t="shared" si="1"/>
        <v>22.299011260512003</v>
      </c>
      <c r="P76" s="654">
        <f t="shared" si="1"/>
        <v>0</v>
      </c>
      <c r="Q76" s="180"/>
      <c r="R76" s="658">
        <f t="shared" si="2"/>
        <v>703.39200000000005</v>
      </c>
      <c r="S76" s="657">
        <f t="shared" si="3"/>
        <v>6.6897033781536015</v>
      </c>
      <c r="T76" s="654">
        <f t="shared" si="3"/>
        <v>6.6897033781536015</v>
      </c>
      <c r="U76" s="654">
        <f t="shared" si="3"/>
        <v>17.839209008409604</v>
      </c>
      <c r="V76" s="654">
        <f t="shared" si="4"/>
        <v>17.839209008409604</v>
      </c>
      <c r="W76" s="654">
        <f t="shared" si="4"/>
        <v>17.839209008409604</v>
      </c>
      <c r="X76" s="654">
        <f t="shared" si="4"/>
        <v>0</v>
      </c>
      <c r="Y76" s="180"/>
      <c r="Z76" s="655"/>
      <c r="AA76" s="646"/>
    </row>
    <row r="77" spans="1:35" s="4" customFormat="1" ht="14.5">
      <c r="A77" s="5"/>
      <c r="B77" s="5"/>
      <c r="C77" s="659"/>
      <c r="D77" s="659"/>
      <c r="E77" s="659"/>
      <c r="F77" s="659"/>
      <c r="G77" s="180"/>
      <c r="H77" s="5"/>
      <c r="I77" s="5"/>
      <c r="J77" s="181"/>
      <c r="K77" s="180"/>
      <c r="L77" s="180"/>
      <c r="M77" s="660"/>
      <c r="N77" s="660"/>
      <c r="O77" s="180"/>
      <c r="P77" s="5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I77" s="3"/>
    </row>
    <row r="78" spans="1:35" s="4" customFormat="1" ht="14.5">
      <c r="A78" s="5"/>
      <c r="B78" s="701" t="s">
        <v>1047</v>
      </c>
      <c r="C78" s="5"/>
      <c r="D78" s="5"/>
      <c r="E78" s="112"/>
      <c r="F78" s="5"/>
      <c r="G78" s="5"/>
      <c r="H78" s="5"/>
      <c r="I78" s="5"/>
      <c r="J78" s="5"/>
      <c r="K78" s="180"/>
      <c r="L78" s="180"/>
      <c r="M78" s="180"/>
      <c r="N78" s="5"/>
      <c r="O78" s="180"/>
      <c r="P78" s="5"/>
      <c r="Q78" s="5"/>
      <c r="R78" s="5"/>
      <c r="S78" s="5"/>
      <c r="T78" s="5"/>
      <c r="U78" s="5"/>
      <c r="V78" s="5"/>
      <c r="W78" s="5"/>
      <c r="X78" s="5"/>
      <c r="Y78" s="5"/>
      <c r="Z78" s="180"/>
      <c r="AA78" s="180"/>
      <c r="AI78" s="3"/>
    </row>
    <row r="79" spans="1:35" ht="14.5">
      <c r="A79" s="5"/>
      <c r="B79" t="s">
        <v>1020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80"/>
      <c r="AA79" s="180"/>
      <c r="AC79" s="4"/>
      <c r="AD79" s="4"/>
      <c r="AE79" s="4"/>
    </row>
    <row r="80" spans="1:35" ht="14.5">
      <c r="A80" s="5"/>
      <c r="B80" t="s">
        <v>150</v>
      </c>
      <c r="C80" s="339"/>
      <c r="D80" s="339"/>
      <c r="E80" s="339"/>
      <c r="F80" s="339"/>
      <c r="G80" s="339"/>
      <c r="H80" s="339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80"/>
      <c r="AA80" s="180"/>
      <c r="AC80" s="4"/>
      <c r="AD80" s="4"/>
      <c r="AE80" s="4"/>
    </row>
    <row r="81" spans="2:31" ht="1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AC81" s="4"/>
      <c r="AD81" s="4"/>
      <c r="AE81" s="4"/>
    </row>
    <row r="82" spans="2:31" ht="1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AC82" s="4"/>
      <c r="AD82" s="4"/>
      <c r="AE82" s="4"/>
    </row>
    <row r="83" spans="2:31" ht="1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2:31" ht="1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92" spans="2:31">
      <c r="C92" s="661"/>
      <c r="D92" s="661"/>
    </row>
    <row r="93" spans="2:31">
      <c r="C93" s="661"/>
      <c r="D93" s="661"/>
    </row>
    <row r="94" spans="2:31">
      <c r="C94" s="661"/>
      <c r="D94" s="661"/>
    </row>
  </sheetData>
  <sheetProtection algorithmName="SHA-512" hashValue="Ppv/Anl73GnOLeb8AyMgGM0NvhUfp9QmNlwKLa7c9wE42OvPUin1gTnEqAL5LJICTJzpy65qRkwP/gCgaZ0EEw==" saltValue="NKSjNT7fb2sBtRFHaK/SXA==" spinCount="100000" sheet="1" objects="1" scenarios="1"/>
  <sortState xmlns:xlrd2="http://schemas.microsoft.com/office/spreadsheetml/2017/richdata2" ref="B73:O76">
    <sortCondition ref="B73:B76"/>
  </sortState>
  <hyperlinks>
    <hyperlink ref="B59" r:id="rId1" display="https://www.england.nhs.uk/publication/2023-25-nhs-payment-scheme/" xr:uid="{074DF6DC-CFFB-4286-B8AD-90E8539276B2}"/>
    <hyperlink ref="B40" r:id="rId2" display="https://www.england.nhs.uk/publication/2023-25-nhs-payment-scheme/" xr:uid="{D2058AB6-262E-4FCE-9091-29A348203569}"/>
    <hyperlink ref="B53" r:id="rId3" display="https://www.england.nhs.uk/publication/2023-25-nhs-payment-scheme/" xr:uid="{900D3C4C-030C-4090-9540-66275433D2D6}"/>
  </hyperlinks>
  <pageMargins left="0.70866141732283472" right="0.70866141732283472" top="0.74803149606299213" bottom="0.74803149606299213" header="0.31496062992125984" footer="0.31496062992125984"/>
  <pageSetup paperSize="9" scale="3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8D83D-4D7E-4D1E-B763-2BF224511BE2}">
  <sheetPr>
    <tabColor theme="8" tint="0.59999389629810485"/>
  </sheetPr>
  <dimension ref="A1:N103"/>
  <sheetViews>
    <sheetView showGridLines="0" zoomScale="80" zoomScaleNormal="80" zoomScaleSheetLayoutView="80" workbookViewId="0">
      <selection activeCell="I19" sqref="I19"/>
    </sheetView>
  </sheetViews>
  <sheetFormatPr defaultColWidth="8.81640625" defaultRowHeight="14.5"/>
  <cols>
    <col min="1" max="1" width="3.54296875" customWidth="1"/>
    <col min="2" max="2" width="85.453125" style="1" customWidth="1"/>
    <col min="3" max="3" width="11.7265625" style="1" customWidth="1"/>
    <col min="4" max="4" width="11.54296875" customWidth="1"/>
    <col min="5" max="6" width="11.7265625" customWidth="1"/>
    <col min="7" max="7" width="12.26953125" customWidth="1"/>
    <col min="8" max="8" width="11.7265625" customWidth="1"/>
    <col min="9" max="9" width="44.453125" customWidth="1"/>
    <col min="10" max="10" width="11.7265625" customWidth="1"/>
    <col min="11" max="11" width="1.26953125" customWidth="1"/>
  </cols>
  <sheetData>
    <row r="1" spans="2:10" ht="30" customHeight="1">
      <c r="B1" s="739" t="str">
        <f>'Unit costs'!B1</f>
        <v>Relugolix for treating hormone-sensitive prostate cancer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>
      <c r="B2" s="383" t="s">
        <v>13</v>
      </c>
      <c r="C2" s="141"/>
      <c r="D2" s="127" t="s">
        <v>106</v>
      </c>
      <c r="E2" s="127" t="s">
        <v>106</v>
      </c>
      <c r="F2" s="127" t="s">
        <v>106</v>
      </c>
      <c r="G2" s="127" t="s">
        <v>106</v>
      </c>
      <c r="H2" s="127" t="s">
        <v>106</v>
      </c>
      <c r="I2" s="127" t="s">
        <v>106</v>
      </c>
      <c r="J2" s="141"/>
    </row>
    <row r="3" spans="2:10">
      <c r="B3" s="130" t="s">
        <v>106</v>
      </c>
      <c r="C3" s="130"/>
      <c r="D3" s="133" t="s">
        <v>106</v>
      </c>
      <c r="E3" s="133" t="s">
        <v>106</v>
      </c>
      <c r="F3" s="133" t="s">
        <v>106</v>
      </c>
      <c r="G3" s="133" t="s">
        <v>106</v>
      </c>
      <c r="H3" s="133" t="s">
        <v>106</v>
      </c>
      <c r="I3" s="133" t="s">
        <v>106</v>
      </c>
      <c r="J3" s="141"/>
    </row>
    <row r="4" spans="2:10">
      <c r="B4" s="662"/>
      <c r="C4"/>
      <c r="J4" s="141"/>
    </row>
    <row r="5" spans="2:10">
      <c r="B5" s="250"/>
      <c r="C5" s="250"/>
      <c r="G5" s="133"/>
      <c r="H5" s="133"/>
      <c r="I5" s="133" t="s">
        <v>151</v>
      </c>
      <c r="J5" s="141"/>
    </row>
    <row r="6" spans="2:10" ht="14.5" customHeight="1">
      <c r="B6" s="260" t="s">
        <v>1134</v>
      </c>
      <c r="C6" s="261"/>
      <c r="D6" s="165" t="s">
        <v>68</v>
      </c>
      <c r="E6" s="165" t="s">
        <v>69</v>
      </c>
      <c r="F6" s="165" t="s">
        <v>70</v>
      </c>
      <c r="G6" s="165" t="s">
        <v>71</v>
      </c>
      <c r="H6" s="165" t="s">
        <v>72</v>
      </c>
      <c r="J6" s="133"/>
    </row>
    <row r="7" spans="2:10" ht="14.5" customHeight="1">
      <c r="B7" s="167" t="s">
        <v>1151</v>
      </c>
      <c r="C7" s="663"/>
      <c r="D7" s="128">
        <f>'Inputs and eligible population'!G44</f>
        <v>30219.136492499172</v>
      </c>
      <c r="E7" s="128">
        <f>'Inputs and eligible population'!H44</f>
        <v>30510.503588286039</v>
      </c>
      <c r="F7" s="128">
        <f>'Inputs and eligible population'!I44</f>
        <v>30804.679989511806</v>
      </c>
      <c r="G7" s="128">
        <f>'Inputs and eligible population'!J44</f>
        <v>31101.69278295862</v>
      </c>
      <c r="H7" s="128">
        <f>'Inputs and eligible population'!K44</f>
        <v>31401.569316574169</v>
      </c>
      <c r="J7" s="133"/>
    </row>
    <row r="8" spans="2:10" ht="14.5" customHeight="1">
      <c r="B8" s="167" t="s">
        <v>1152</v>
      </c>
      <c r="C8" s="663"/>
      <c r="D8" s="128">
        <f>'Inputs and eligible population'!G45</f>
        <v>8321.2114979345552</v>
      </c>
      <c r="E8" s="128">
        <f>'Inputs and eligible population'!H45</f>
        <v>8401.4430170642718</v>
      </c>
      <c r="F8" s="128">
        <f>'Inputs and eligible population'!I45</f>
        <v>8482.4481130539752</v>
      </c>
      <c r="G8" s="128">
        <f>'Inputs and eligible population'!J45</f>
        <v>8564.234244582809</v>
      </c>
      <c r="H8" s="128">
        <f>'Inputs and eligible population'!K45</f>
        <v>8646.8089422450612</v>
      </c>
      <c r="J8" s="133"/>
    </row>
    <row r="9" spans="2:10" ht="14.5" customHeight="1">
      <c r="B9" s="228" t="s">
        <v>1135</v>
      </c>
      <c r="C9" s="663"/>
      <c r="D9" s="182">
        <f>'Inputs and eligible population'!G46</f>
        <v>38540.347990433729</v>
      </c>
      <c r="E9" s="182">
        <f>'Inputs and eligible population'!H46</f>
        <v>38911.946605350313</v>
      </c>
      <c r="F9" s="182">
        <f>'Inputs and eligible population'!I46</f>
        <v>39287.128102565781</v>
      </c>
      <c r="G9" s="182">
        <f>'Inputs and eligible population'!J46</f>
        <v>39665.927027541431</v>
      </c>
      <c r="H9" s="182">
        <f>'Inputs and eligible population'!K46</f>
        <v>40048.378258819226</v>
      </c>
      <c r="J9" s="133"/>
    </row>
    <row r="10" spans="2:10" ht="14.5" customHeight="1">
      <c r="B10" s="262" t="s">
        <v>1136</v>
      </c>
      <c r="C10" s="664"/>
      <c r="D10" s="665">
        <f>'Inputs and eligible population'!F69</f>
        <v>0.15</v>
      </c>
      <c r="E10" s="665">
        <f>'Inputs and eligible population'!G69</f>
        <v>0.2</v>
      </c>
      <c r="F10" s="665">
        <f>'Inputs and eligible population'!H69</f>
        <v>0.25</v>
      </c>
      <c r="G10" s="665">
        <f>'Inputs and eligible population'!I69</f>
        <v>0.3</v>
      </c>
      <c r="H10" s="665">
        <f>'Inputs and eligible population'!J69</f>
        <v>0.3</v>
      </c>
      <c r="J10" s="133"/>
    </row>
    <row r="11" spans="2:10" ht="14.5" customHeight="1">
      <c r="B11" s="262" t="s">
        <v>1137</v>
      </c>
      <c r="C11" s="664"/>
      <c r="D11" s="128">
        <f>'Financial impact (cash)'!E15+'Financial impact (cash)'!E24</f>
        <v>5781.0521985650594</v>
      </c>
      <c r="E11" s="128">
        <f>'Financial impact (cash)'!F15+'Financial impact (cash)'!F24</f>
        <v>13563.441519635122</v>
      </c>
      <c r="F11" s="128">
        <f>'Financial impact (cash)'!G15+'Financial impact (cash)'!G24</f>
        <v>18852.353071401692</v>
      </c>
      <c r="G11" s="128">
        <f>'Financial impact (cash)'!H15+'Financial impact (cash)'!H24</f>
        <v>24650.030462006911</v>
      </c>
      <c r="H11" s="128">
        <f>'Financial impact (cash)'!I15+'Financial impact (cash)'!I24</f>
        <v>28963.373942274724</v>
      </c>
      <c r="J11" s="133"/>
    </row>
    <row r="12" spans="2:10" ht="14.5" customHeight="1">
      <c r="B12" s="133"/>
      <c r="C12" s="133"/>
      <c r="D12" s="666"/>
      <c r="E12" s="666"/>
      <c r="F12" s="666"/>
      <c r="G12" s="666"/>
      <c r="H12" s="666"/>
      <c r="I12" s="133"/>
      <c r="J12" s="133"/>
    </row>
    <row r="13" spans="2:10" ht="29">
      <c r="B13" s="802" t="s">
        <v>1192</v>
      </c>
      <c r="C13" s="241" t="s">
        <v>152</v>
      </c>
      <c r="D13" s="165" t="s">
        <v>68</v>
      </c>
      <c r="E13" s="165" t="s">
        <v>69</v>
      </c>
      <c r="F13" s="165" t="s">
        <v>70</v>
      </c>
      <c r="G13" s="165" t="s">
        <v>71</v>
      </c>
      <c r="H13" s="165" t="s">
        <v>72</v>
      </c>
      <c r="J13" s="133"/>
    </row>
    <row r="14" spans="2:10">
      <c r="B14" s="741" t="s">
        <v>1080</v>
      </c>
      <c r="C14" s="128">
        <f>'Financial impact (cash)'!D15</f>
        <v>0</v>
      </c>
      <c r="D14" s="128">
        <f>'Financial impact (cash)'!E15</f>
        <v>4532.8704738748756</v>
      </c>
      <c r="E14" s="128">
        <f>'Financial impact (cash)'!F15</f>
        <v>10634.971191532084</v>
      </c>
      <c r="F14" s="128">
        <f>'Financial impact (cash)'!G15</f>
        <v>13803.27071503516</v>
      </c>
      <c r="G14" s="128">
        <f>'Financial impact (cash)'!H15</f>
        <v>17031.677832265537</v>
      </c>
      <c r="H14" s="128">
        <f>'Financial impact (cash)'!I15</f>
        <v>18750.978629859834</v>
      </c>
      <c r="J14" s="133"/>
    </row>
    <row r="15" spans="2:10">
      <c r="B15" s="741" t="s">
        <v>1081</v>
      </c>
      <c r="C15" s="128">
        <f>'Financial impact (cash)'!D16</f>
        <v>2993.0551874040539</v>
      </c>
      <c r="D15" s="128">
        <f>'Financial impact (cash)'!E16</f>
        <v>2554.1973709394979</v>
      </c>
      <c r="E15" s="128">
        <f>'Financial impact (cash)'!F16</f>
        <v>1972.9848848860524</v>
      </c>
      <c r="F15" s="128">
        <f>'Financial impact (cash)'!G16</f>
        <v>1531.4087074388171</v>
      </c>
      <c r="G15" s="128">
        <f>'Financial impact (cash)'!H16</f>
        <v>1238.1274554494084</v>
      </c>
      <c r="H15" s="128">
        <f>'Financial impact (cash)'!I16</f>
        <v>1250.065241990656</v>
      </c>
      <c r="J15" s="133"/>
    </row>
    <row r="16" spans="2:10">
      <c r="B16" s="741" t="s">
        <v>1082</v>
      </c>
      <c r="C16" s="128">
        <f>'Financial impact (cash)'!D17</f>
        <v>25859.996819171029</v>
      </c>
      <c r="D16" s="128">
        <f>'Financial impact (cash)'!E17</f>
        <v>23506.696181960222</v>
      </c>
      <c r="E16" s="128">
        <f>'Financial impact (cash)'!F17</f>
        <v>20340.058920626245</v>
      </c>
      <c r="F16" s="128">
        <f>'Financial impact (cash)'!G17</f>
        <v>19004.765145105077</v>
      </c>
      <c r="G16" s="128">
        <f>'Financial impact (cash)'!H17</f>
        <v>17949.877976081956</v>
      </c>
      <c r="H16" s="128">
        <f>'Financial impact (cash)'!I17</f>
        <v>17500.913387869183</v>
      </c>
      <c r="J16" s="133"/>
    </row>
    <row r="17" spans="2:10">
      <c r="B17" s="741" t="s">
        <v>1083</v>
      </c>
      <c r="C17" s="128">
        <f>'Financial impact (cash)'!D18</f>
        <v>16521.66463447038</v>
      </c>
      <c r="D17" s="128">
        <f>'Financial impact (cash)'!E18</f>
        <v>15362.329392972495</v>
      </c>
      <c r="E17" s="128">
        <f>'Financial impact (cash)'!F18</f>
        <v>13813.807865160234</v>
      </c>
      <c r="F17" s="128">
        <f>'Financial impact (cash)'!G18</f>
        <v>12873.24678732529</v>
      </c>
      <c r="G17" s="128">
        <f>'Financial impact (cash)'!H18</f>
        <v>11759.240698834912</v>
      </c>
      <c r="H17" s="128">
        <f>'Financial impact (cash)'!I18</f>
        <v>11250.587177915902</v>
      </c>
      <c r="J17" s="133"/>
    </row>
    <row r="18" spans="2:10">
      <c r="B18" s="741" t="s">
        <v>1084</v>
      </c>
      <c r="C18" s="128">
        <f>'Financial impact (cash)'!D19</f>
        <v>5507.2215448234592</v>
      </c>
      <c r="D18" s="128">
        <f>'Financial impact (cash)'!E19</f>
        <v>5171.1416918116629</v>
      </c>
      <c r="E18" s="128">
        <f>'Financial impact (cash)'!F19</f>
        <v>4858.3712064628171</v>
      </c>
      <c r="F18" s="128">
        <f>'Financial impact (cash)'!G19</f>
        <v>4905.2146862238278</v>
      </c>
      <c r="G18" s="128">
        <f>'Financial impact (cash)'!H19</f>
        <v>4952.5098217976338</v>
      </c>
      <c r="H18" s="128">
        <f>'Financial impact (cash)'!I19</f>
        <v>5000.2609679626239</v>
      </c>
      <c r="J18" s="133"/>
    </row>
    <row r="19" spans="2:10">
      <c r="B19" s="741" t="s">
        <v>1085</v>
      </c>
      <c r="C19" s="128">
        <f>'Financial impact (cash)'!D20</f>
        <v>8979.1655622121616</v>
      </c>
      <c r="D19" s="128">
        <f>'Financial impact (cash)'!E20</f>
        <v>9022.4532549809555</v>
      </c>
      <c r="E19" s="128">
        <f>'Financial impact (cash)'!F20</f>
        <v>9109.4460121177817</v>
      </c>
      <c r="F19" s="128">
        <f>'Financial impact (cash)'!G20</f>
        <v>9197.2775366696769</v>
      </c>
      <c r="G19" s="128">
        <f>'Financial impact (cash)'!H20</f>
        <v>8974.9389880409781</v>
      </c>
      <c r="H19" s="128">
        <f>'Financial impact (cash)'!I20</f>
        <v>8750.4566939345914</v>
      </c>
      <c r="J19" s="133"/>
    </row>
    <row r="20" spans="2:10">
      <c r="B20" s="267"/>
      <c r="C20" s="182">
        <f>SUM(C14:C19)</f>
        <v>59861.103748081085</v>
      </c>
      <c r="D20" s="182">
        <f t="shared" ref="D20:H20" si="0">SUM(D14:D19)</f>
        <v>60149.688366539704</v>
      </c>
      <c r="E20" s="182">
        <f t="shared" si="0"/>
        <v>60729.640080785219</v>
      </c>
      <c r="F20" s="182">
        <f t="shared" si="0"/>
        <v>61315.183577797856</v>
      </c>
      <c r="G20" s="182">
        <f t="shared" si="0"/>
        <v>61906.372772470429</v>
      </c>
      <c r="H20" s="182">
        <f t="shared" si="0"/>
        <v>62503.262099532789</v>
      </c>
      <c r="J20" s="133"/>
    </row>
    <row r="21" spans="2:10">
      <c r="B21" s="247"/>
      <c r="C21" s="361"/>
      <c r="D21" s="361"/>
      <c r="E21" s="361"/>
      <c r="F21" s="361"/>
      <c r="G21" s="361"/>
      <c r="H21" s="361"/>
      <c r="J21" s="133"/>
    </row>
    <row r="22" spans="2:10" ht="29">
      <c r="B22" s="802" t="s">
        <v>1191</v>
      </c>
      <c r="C22" s="241" t="s">
        <v>152</v>
      </c>
      <c r="D22" s="165" t="s">
        <v>68</v>
      </c>
      <c r="E22" s="165" t="s">
        <v>69</v>
      </c>
      <c r="F22" s="165" t="s">
        <v>70</v>
      </c>
      <c r="G22" s="165" t="s">
        <v>71</v>
      </c>
      <c r="H22" s="165" t="s">
        <v>72</v>
      </c>
      <c r="J22" s="133"/>
    </row>
    <row r="23" spans="2:10">
      <c r="B23" s="741" t="s">
        <v>1080</v>
      </c>
      <c r="C23" s="128">
        <f>'Financial impact (cash)'!D24</f>
        <v>0</v>
      </c>
      <c r="D23" s="128">
        <f>'Financial impact (cash)'!E24</f>
        <v>1248.1817246901833</v>
      </c>
      <c r="E23" s="128">
        <f>'Financial impact (cash)'!F24</f>
        <v>2928.4703281030379</v>
      </c>
      <c r="F23" s="128">
        <f>'Financial impact (cash)'!G24</f>
        <v>5049.0823563665317</v>
      </c>
      <c r="G23" s="128">
        <f>'Financial impact (cash)'!H24</f>
        <v>7618.3526297413737</v>
      </c>
      <c r="H23" s="128">
        <f>'Financial impact (cash)'!I24</f>
        <v>10212.395312414892</v>
      </c>
      <c r="J23" s="133"/>
    </row>
    <row r="24" spans="2:10">
      <c r="B24" s="741" t="s">
        <v>1081</v>
      </c>
      <c r="C24" s="128">
        <f>'Financial impact (cash)'!D25</f>
        <v>2060.436542053516</v>
      </c>
      <c r="D24" s="128">
        <f>'Financial impact (cash)'!E25</f>
        <v>1939.5916360705221</v>
      </c>
      <c r="E24" s="128">
        <f>'Financial impact (cash)'!F25</f>
        <v>1779.5476181717472</v>
      </c>
      <c r="F24" s="128">
        <f>'Financial impact (cash)'!G25</f>
        <v>1537.1092720221234</v>
      </c>
      <c r="G24" s="128">
        <f>'Financial impact (cash)'!H25</f>
        <v>1296.3066485030763</v>
      </c>
      <c r="H24" s="128">
        <f>'Financial impact (cash)'!I25</f>
        <v>1057.1555189372746</v>
      </c>
      <c r="J24" s="133"/>
    </row>
    <row r="25" spans="2:10">
      <c r="B25" s="741" t="s">
        <v>1082</v>
      </c>
      <c r="C25" s="128">
        <f>'Financial impact (cash)'!D26</f>
        <v>17802.171723342377</v>
      </c>
      <c r="D25" s="128">
        <f>'Financial impact (cash)'!E26</f>
        <v>17154.161402950995</v>
      </c>
      <c r="E25" s="128">
        <f>'Financial impact (cash)'!F26</f>
        <v>16282.188823743087</v>
      </c>
      <c r="F25" s="128">
        <f>'Financial impact (cash)'!G26</f>
        <v>15266.488912990802</v>
      </c>
      <c r="G25" s="128">
        <f>'Financial impact (cash)'!H26</f>
        <v>14104.040156805517</v>
      </c>
      <c r="H25" s="128">
        <f>'Financial impact (cash)'!I26</f>
        <v>12964.712315965658</v>
      </c>
      <c r="J25" s="133"/>
    </row>
    <row r="26" spans="2:10">
      <c r="B26" s="741" t="s">
        <v>1083</v>
      </c>
      <c r="C26" s="128">
        <f>'Financial impact (cash)'!D27</f>
        <v>11373.609712135405</v>
      </c>
      <c r="D26" s="128">
        <f>'Financial impact (cash)'!E27</f>
        <v>11054.372471722945</v>
      </c>
      <c r="E26" s="128">
        <f>'Financial impact (cash)'!F27</f>
        <v>10627.967993050004</v>
      </c>
      <c r="F26" s="128">
        <f>'Financial impact (cash)'!G27</f>
        <v>10049.735673233718</v>
      </c>
      <c r="G26" s="128">
        <f>'Financial impact (cash)'!H27</f>
        <v>9316.5758948315415</v>
      </c>
      <c r="H26" s="128">
        <f>'Financial impact (cash)'!I27</f>
        <v>8598.2795620085726</v>
      </c>
      <c r="J26" s="133"/>
    </row>
    <row r="27" spans="2:10">
      <c r="B27" s="741" t="s">
        <v>1084</v>
      </c>
      <c r="C27" s="128">
        <f>'Financial impact (cash)'!D28</f>
        <v>3791.2032373784682</v>
      </c>
      <c r="D27" s="128">
        <f>'Financial impact (cash)'!E28</f>
        <v>3698.6595097375393</v>
      </c>
      <c r="E27" s="128">
        <f>'Financial impact (cash)'!F28</f>
        <v>3612.5343036269878</v>
      </c>
      <c r="F27" s="128">
        <f>'Financial impact (cash)'!G28</f>
        <v>3532.8895051956115</v>
      </c>
      <c r="G27" s="128">
        <f>'Financial impact (cash)'!H28</f>
        <v>3459.7875972865427</v>
      </c>
      <c r="H27" s="128">
        <f>'Financial impact (cash)'!I28</f>
        <v>3393.2916651904543</v>
      </c>
      <c r="J27" s="133"/>
    </row>
    <row r="28" spans="2:10">
      <c r="B28" s="741" t="s">
        <v>1085</v>
      </c>
      <c r="C28" s="128">
        <f>'Financial impact (cash)'!D29</f>
        <v>6181.309626160546</v>
      </c>
      <c r="D28" s="128">
        <f>'Financial impact (cash)'!E29</f>
        <v>6193.2294256186196</v>
      </c>
      <c r="E28" s="128">
        <f>'Financial impact (cash)'!F29</f>
        <v>6217.1839529461513</v>
      </c>
      <c r="F28" s="128">
        <f>'Financial impact (cash)'!G29</f>
        <v>6253.289244672138</v>
      </c>
      <c r="G28" s="128">
        <f>'Financial impact (cash)'!H29</f>
        <v>6216.0201136816222</v>
      </c>
      <c r="H28" s="128">
        <f>'Financial impact (cash)'!I29</f>
        <v>6190.3114403638219</v>
      </c>
      <c r="J28" s="133"/>
    </row>
    <row r="29" spans="2:10">
      <c r="B29" s="267"/>
      <c r="C29" s="182">
        <f>SUM(C23:C28)</f>
        <v>41208.730841070312</v>
      </c>
      <c r="D29" s="182">
        <f t="shared" ref="D29:H29" si="1">SUM(D23:D28)</f>
        <v>41288.196170790805</v>
      </c>
      <c r="E29" s="182">
        <f t="shared" si="1"/>
        <v>41447.893019641015</v>
      </c>
      <c r="F29" s="182">
        <f t="shared" si="1"/>
        <v>41688.594964480922</v>
      </c>
      <c r="G29" s="182">
        <f t="shared" si="1"/>
        <v>42011.083040849677</v>
      </c>
      <c r="H29" s="182">
        <f t="shared" si="1"/>
        <v>42416.145814880678</v>
      </c>
      <c r="J29" s="133"/>
    </row>
    <row r="30" spans="2:10" ht="15" thickBot="1">
      <c r="B30" s="539"/>
      <c r="C30" s="539"/>
      <c r="D30" s="540"/>
      <c r="E30" s="540"/>
      <c r="F30" s="540"/>
      <c r="G30" s="540"/>
      <c r="H30" s="540"/>
      <c r="I30" s="541"/>
      <c r="J30" s="133"/>
    </row>
    <row r="31" spans="2:10">
      <c r="B31" s="269"/>
      <c r="C31" s="269"/>
      <c r="D31" s="340"/>
      <c r="E31" s="340"/>
      <c r="F31" s="340"/>
      <c r="G31" s="340"/>
      <c r="H31" s="340"/>
      <c r="I31" s="133"/>
      <c r="J31" s="133"/>
    </row>
    <row r="32" spans="2:10" ht="29">
      <c r="B32" s="263" t="s">
        <v>1138</v>
      </c>
      <c r="C32" s="241" t="s">
        <v>152</v>
      </c>
      <c r="D32" s="165" t="s">
        <v>68</v>
      </c>
      <c r="E32" s="165" t="s">
        <v>69</v>
      </c>
      <c r="F32" s="165" t="s">
        <v>70</v>
      </c>
      <c r="G32" s="165" t="s">
        <v>71</v>
      </c>
      <c r="H32" s="165" t="s">
        <v>72</v>
      </c>
      <c r="I32" s="133"/>
      <c r="J32" s="133"/>
    </row>
    <row r="33" spans="1:10">
      <c r="B33" s="295" t="s">
        <v>153</v>
      </c>
      <c r="C33" s="779" t="s">
        <v>154</v>
      </c>
      <c r="D33" s="779" t="s">
        <v>154</v>
      </c>
      <c r="E33" s="779" t="s">
        <v>154</v>
      </c>
      <c r="F33" s="779" t="s">
        <v>154</v>
      </c>
      <c r="G33" s="779" t="s">
        <v>154</v>
      </c>
      <c r="H33" s="779" t="s">
        <v>154</v>
      </c>
      <c r="I33" s="133"/>
      <c r="J33" s="133"/>
    </row>
    <row r="34" spans="1:10">
      <c r="B34" s="268" t="s">
        <v>155</v>
      </c>
      <c r="C34" s="255">
        <f>'Financial impact (cash)'!D39+'Financial impact (cash)'!D48</f>
        <v>85236.012288373488</v>
      </c>
      <c r="D34" s="255">
        <f>'Financial impact (cash)'!E39+'Financial impact (cash)'!E48</f>
        <v>85970.28704152687</v>
      </c>
      <c r="E34" s="255">
        <f>'Financial impact (cash)'!F39+'Financial impact (cash)'!F48</f>
        <v>87160.461662514208</v>
      </c>
      <c r="F34" s="255">
        <f>'Financial impact (cash)'!G39+'Financial impact (cash)'!G48</f>
        <v>88105.15233390592</v>
      </c>
      <c r="G34" s="255">
        <f>'Financial impact (cash)'!H39+'Financial impact (cash)'!H48</f>
        <v>89719.685147291268</v>
      </c>
      <c r="H34" s="255">
        <f>'Financial impact (cash)'!I39+'Financial impact (cash)'!I48</f>
        <v>91410.223870870002</v>
      </c>
      <c r="I34" s="133"/>
      <c r="J34" s="133"/>
    </row>
    <row r="35" spans="1:10">
      <c r="C35" s="78"/>
      <c r="D35" s="197">
        <f>D34-$C$34</f>
        <v>734.27475315338233</v>
      </c>
      <c r="E35" s="197">
        <f t="shared" ref="E35:G35" si="2">E34-$C$34</f>
        <v>1924.4493741407205</v>
      </c>
      <c r="F35" s="197">
        <f t="shared" si="2"/>
        <v>2869.1400455324329</v>
      </c>
      <c r="G35" s="197">
        <f t="shared" si="2"/>
        <v>4483.6728589177801</v>
      </c>
      <c r="H35" s="197">
        <f>H34-$C$34</f>
        <v>6174.2115824965149</v>
      </c>
      <c r="I35" s="466" t="s">
        <v>156</v>
      </c>
      <c r="J35" s="133"/>
    </row>
    <row r="36" spans="1:10">
      <c r="C36" s="88"/>
      <c r="D36" s="197">
        <f>D34-C34</f>
        <v>734.27475315338233</v>
      </c>
      <c r="E36" s="197">
        <f>E34-D34</f>
        <v>1190.1746209873381</v>
      </c>
      <c r="F36" s="197">
        <f>F34-E34</f>
        <v>944.69067139171239</v>
      </c>
      <c r="G36" s="197">
        <f>G34-F34</f>
        <v>1614.5328133853473</v>
      </c>
      <c r="H36" s="197">
        <f>H34-G34</f>
        <v>1690.5387235787348</v>
      </c>
      <c r="I36" s="466" t="s">
        <v>157</v>
      </c>
      <c r="J36" s="133"/>
    </row>
    <row r="37" spans="1:10">
      <c r="D37" s="340"/>
      <c r="E37" s="340"/>
      <c r="F37" s="340"/>
      <c r="G37" s="340"/>
      <c r="H37" s="340"/>
      <c r="I37" s="667"/>
      <c r="J37" s="133"/>
    </row>
    <row r="38" spans="1:10">
      <c r="B38" t="s">
        <v>158</v>
      </c>
      <c r="C38" s="269"/>
      <c r="D38" s="410"/>
      <c r="E38" s="410"/>
      <c r="F38" s="410"/>
      <c r="G38" s="410"/>
      <c r="H38" s="410"/>
      <c r="J38" s="133"/>
    </row>
    <row r="39" spans="1:10">
      <c r="B39" s="668" t="s">
        <v>145</v>
      </c>
      <c r="C39" s="269"/>
      <c r="D39" s="410"/>
      <c r="E39" s="410"/>
      <c r="F39" s="410"/>
      <c r="G39" s="410"/>
      <c r="H39" s="410"/>
      <c r="J39" s="133"/>
    </row>
    <row r="40" spans="1:10">
      <c r="B40" s="269"/>
      <c r="C40" s="269"/>
      <c r="D40" s="410"/>
      <c r="E40" s="410"/>
      <c r="F40" s="410"/>
      <c r="G40" s="410"/>
      <c r="H40" s="410"/>
      <c r="J40" s="133"/>
    </row>
    <row r="41" spans="1:10" ht="29">
      <c r="A41" s="410"/>
      <c r="B41" s="263" t="s">
        <v>1057</v>
      </c>
      <c r="C41" s="241" t="s">
        <v>152</v>
      </c>
      <c r="D41" s="165" t="s">
        <v>68</v>
      </c>
      <c r="E41" s="165" t="s">
        <v>69</v>
      </c>
      <c r="F41" s="165" t="s">
        <v>70</v>
      </c>
      <c r="G41" s="165" t="s">
        <v>71</v>
      </c>
      <c r="H41" s="165" t="s">
        <v>72</v>
      </c>
      <c r="J41" s="133"/>
    </row>
    <row r="42" spans="1:10">
      <c r="A42" s="410"/>
      <c r="B42" s="295" t="s">
        <v>159</v>
      </c>
      <c r="C42" s="779" t="s">
        <v>154</v>
      </c>
      <c r="D42" s="779" t="s">
        <v>154</v>
      </c>
      <c r="E42" s="779" t="s">
        <v>154</v>
      </c>
      <c r="F42" s="779" t="s">
        <v>154</v>
      </c>
      <c r="G42" s="779" t="s">
        <v>154</v>
      </c>
      <c r="H42" s="779" t="s">
        <v>154</v>
      </c>
      <c r="J42" s="133"/>
    </row>
    <row r="43" spans="1:10">
      <c r="A43" s="410"/>
      <c r="B43" s="268" t="s">
        <v>160</v>
      </c>
      <c r="C43" s="255">
        <f>IF($B$39="national prices",'Capacity (national prices)'!L27,IF($B$39="local prices",'Capacity (local prices)'!L28,0))</f>
        <v>134112.71451986826</v>
      </c>
      <c r="D43" s="255">
        <f>IF($B$39="national prices",'Capacity (national prices)'!M27,IF($B$39="local prices",'Capacity (local prices)'!M28,0))</f>
        <v>132392.54686603736</v>
      </c>
      <c r="E43" s="255">
        <f>IF($B$39="national prices",'Capacity (national prices)'!N27,IF($B$39="local prices",'Capacity (local prices)'!N28,0))</f>
        <v>130401.36174176537</v>
      </c>
      <c r="F43" s="255">
        <f>IF($B$39="national prices",'Capacity (national prices)'!O27,IF($B$39="local prices",'Capacity (local prices)'!O28,0))</f>
        <v>129570.1618440818</v>
      </c>
      <c r="G43" s="255">
        <f>IF($B$39="national prices",'Capacity (national prices)'!P27,IF($B$39="local prices",'Capacity (local prices)'!P28,0))</f>
        <v>128952.66517239614</v>
      </c>
      <c r="H43" s="255">
        <f>IF($B$39="national prices",'Capacity (national prices)'!Q27,IF($B$39="local prices",'Capacity (local prices)'!Q28,0))</f>
        <v>128950.56091609511</v>
      </c>
      <c r="J43" s="133"/>
    </row>
    <row r="44" spans="1:10">
      <c r="A44" s="410"/>
      <c r="C44" s="78"/>
      <c r="D44" s="197">
        <f>D43-$C$43</f>
        <v>-1720.1676538308966</v>
      </c>
      <c r="E44" s="197">
        <f>E43-$C$43</f>
        <v>-3711.3527781028824</v>
      </c>
      <c r="F44" s="197">
        <f>F43-$C$43</f>
        <v>-4542.5526757864573</v>
      </c>
      <c r="G44" s="197">
        <f>G43-$C$43</f>
        <v>-5160.0493474721152</v>
      </c>
      <c r="H44" s="197">
        <f>H43-$C$43</f>
        <v>-5162.1536037731421</v>
      </c>
      <c r="I44" s="466" t="s">
        <v>156</v>
      </c>
      <c r="J44" s="133"/>
    </row>
    <row r="45" spans="1:10">
      <c r="A45" s="410"/>
      <c r="C45" s="88"/>
      <c r="D45" s="197">
        <f>D43-C43</f>
        <v>-1720.1676538308966</v>
      </c>
      <c r="E45" s="197">
        <f>E43-D43</f>
        <v>-1991.1851242719858</v>
      </c>
      <c r="F45" s="197">
        <f>F43-E43</f>
        <v>-831.19989768357482</v>
      </c>
      <c r="G45" s="197">
        <f>G43-F43</f>
        <v>-617.49667168565793</v>
      </c>
      <c r="H45" s="197">
        <f>H43-G43</f>
        <v>-2.1042563010269077</v>
      </c>
      <c r="I45" s="466" t="s">
        <v>157</v>
      </c>
      <c r="J45" s="133"/>
    </row>
    <row r="46" spans="1:10">
      <c r="A46" s="410"/>
      <c r="B46" s="410"/>
      <c r="C46" s="410"/>
      <c r="D46" s="410"/>
      <c r="E46" s="410"/>
      <c r="F46" s="410"/>
      <c r="G46" s="410"/>
      <c r="H46" s="410"/>
      <c r="J46" s="133"/>
    </row>
    <row r="47" spans="1:10" ht="29">
      <c r="A47" s="410"/>
      <c r="B47" s="263" t="s">
        <v>1058</v>
      </c>
      <c r="C47" s="241" t="s">
        <v>152</v>
      </c>
      <c r="D47" s="165" t="s">
        <v>68</v>
      </c>
      <c r="E47" s="165" t="s">
        <v>69</v>
      </c>
      <c r="F47" s="165" t="s">
        <v>70</v>
      </c>
      <c r="G47" s="165" t="s">
        <v>71</v>
      </c>
      <c r="H47" s="165" t="s">
        <v>72</v>
      </c>
      <c r="J47" s="133"/>
    </row>
    <row r="48" spans="1:10">
      <c r="B48" s="295"/>
      <c r="C48" s="779" t="s">
        <v>154</v>
      </c>
      <c r="D48" s="779" t="s">
        <v>154</v>
      </c>
      <c r="E48" s="779" t="s">
        <v>154</v>
      </c>
      <c r="F48" s="779" t="s">
        <v>154</v>
      </c>
      <c r="G48" s="779" t="s">
        <v>154</v>
      </c>
      <c r="H48" s="779" t="s">
        <v>154</v>
      </c>
      <c r="I48" s="133"/>
      <c r="J48" s="133"/>
    </row>
    <row r="49" spans="2:10">
      <c r="B49" s="535" t="s">
        <v>161</v>
      </c>
      <c r="C49" s="554">
        <f>C34+C43</f>
        <v>219348.72680824174</v>
      </c>
      <c r="D49" s="554">
        <f t="shared" ref="D49:H49" si="3">D34+D43</f>
        <v>218362.83390756423</v>
      </c>
      <c r="E49" s="554">
        <f t="shared" si="3"/>
        <v>217561.8234042796</v>
      </c>
      <c r="F49" s="554">
        <f t="shared" si="3"/>
        <v>217675.31417798772</v>
      </c>
      <c r="G49" s="554">
        <f t="shared" si="3"/>
        <v>218672.35031968739</v>
      </c>
      <c r="H49" s="554">
        <f t="shared" si="3"/>
        <v>220360.78478696512</v>
      </c>
      <c r="I49" s="133"/>
      <c r="J49" s="133"/>
    </row>
    <row r="50" spans="2:10">
      <c r="B50" s="534"/>
      <c r="C50" s="536"/>
      <c r="D50" s="537">
        <f>D49-$C$49</f>
        <v>-985.89290067751426</v>
      </c>
      <c r="E50" s="537">
        <f>E49-$C$49</f>
        <v>-1786.9034039621474</v>
      </c>
      <c r="F50" s="537">
        <f>F49-$C$49</f>
        <v>-1673.4126302540244</v>
      </c>
      <c r="G50" s="537">
        <f>G49-$C$49</f>
        <v>-676.37648855434963</v>
      </c>
      <c r="H50" s="537">
        <f>H49-$C$49</f>
        <v>1012.0579787233728</v>
      </c>
      <c r="I50" s="466" t="s">
        <v>156</v>
      </c>
      <c r="J50" s="133"/>
    </row>
    <row r="51" spans="2:10">
      <c r="B51" s="534"/>
      <c r="C51" s="536"/>
      <c r="D51" s="538">
        <f>D49-C49</f>
        <v>-985.89290067751426</v>
      </c>
      <c r="E51" s="538">
        <f>E49-D49</f>
        <v>-801.01050328463316</v>
      </c>
      <c r="F51" s="538">
        <f>F49-E49</f>
        <v>113.49077370812302</v>
      </c>
      <c r="G51" s="538">
        <f>G49-F49</f>
        <v>997.03614169967477</v>
      </c>
      <c r="H51" s="538">
        <f>H49-G49</f>
        <v>1688.4344672777224</v>
      </c>
      <c r="I51" s="466" t="s">
        <v>157</v>
      </c>
      <c r="J51" s="133"/>
    </row>
    <row r="52" spans="2:10" ht="15" thickBot="1">
      <c r="B52" s="539"/>
      <c r="C52" s="539"/>
      <c r="D52" s="540"/>
      <c r="E52" s="540"/>
      <c r="F52" s="540"/>
      <c r="G52" s="540"/>
      <c r="H52" s="540"/>
      <c r="I52" s="541"/>
      <c r="J52" s="133"/>
    </row>
    <row r="53" spans="2:10">
      <c r="B53" s="269"/>
      <c r="C53" s="269"/>
      <c r="D53" s="340"/>
      <c r="E53" s="340"/>
      <c r="F53" s="340"/>
      <c r="G53" s="340"/>
      <c r="H53" s="340"/>
      <c r="I53" s="133"/>
      <c r="J53" s="133"/>
    </row>
    <row r="54" spans="2:10">
      <c r="B54" s="263" t="s">
        <v>162</v>
      </c>
      <c r="C54" s="517"/>
      <c r="D54" s="165" t="s">
        <v>68</v>
      </c>
      <c r="E54" s="165" t="s">
        <v>69</v>
      </c>
      <c r="F54" s="165" t="s">
        <v>70</v>
      </c>
      <c r="G54" s="165" t="s">
        <v>71</v>
      </c>
      <c r="H54" s="165" t="s">
        <v>72</v>
      </c>
      <c r="I54" s="133"/>
      <c r="J54" s="133"/>
    </row>
    <row r="55" spans="2:10">
      <c r="B55" s="520"/>
      <c r="C55" s="518"/>
      <c r="D55" s="519"/>
      <c r="E55" s="519"/>
      <c r="F55" s="519"/>
      <c r="G55" s="519"/>
      <c r="H55" s="519"/>
      <c r="I55" s="133"/>
      <c r="J55" s="133"/>
    </row>
    <row r="56" spans="2:10">
      <c r="B56" s="263" t="s">
        <v>741</v>
      </c>
      <c r="C56" s="264"/>
      <c r="D56" s="184"/>
      <c r="E56" s="184"/>
      <c r="F56" s="184"/>
      <c r="G56" s="184"/>
      <c r="H56" s="184"/>
      <c r="I56" s="185"/>
      <c r="J56" s="133"/>
    </row>
    <row r="57" spans="2:10" ht="29">
      <c r="B57" s="351" t="s">
        <v>1121</v>
      </c>
      <c r="C57" s="669"/>
      <c r="D57" s="671">
        <f>'Capacity (national prices)'!E60</f>
        <v>15030.735716269155</v>
      </c>
      <c r="E57" s="671">
        <f>'Capacity (national prices)'!F60</f>
        <v>35264.947951051319</v>
      </c>
      <c r="F57" s="671">
        <f>'Capacity (national prices)'!G60</f>
        <v>49016.1179856444</v>
      </c>
      <c r="G57" s="671">
        <f>'Capacity (national prices)'!H60</f>
        <v>64090.079201217974</v>
      </c>
      <c r="H57" s="671">
        <f>'Capacity (national prices)'!I60</f>
        <v>75304.772249914284</v>
      </c>
      <c r="I57" s="670" t="s">
        <v>1139</v>
      </c>
      <c r="J57" s="133"/>
    </row>
    <row r="58" spans="2:10" ht="29">
      <c r="B58" s="351" t="s">
        <v>1122</v>
      </c>
      <c r="C58" s="669"/>
      <c r="D58" s="671">
        <f>'Capacity (national prices)'!E61</f>
        <v>11683.851418226053</v>
      </c>
      <c r="E58" s="671">
        <f>'Capacity (national prices)'!F61</f>
        <v>9756.5845079502797</v>
      </c>
      <c r="F58" s="671">
        <f>'Capacity (national prices)'!G61</f>
        <v>7978.1467465984451</v>
      </c>
      <c r="G58" s="671">
        <f>'Capacity (national prices)'!H61</f>
        <v>6589.5286702764606</v>
      </c>
      <c r="H58" s="671">
        <f>'Capacity (national prices)'!I61</f>
        <v>5998.7739784126188</v>
      </c>
      <c r="I58" s="670" t="s">
        <v>1139</v>
      </c>
      <c r="J58" s="133"/>
    </row>
    <row r="59" spans="2:10" ht="29">
      <c r="B59" s="351" t="s">
        <v>1123</v>
      </c>
      <c r="C59" s="669"/>
      <c r="D59" s="671">
        <f>'Capacity (national prices)'!E62</f>
        <v>69349.351547598577</v>
      </c>
      <c r="E59" s="671">
        <f>'Capacity (national prices)'!F62</f>
        <v>62461.278097341041</v>
      </c>
      <c r="F59" s="671">
        <f>'Capacity (national prices)'!G62</f>
        <v>58451.527754641313</v>
      </c>
      <c r="G59" s="671">
        <f>'Capacity (national prices)'!H62</f>
        <v>54669.738148869197</v>
      </c>
      <c r="H59" s="671">
        <f>'Capacity (national prices)'!I62</f>
        <v>51960.817172651652</v>
      </c>
      <c r="I59" s="670" t="s">
        <v>1139</v>
      </c>
      <c r="J59" s="133"/>
    </row>
    <row r="60" spans="2:10" ht="29">
      <c r="B60" s="351" t="s">
        <v>1124</v>
      </c>
      <c r="C60" s="669"/>
      <c r="D60" s="671">
        <f>'Capacity (national prices)'!E63</f>
        <v>33536.003017230869</v>
      </c>
      <c r="E60" s="671">
        <f>'Capacity (national prices)'!F63</f>
        <v>31028.834451997907</v>
      </c>
      <c r="F60" s="671">
        <f>'Capacity (national prices)'!G63</f>
        <v>29100.726233679667</v>
      </c>
      <c r="G60" s="671">
        <f>'Capacity (national prices)'!H63</f>
        <v>26755.749165659567</v>
      </c>
      <c r="H60" s="671">
        <f>'Capacity (national prices)'!I63</f>
        <v>25198.136326334126</v>
      </c>
      <c r="I60" s="670" t="s">
        <v>1139</v>
      </c>
      <c r="J60" s="133"/>
    </row>
    <row r="61" spans="2:10" ht="29">
      <c r="B61" s="351" t="s">
        <v>1125</v>
      </c>
      <c r="C61" s="669"/>
      <c r="D61" s="671">
        <f>'Capacity (national prices)'!E64</f>
        <v>14191.681922478725</v>
      </c>
      <c r="E61" s="671">
        <f>'Capacity (national prices)'!F64</f>
        <v>13553.448816143688</v>
      </c>
      <c r="F61" s="671">
        <f>'Capacity (national prices)'!G64</f>
        <v>13500.966706271103</v>
      </c>
      <c r="G61" s="671">
        <f>'Capacity (national prices)'!H64</f>
        <v>13459.675870534682</v>
      </c>
      <c r="H61" s="671">
        <f>'Capacity (national prices)'!I64</f>
        <v>13429.684213044926</v>
      </c>
      <c r="I61" s="670" t="s">
        <v>1139</v>
      </c>
      <c r="J61" s="133"/>
    </row>
    <row r="62" spans="2:10">
      <c r="B62" s="351" t="s">
        <v>1173</v>
      </c>
      <c r="C62" s="669"/>
      <c r="D62" s="671">
        <f>'Capacity (national prices)'!E65</f>
        <v>60122.94286507662</v>
      </c>
      <c r="E62" s="671">
        <f>'Capacity (national prices)'!F65</f>
        <v>141059.79180420528</v>
      </c>
      <c r="F62" s="671">
        <f>'Capacity (national prices)'!G65</f>
        <v>196064.4719425776</v>
      </c>
      <c r="G62" s="671">
        <f>'Capacity (national prices)'!H65</f>
        <v>256360.31680487189</v>
      </c>
      <c r="H62" s="671">
        <f>'Capacity (national prices)'!I65</f>
        <v>301219.08899965713</v>
      </c>
      <c r="I62" s="670" t="s">
        <v>1154</v>
      </c>
      <c r="J62" s="133"/>
    </row>
    <row r="63" spans="2:10">
      <c r="B63" s="351" t="s">
        <v>1174</v>
      </c>
      <c r="C63" s="669"/>
      <c r="D63" s="671">
        <f>'Capacity (national prices)'!E66</f>
        <v>46735.405672904213</v>
      </c>
      <c r="E63" s="671">
        <f>'Capacity (national prices)'!F66</f>
        <v>39026.338031801119</v>
      </c>
      <c r="F63" s="671">
        <f>'Capacity (national prices)'!G66</f>
        <v>31912.586986393781</v>
      </c>
      <c r="G63" s="671">
        <f>'Capacity (national prices)'!H66</f>
        <v>26358.114681105842</v>
      </c>
      <c r="H63" s="671">
        <f>'Capacity (national prices)'!I66</f>
        <v>23995.095913650475</v>
      </c>
      <c r="I63" s="670" t="s">
        <v>1154</v>
      </c>
      <c r="J63" s="133"/>
    </row>
    <row r="64" spans="2:10">
      <c r="B64" s="351" t="s">
        <v>1175</v>
      </c>
      <c r="C64" s="669"/>
      <c r="D64" s="671">
        <f>'Capacity (national prices)'!E67</f>
        <v>277397.40619039431</v>
      </c>
      <c r="E64" s="671">
        <f>'Capacity (national prices)'!F67</f>
        <v>249845.11238936416</v>
      </c>
      <c r="F64" s="671">
        <f>'Capacity (national prices)'!G67</f>
        <v>233806.11101856525</v>
      </c>
      <c r="G64" s="671">
        <f>'Capacity (national prices)'!H67</f>
        <v>218678.95259547679</v>
      </c>
      <c r="H64" s="671">
        <f>'Capacity (national prices)'!I67</f>
        <v>207843.26869060661</v>
      </c>
      <c r="I64" s="670" t="s">
        <v>1154</v>
      </c>
      <c r="J64" s="133"/>
    </row>
    <row r="65" spans="2:10">
      <c r="B65" s="351" t="s">
        <v>1176</v>
      </c>
      <c r="C65" s="669"/>
      <c r="D65" s="671">
        <f>'Capacity (national prices)'!E68</f>
        <v>134144.01206892348</v>
      </c>
      <c r="E65" s="671">
        <f>'Capacity (national prices)'!F68</f>
        <v>124115.33780799163</v>
      </c>
      <c r="F65" s="671">
        <f>'Capacity (national prices)'!G68</f>
        <v>116402.90493471867</v>
      </c>
      <c r="G65" s="671">
        <f>'Capacity (national prices)'!H68</f>
        <v>107022.99666263827</v>
      </c>
      <c r="H65" s="671">
        <f>'Capacity (national prices)'!I68</f>
        <v>100792.54530533651</v>
      </c>
      <c r="I65" s="670" t="s">
        <v>1154</v>
      </c>
      <c r="J65" s="133"/>
    </row>
    <row r="66" spans="2:10">
      <c r="B66" s="351" t="s">
        <v>1177</v>
      </c>
      <c r="C66" s="669"/>
      <c r="D66" s="671">
        <f>'Capacity (national prices)'!E69</f>
        <v>56766.7276899149</v>
      </c>
      <c r="E66" s="671">
        <f>'Capacity (national prices)'!F69</f>
        <v>54213.79526457475</v>
      </c>
      <c r="F66" s="671">
        <f>'Capacity (national prices)'!G69</f>
        <v>54003.866825084413</v>
      </c>
      <c r="G66" s="671">
        <f>'Capacity (national prices)'!H69</f>
        <v>53838.703482138728</v>
      </c>
      <c r="H66" s="671">
        <f>'Capacity (national prices)'!I69</f>
        <v>53718.736852179703</v>
      </c>
      <c r="I66" s="670" t="s">
        <v>1154</v>
      </c>
      <c r="J66" s="133"/>
    </row>
    <row r="67" spans="2:10">
      <c r="B67" s="672"/>
      <c r="C67" s="673"/>
      <c r="D67" s="674">
        <f>SUM(D57:D66)</f>
        <v>718958.1181090168</v>
      </c>
      <c r="E67" s="674">
        <f t="shared" ref="E67:H67" si="4">SUM(E57:E66)</f>
        <v>760325.46912242111</v>
      </c>
      <c r="F67" s="674">
        <f t="shared" si="4"/>
        <v>790237.42713417462</v>
      </c>
      <c r="G67" s="674">
        <f t="shared" si="4"/>
        <v>827823.85528278933</v>
      </c>
      <c r="H67" s="674">
        <f t="shared" si="4"/>
        <v>859460.91970178799</v>
      </c>
      <c r="I67" s="675"/>
      <c r="J67" s="133"/>
    </row>
    <row r="68" spans="2:10">
      <c r="B68" s="269"/>
      <c r="C68" s="269"/>
      <c r="D68" s="340"/>
      <c r="E68" s="340"/>
      <c r="F68" s="340"/>
      <c r="G68" s="340"/>
      <c r="H68" s="340"/>
      <c r="I68" s="133"/>
      <c r="J68" s="133"/>
    </row>
    <row r="69" spans="2:10">
      <c r="B69" s="263" t="s">
        <v>163</v>
      </c>
      <c r="C69" s="261"/>
      <c r="D69" s="257"/>
      <c r="E69" s="257"/>
      <c r="F69" s="257"/>
      <c r="G69" s="257"/>
      <c r="H69" s="258"/>
      <c r="I69" s="133"/>
      <c r="J69" s="133"/>
    </row>
    <row r="70" spans="2:10" hidden="1">
      <c r="B70" s="265" t="s">
        <v>1013</v>
      </c>
      <c r="C70" s="266"/>
      <c r="D70" s="182" t="e">
        <f>'Capacity (local prices)'!E39</f>
        <v>#REF!</v>
      </c>
      <c r="E70" s="182" t="e">
        <f>'Capacity (local prices)'!F39</f>
        <v>#REF!</v>
      </c>
      <c r="F70" s="182" t="e">
        <f>'Capacity (local prices)'!G39</f>
        <v>#REF!</v>
      </c>
      <c r="G70" s="182" t="e">
        <f>'Capacity (local prices)'!H39</f>
        <v>#REF!</v>
      </c>
      <c r="H70" s="182" t="e">
        <f>'Capacity (local prices)'!I39</f>
        <v>#REF!</v>
      </c>
      <c r="I70" s="133"/>
      <c r="J70" s="133"/>
    </row>
    <row r="71" spans="2:10">
      <c r="B71" s="265" t="s">
        <v>1015</v>
      </c>
      <c r="C71" s="266"/>
      <c r="D71" s="182">
        <f>'Capacity (national prices)'!E49</f>
        <v>1472.1997927164193</v>
      </c>
      <c r="E71" s="182">
        <f>'Capacity (national prices)'!F49</f>
        <v>4430.7940450992901</v>
      </c>
      <c r="F71" s="182">
        <f>'Capacity (national prices)'!G49</f>
        <v>7735.7758125094697</v>
      </c>
      <c r="G71" s="182">
        <f>'Capacity (national prices)'!H49</f>
        <v>11390.484896674752</v>
      </c>
      <c r="H71" s="182">
        <f>'Capacity (national prices)'!I49</f>
        <v>15398.293301048223</v>
      </c>
      <c r="I71" s="133"/>
      <c r="J71" s="133"/>
    </row>
    <row r="72" spans="2:10">
      <c r="B72" s="265" t="s">
        <v>164</v>
      </c>
      <c r="C72" s="266"/>
      <c r="D72" s="182">
        <f>'Capacity (national prices)'!E56</f>
        <v>29468.802826938918</v>
      </c>
      <c r="E72" s="182">
        <f>'Capacity (national prices)'!F56</f>
        <v>70836.153840343119</v>
      </c>
      <c r="F72" s="182">
        <f>'Capacity (national prices)'!G56</f>
        <v>100748.11185209674</v>
      </c>
      <c r="G72" s="182">
        <f>'Capacity (national prices)'!H56</f>
        <v>138334.54000071145</v>
      </c>
      <c r="H72" s="182">
        <f>'Capacity (national prices)'!I56</f>
        <v>169971.60441971023</v>
      </c>
      <c r="I72" s="133"/>
      <c r="J72" s="133"/>
    </row>
    <row r="73" spans="2:10">
      <c r="B73" s="265" t="s">
        <v>165</v>
      </c>
      <c r="C73" s="266"/>
      <c r="D73" s="182">
        <f>'Capacity (national prices)'!E71</f>
        <v>29468.802826938918</v>
      </c>
      <c r="E73" s="182">
        <f>'Capacity (national prices)'!F71</f>
        <v>70836.153840343235</v>
      </c>
      <c r="F73" s="182">
        <f>'Capacity (national prices)'!G71</f>
        <v>100748.11185209674</v>
      </c>
      <c r="G73" s="182">
        <f>'Capacity (national prices)'!H71</f>
        <v>138334.54000071145</v>
      </c>
      <c r="H73" s="182">
        <f>'Capacity (national prices)'!I71</f>
        <v>169971.60441971011</v>
      </c>
      <c r="I73" s="133"/>
      <c r="J73" s="133"/>
    </row>
    <row r="74" spans="2:10">
      <c r="I74" s="133"/>
      <c r="J74" s="133"/>
    </row>
    <row r="75" spans="2:10">
      <c r="B75" s="263" t="s">
        <v>166</v>
      </c>
      <c r="C75" s="264"/>
      <c r="D75" s="257"/>
      <c r="E75" s="257"/>
      <c r="F75" s="257"/>
      <c r="G75" s="257"/>
      <c r="H75" s="258"/>
      <c r="I75" s="133"/>
      <c r="J75" s="133"/>
    </row>
    <row r="76" spans="2:10">
      <c r="B76" s="265" t="s">
        <v>167</v>
      </c>
      <c r="C76" s="266"/>
      <c r="D76" s="182">
        <f>'Capacity (national prices)'!E82</f>
        <v>-11421.218938601698</v>
      </c>
      <c r="E76" s="182">
        <f>'Capacity (national prices)'!F82</f>
        <v>-26372.146478728304</v>
      </c>
      <c r="F76" s="182">
        <f>'Capacity (national prices)'!G82</f>
        <v>-36083.119519031316</v>
      </c>
      <c r="G76" s="182">
        <f>'Capacity (national prices)'!H82</f>
        <v>-45528.964001344575</v>
      </c>
      <c r="H76" s="182">
        <f>'Capacity (national prices)'!I82</f>
        <v>-51638.064207465315</v>
      </c>
      <c r="I76" s="133"/>
      <c r="J76" s="133"/>
    </row>
    <row r="77" spans="2:10">
      <c r="B77" s="265" t="s">
        <v>168</v>
      </c>
      <c r="C77" s="266"/>
      <c r="D77" s="182">
        <f>'Capacity (national prices)'!E92</f>
        <v>-11421.218938601698</v>
      </c>
      <c r="E77" s="182">
        <f>'Capacity (national prices)'!F92</f>
        <v>-26372.146478728304</v>
      </c>
      <c r="F77" s="182">
        <f>'Capacity (national prices)'!G92</f>
        <v>-36083.119519031316</v>
      </c>
      <c r="G77" s="182">
        <f>'Capacity (national prices)'!H92</f>
        <v>-45528.964001344575</v>
      </c>
      <c r="H77" s="182">
        <f>'Capacity (national prices)'!I92</f>
        <v>-51638.064207465315</v>
      </c>
      <c r="I77" s="133"/>
      <c r="J77" s="133"/>
    </row>
    <row r="78" spans="2:10">
      <c r="B78" s="265" t="s">
        <v>169</v>
      </c>
      <c r="C78" s="266"/>
      <c r="D78" s="182">
        <f>'Capacity (national prices)'!E102</f>
        <v>-11421.218938601698</v>
      </c>
      <c r="E78" s="182">
        <f>'Capacity (national prices)'!F102</f>
        <v>-26372.146478728304</v>
      </c>
      <c r="F78" s="182">
        <f>'Capacity (national prices)'!G102</f>
        <v>-36083.119519031316</v>
      </c>
      <c r="G78" s="182">
        <f>'Capacity (national prices)'!H102</f>
        <v>-45528.964001344575</v>
      </c>
      <c r="H78" s="182">
        <f>'Capacity (national prices)'!I102</f>
        <v>-51638.064207465315</v>
      </c>
      <c r="I78" s="133"/>
      <c r="J78" s="133"/>
    </row>
    <row r="79" spans="2:10">
      <c r="I79" s="133"/>
      <c r="J79" s="133"/>
    </row>
    <row r="80" spans="2:10">
      <c r="B80" s="263" t="s">
        <v>170</v>
      </c>
      <c r="C80" s="264"/>
      <c r="D80" s="257"/>
      <c r="E80" s="257"/>
      <c r="F80" s="257"/>
      <c r="G80" s="257"/>
      <c r="H80" s="258"/>
      <c r="I80" s="133"/>
      <c r="J80" s="133"/>
    </row>
    <row r="81" spans="2:10" hidden="1">
      <c r="B81" s="347" t="s">
        <v>171</v>
      </c>
      <c r="C81" s="270"/>
      <c r="D81" s="382" t="e">
        <f>#REF!</f>
        <v>#REF!</v>
      </c>
      <c r="E81" s="182" t="e">
        <f>#REF!</f>
        <v>#REF!</v>
      </c>
      <c r="F81" s="182" t="e">
        <f>#REF!</f>
        <v>#REF!</v>
      </c>
      <c r="G81" s="182" t="e">
        <f>#REF!</f>
        <v>#REF!</v>
      </c>
      <c r="H81" s="182" t="e">
        <f>#REF!</f>
        <v>#REF!</v>
      </c>
      <c r="I81" s="133"/>
      <c r="J81" s="133"/>
    </row>
    <row r="82" spans="2:10" hidden="1">
      <c r="B82" s="347" t="s">
        <v>172</v>
      </c>
      <c r="C82" s="270"/>
      <c r="D82" s="382" t="e">
        <f>#REF!</f>
        <v>#REF!</v>
      </c>
      <c r="E82" s="182" t="e">
        <f>#REF!</f>
        <v>#REF!</v>
      </c>
      <c r="F82" s="182" t="e">
        <f>#REF!</f>
        <v>#REF!</v>
      </c>
      <c r="G82" s="182" t="e">
        <f>#REF!</f>
        <v>#REF!</v>
      </c>
      <c r="H82" s="182" t="e">
        <f>#REF!</f>
        <v>#REF!</v>
      </c>
      <c r="I82" s="133"/>
    </row>
    <row r="83" spans="2:10" ht="14.5" hidden="1" customHeight="1">
      <c r="B83" s="347" t="s">
        <v>173</v>
      </c>
      <c r="C83" s="270"/>
      <c r="D83" s="382" t="e">
        <f>#REF!</f>
        <v>#REF!</v>
      </c>
      <c r="E83" s="182" t="e">
        <f>#REF!</f>
        <v>#REF!</v>
      </c>
      <c r="F83" s="182" t="e">
        <f>#REF!</f>
        <v>#REF!</v>
      </c>
      <c r="G83" s="182" t="e">
        <f>#REF!</f>
        <v>#REF!</v>
      </c>
      <c r="H83" s="182" t="e">
        <f>#REF!</f>
        <v>#REF!</v>
      </c>
      <c r="I83" s="133"/>
      <c r="J83" s="133"/>
    </row>
    <row r="84" spans="2:10" ht="14.5" hidden="1" customHeight="1">
      <c r="B84" s="347" t="s">
        <v>174</v>
      </c>
      <c r="C84" s="270"/>
      <c r="D84" s="382" t="e">
        <f>#REF!</f>
        <v>#REF!</v>
      </c>
      <c r="E84" s="182" t="e">
        <f>#REF!</f>
        <v>#REF!</v>
      </c>
      <c r="F84" s="182" t="e">
        <f>#REF!</f>
        <v>#REF!</v>
      </c>
      <c r="G84" s="182" t="e">
        <f>#REF!</f>
        <v>#REF!</v>
      </c>
      <c r="H84" s="182" t="e">
        <f>#REF!</f>
        <v>#REF!</v>
      </c>
      <c r="I84" s="133"/>
      <c r="J84" s="133"/>
    </row>
    <row r="85" spans="2:10">
      <c r="B85" s="347" t="s">
        <v>175</v>
      </c>
      <c r="C85" s="270"/>
      <c r="D85" s="382">
        <f>'Capacity (national prices)'!E145</f>
        <v>0</v>
      </c>
      <c r="E85" s="382">
        <f>'Capacity (national prices)'!F145</f>
        <v>0</v>
      </c>
      <c r="F85" s="382">
        <f>'Capacity (national prices)'!G145</f>
        <v>0</v>
      </c>
      <c r="G85" s="382">
        <f>'Capacity (national prices)'!H145</f>
        <v>0</v>
      </c>
      <c r="H85" s="382">
        <f>'Capacity (national prices)'!I145</f>
        <v>0</v>
      </c>
      <c r="I85" s="133"/>
      <c r="J85" s="133"/>
    </row>
    <row r="86" spans="2:10">
      <c r="I86" s="133"/>
      <c r="J86" s="133"/>
    </row>
    <row r="87" spans="2:10">
      <c r="B87" s="263" t="s">
        <v>176</v>
      </c>
      <c r="C87" s="264"/>
      <c r="D87" s="257"/>
      <c r="E87" s="257"/>
      <c r="F87" s="257"/>
      <c r="G87" s="257"/>
      <c r="H87" s="258"/>
      <c r="I87" s="133"/>
      <c r="J87" s="133"/>
    </row>
    <row r="88" spans="2:10">
      <c r="B88" s="347" t="s">
        <v>177</v>
      </c>
      <c r="C88" s="270"/>
      <c r="D88" s="382">
        <f>'Capacity (national prices)'!E157</f>
        <v>0</v>
      </c>
      <c r="E88" s="382">
        <f>'Capacity (national prices)'!F157</f>
        <v>0</v>
      </c>
      <c r="F88" s="382">
        <f>'Capacity (national prices)'!G157</f>
        <v>0</v>
      </c>
      <c r="G88" s="382">
        <f>'Capacity (national prices)'!H157</f>
        <v>0</v>
      </c>
      <c r="H88" s="382">
        <f>'Capacity (national prices)'!I157</f>
        <v>0</v>
      </c>
      <c r="I88" s="133"/>
      <c r="J88" s="133"/>
    </row>
    <row r="89" spans="2:10">
      <c r="I89" s="133"/>
      <c r="J89" s="133"/>
    </row>
    <row r="90" spans="2:10">
      <c r="B90" s="263" t="s">
        <v>178</v>
      </c>
      <c r="C90" s="264"/>
      <c r="D90" s="257"/>
      <c r="E90" s="257"/>
      <c r="F90" s="257"/>
      <c r="G90" s="257"/>
      <c r="H90" s="258"/>
      <c r="I90" s="133"/>
      <c r="J90" s="133"/>
    </row>
    <row r="91" spans="2:10">
      <c r="B91" s="265" t="s">
        <v>1021</v>
      </c>
      <c r="C91" s="266"/>
      <c r="D91" s="382">
        <f>'Capacity (national prices)'!E169</f>
        <v>2760.3746113433735</v>
      </c>
      <c r="E91" s="382">
        <f>'Capacity (national prices)'!F169</f>
        <v>8307.7388345613144</v>
      </c>
      <c r="F91" s="382">
        <f>'Capacity (national prices)'!G169</f>
        <v>14504.579648455256</v>
      </c>
      <c r="G91" s="382">
        <f>'Capacity (national prices)'!H169</f>
        <v>21357.159181265277</v>
      </c>
      <c r="H91" s="382">
        <f>'Capacity (national prices)'!I169</f>
        <v>28871.79993946536</v>
      </c>
      <c r="I91" s="133"/>
      <c r="J91" s="133"/>
    </row>
    <row r="92" spans="2:10">
      <c r="B92" s="265" t="s">
        <v>1140</v>
      </c>
      <c r="C92" s="266"/>
      <c r="D92" s="382">
        <f>'Capacity (national prices)'!E180</f>
        <v>736.09989635820966</v>
      </c>
      <c r="E92" s="382">
        <f>'Capacity (national prices)'!F180</f>
        <v>2215.397022549645</v>
      </c>
      <c r="F92" s="382">
        <f>'Capacity (national prices)'!G180</f>
        <v>3867.8879062547348</v>
      </c>
      <c r="G92" s="382">
        <f>'Capacity (national prices)'!H180</f>
        <v>5695.2424483373761</v>
      </c>
      <c r="H92" s="382">
        <f>'Capacity (national prices)'!I180</f>
        <v>7699.1466505241115</v>
      </c>
      <c r="I92" s="133"/>
      <c r="J92" s="133"/>
    </row>
    <row r="93" spans="2:10">
      <c r="B93" s="265" t="s">
        <v>1141</v>
      </c>
      <c r="C93" s="266"/>
      <c r="D93" s="382">
        <f>'Capacity (national prices)'!E191</f>
        <v>2760.3746113433735</v>
      </c>
      <c r="E93" s="382">
        <f>'Capacity (national prices)'!F191</f>
        <v>8307.7388345613144</v>
      </c>
      <c r="F93" s="382">
        <f>'Capacity (national prices)'!G191</f>
        <v>14504.579648455256</v>
      </c>
      <c r="G93" s="382">
        <f>'Capacity (national prices)'!H191</f>
        <v>21357.159181265277</v>
      </c>
      <c r="H93" s="382">
        <f>'Capacity (national prices)'!I191</f>
        <v>28871.79993946536</v>
      </c>
      <c r="I93" s="133"/>
      <c r="J93" s="133"/>
    </row>
    <row r="94" spans="2:10">
      <c r="B94" s="265" t="s">
        <v>1142</v>
      </c>
      <c r="C94" s="266"/>
      <c r="D94" s="382">
        <f>'Capacity (national prices)'!E202</f>
        <v>2760.3746113433735</v>
      </c>
      <c r="E94" s="382">
        <f>'Capacity (national prices)'!F202</f>
        <v>8307.7388345613144</v>
      </c>
      <c r="F94" s="382">
        <f>'Capacity (national prices)'!G202</f>
        <v>14504.579648455256</v>
      </c>
      <c r="G94" s="382">
        <f>'Capacity (national prices)'!H202</f>
        <v>21357.159181265277</v>
      </c>
      <c r="H94" s="382">
        <f>'Capacity (national prices)'!I202</f>
        <v>28871.79993946536</v>
      </c>
      <c r="I94" s="133"/>
      <c r="J94" s="133"/>
    </row>
    <row r="95" spans="2:10">
      <c r="B95" s="265" t="s">
        <v>1143</v>
      </c>
      <c r="C95" s="266"/>
      <c r="D95" s="382">
        <f>'Capacity (national prices)'!E213</f>
        <v>2760.3746113433735</v>
      </c>
      <c r="E95" s="382">
        <f>'Capacity (national prices)'!F213</f>
        <v>8307.7388345613144</v>
      </c>
      <c r="F95" s="382">
        <f>'Capacity (national prices)'!G213</f>
        <v>14504.579648455256</v>
      </c>
      <c r="G95" s="382">
        <f>'Capacity (national prices)'!H213</f>
        <v>21357.159181265277</v>
      </c>
      <c r="H95" s="382">
        <f>'Capacity (national prices)'!I213</f>
        <v>28871.79993946536</v>
      </c>
      <c r="I95" s="133"/>
      <c r="J95" s="133"/>
    </row>
    <row r="96" spans="2:10">
      <c r="I96" s="133"/>
      <c r="J96" s="133"/>
    </row>
    <row r="97" spans="2:14">
      <c r="B97" s="263" t="s">
        <v>179</v>
      </c>
      <c r="C97" s="261"/>
      <c r="D97" s="257"/>
      <c r="E97" s="257"/>
      <c r="F97" s="257"/>
      <c r="G97" s="257"/>
      <c r="H97" s="258"/>
      <c r="I97" s="133"/>
      <c r="J97" s="133"/>
    </row>
    <row r="98" spans="2:14">
      <c r="B98" s="265" t="s">
        <v>180</v>
      </c>
      <c r="C98" s="266"/>
      <c r="D98" s="382">
        <f>'Capacity (national prices)'!E225</f>
        <v>-448.08195999727832</v>
      </c>
      <c r="E98" s="382">
        <f>'Capacity (national prices)'!F225</f>
        <v>-1020.9230431721026</v>
      </c>
      <c r="F98" s="382">
        <f>'Capacity (national prices)'!G225</f>
        <v>-1351.3466692914026</v>
      </c>
      <c r="G98" s="382">
        <f>'Capacity (national prices)'!H225</f>
        <v>-1672.7659815360894</v>
      </c>
      <c r="H98" s="382">
        <f>'Capacity (national prices)'!I225</f>
        <v>-1870.448692607024</v>
      </c>
      <c r="I98" s="133"/>
      <c r="J98" s="133"/>
    </row>
    <row r="99" spans="2:14">
      <c r="B99" s="269"/>
      <c r="C99" s="269"/>
      <c r="D99" s="256"/>
      <c r="E99" s="256"/>
      <c r="F99" s="256"/>
      <c r="G99" s="256"/>
      <c r="H99" s="256"/>
      <c r="I99" s="133"/>
      <c r="J99" s="133"/>
    </row>
    <row r="101" spans="2:14">
      <c r="D101" s="821"/>
      <c r="E101" s="822"/>
      <c r="F101" s="822"/>
      <c r="G101" s="822"/>
      <c r="H101" s="822"/>
      <c r="I101" s="822"/>
      <c r="J101" s="822"/>
      <c r="K101" s="822"/>
      <c r="L101" s="822"/>
      <c r="M101" s="822"/>
      <c r="N101" s="822"/>
    </row>
    <row r="102" spans="2:14">
      <c r="D102" s="822"/>
      <c r="E102" s="822"/>
      <c r="F102" s="822"/>
      <c r="G102" s="822"/>
      <c r="H102" s="822"/>
      <c r="I102" s="822"/>
      <c r="J102" s="822"/>
      <c r="K102" s="822"/>
      <c r="L102" s="822"/>
      <c r="M102" s="822"/>
      <c r="N102" s="822"/>
    </row>
    <row r="103" spans="2:14">
      <c r="D103" s="821"/>
      <c r="E103" s="822"/>
      <c r="F103" s="822"/>
      <c r="G103" s="822"/>
      <c r="H103" s="822"/>
      <c r="I103" s="822"/>
      <c r="J103" s="822"/>
      <c r="K103" s="822"/>
      <c r="L103" s="822"/>
      <c r="M103" s="822"/>
      <c r="N103" s="822"/>
    </row>
  </sheetData>
  <sheetProtection algorithmName="SHA-512" hashValue="9iZchXSCTMtFyGWNAFLZkRLq6xDN+N+NIyseG7g1sCWTzf7q3/LtwQIkAP3wlm4ZxYGrY+qI5Q8JPf/H5iMMvQ==" saltValue="Nm1iGCC4l7ut6ca1DuobSQ==" spinCount="100000" sheet="1" objects="1" scenarios="1"/>
  <mergeCells count="2">
    <mergeCell ref="D101:N102"/>
    <mergeCell ref="D103:N10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12E6311-74C6-41EC-8C65-686A8A45E1BA}">
          <x14:formula1>
            <xm:f>'Population selection'!$S$5:$S$6</xm:f>
          </x14:formula1>
          <xm:sqref>B39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B1E1-1201-4B1E-9557-5B35097DB6FC}">
  <sheetPr>
    <tabColor theme="8" tint="-0.499984740745262"/>
    <pageSetUpPr fitToPage="1"/>
  </sheetPr>
  <dimension ref="B1:AH51"/>
  <sheetViews>
    <sheetView showGridLines="0" zoomScale="80" zoomScaleNormal="80" zoomScaleSheetLayoutView="80" workbookViewId="0">
      <selection activeCell="L25" sqref="L25"/>
    </sheetView>
  </sheetViews>
  <sheetFormatPr defaultColWidth="8.81640625" defaultRowHeight="14.5"/>
  <cols>
    <col min="1" max="1" width="3.54296875" customWidth="1"/>
    <col min="2" max="2" width="76.81640625" style="1" customWidth="1"/>
    <col min="3" max="3" width="11.54296875" customWidth="1"/>
    <col min="4" max="8" width="11.726562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30" customHeight="1">
      <c r="B1" s="739" t="str">
        <f>'Unit costs'!B1</f>
        <v>Relugolix for treating hormone-sensitive prostate cancer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5" customHeight="1">
      <c r="B2" s="380" t="s">
        <v>727</v>
      </c>
      <c r="C2" s="127" t="s">
        <v>106</v>
      </c>
      <c r="D2" s="127" t="s">
        <v>106</v>
      </c>
      <c r="E2" s="127" t="s">
        <v>106</v>
      </c>
      <c r="F2" s="127" t="s">
        <v>106</v>
      </c>
      <c r="G2" s="127" t="s">
        <v>106</v>
      </c>
      <c r="H2" s="127"/>
      <c r="I2" s="127" t="s">
        <v>106</v>
      </c>
      <c r="J2" s="127" t="s">
        <v>106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>
      <c r="B3" s="130" t="s">
        <v>106</v>
      </c>
      <c r="C3" s="133" t="s">
        <v>106</v>
      </c>
      <c r="D3" s="133" t="s">
        <v>106</v>
      </c>
      <c r="E3" s="133" t="s">
        <v>106</v>
      </c>
      <c r="F3" s="133" t="s">
        <v>106</v>
      </c>
      <c r="G3" s="133" t="s">
        <v>106</v>
      </c>
      <c r="H3" s="133" t="s">
        <v>106</v>
      </c>
      <c r="I3" s="133" t="s">
        <v>106</v>
      </c>
      <c r="J3" s="133" t="s">
        <v>106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45" customFormat="1">
      <c r="B4" s="250" t="s">
        <v>728</v>
      </c>
      <c r="F4" s="133"/>
      <c r="G4" s="133"/>
      <c r="H4" s="133"/>
      <c r="I4" s="133"/>
      <c r="J4" s="133" t="s">
        <v>106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45" customFormat="1">
      <c r="B5" s="250" t="s">
        <v>729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45" customFormat="1">
      <c r="B6" s="250"/>
      <c r="C6" s="133" t="s">
        <v>106</v>
      </c>
      <c r="D6" s="133" t="s">
        <v>106</v>
      </c>
      <c r="E6" s="133"/>
      <c r="F6" s="133"/>
      <c r="G6" s="133"/>
      <c r="H6" s="133"/>
      <c r="I6" s="133" t="s">
        <v>106</v>
      </c>
      <c r="J6" s="133" t="s">
        <v>106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45" customFormat="1" ht="43.5">
      <c r="B7" s="260" t="s">
        <v>1046</v>
      </c>
      <c r="C7" s="271"/>
      <c r="D7" s="425" t="s">
        <v>730</v>
      </c>
      <c r="E7" s="272" t="s">
        <v>50</v>
      </c>
      <c r="F7" s="272" t="s">
        <v>51</v>
      </c>
      <c r="G7" s="273" t="s">
        <v>731</v>
      </c>
      <c r="H7" s="273" t="s">
        <v>732</v>
      </c>
      <c r="I7" s="272" t="s">
        <v>733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245" customFormat="1">
      <c r="B8" s="167" t="s">
        <v>1151</v>
      </c>
      <c r="C8" s="794"/>
      <c r="D8" s="128">
        <f>'Inputs and eligible population'!F28</f>
        <v>29930.551874040539</v>
      </c>
      <c r="E8" s="128">
        <f>'Inputs and eligible population'!G44</f>
        <v>30219.136492499172</v>
      </c>
      <c r="F8" s="128">
        <f>'Inputs and eligible population'!H44</f>
        <v>30510.503588286039</v>
      </c>
      <c r="G8" s="128">
        <f>'Inputs and eligible population'!I44</f>
        <v>30804.679989511806</v>
      </c>
      <c r="H8" s="128">
        <f>'Inputs and eligible population'!J44</f>
        <v>31101.69278295862</v>
      </c>
      <c r="I8" s="128">
        <f>'Inputs and eligible population'!K44</f>
        <v>31401.569316574169</v>
      </c>
      <c r="K8" s="133"/>
      <c r="L8" s="133"/>
      <c r="N8" s="133"/>
      <c r="O8" s="133"/>
      <c r="P8" s="133"/>
      <c r="Q8" s="133"/>
      <c r="R8" s="133"/>
      <c r="S8" s="133"/>
      <c r="T8" s="133"/>
    </row>
    <row r="9" spans="2:34" s="245" customFormat="1">
      <c r="B9" s="167" t="s">
        <v>1152</v>
      </c>
      <c r="C9" s="794"/>
      <c r="D9" s="128">
        <f>'Inputs and eligible population'!F29</f>
        <v>8241.746168214062</v>
      </c>
      <c r="E9" s="128">
        <f>'Inputs and eligible population'!G45</f>
        <v>8321.2114979345552</v>
      </c>
      <c r="F9" s="128">
        <f>'Inputs and eligible population'!H45</f>
        <v>8401.4430170642718</v>
      </c>
      <c r="G9" s="128">
        <f>'Inputs and eligible population'!I45</f>
        <v>8482.4481130539752</v>
      </c>
      <c r="H9" s="128">
        <f>'Inputs and eligible population'!J45</f>
        <v>8564.234244582809</v>
      </c>
      <c r="I9" s="128">
        <f>'Inputs and eligible population'!K45</f>
        <v>8646.8089422450612</v>
      </c>
      <c r="K9" s="133"/>
      <c r="L9" s="133"/>
      <c r="N9" s="133"/>
      <c r="O9" s="133"/>
      <c r="P9" s="133"/>
      <c r="Q9" s="133"/>
      <c r="R9" s="133"/>
      <c r="S9" s="133"/>
      <c r="T9" s="133"/>
    </row>
    <row r="10" spans="2:34" s="148" customFormat="1">
      <c r="B10" s="228" t="s">
        <v>1069</v>
      </c>
      <c r="C10" s="183"/>
      <c r="D10" s="182">
        <f>'Inputs and eligible population'!F46</f>
        <v>38172.298042254602</v>
      </c>
      <c r="E10" s="182">
        <f>'Inputs and eligible population'!G46</f>
        <v>38540.347990433729</v>
      </c>
      <c r="F10" s="182">
        <f>'Inputs and eligible population'!H46</f>
        <v>38911.946605350313</v>
      </c>
      <c r="G10" s="182">
        <f>'Inputs and eligible population'!I46</f>
        <v>39287.128102565781</v>
      </c>
      <c r="H10" s="182">
        <f>'Inputs and eligible population'!J46</f>
        <v>39665.927027541431</v>
      </c>
      <c r="I10" s="182">
        <f>'Inputs and eligible population'!K46</f>
        <v>40048.378258819226</v>
      </c>
      <c r="K10" s="133"/>
      <c r="L10" s="133"/>
    </row>
    <row r="11" spans="2:34" s="245" customFormat="1">
      <c r="B11" s="247" t="s">
        <v>106</v>
      </c>
      <c r="C11" s="133" t="s">
        <v>106</v>
      </c>
      <c r="D11" s="133" t="s">
        <v>106</v>
      </c>
      <c r="E11" s="133" t="s">
        <v>106</v>
      </c>
      <c r="F11" s="133" t="s">
        <v>106</v>
      </c>
      <c r="G11" s="133" t="s">
        <v>106</v>
      </c>
      <c r="H11" s="133"/>
      <c r="I11" s="133"/>
      <c r="K11" s="133"/>
      <c r="L11" s="133"/>
      <c r="N11" s="133"/>
      <c r="O11" s="133"/>
      <c r="P11" s="133"/>
      <c r="Q11" s="133"/>
      <c r="R11" s="133"/>
      <c r="S11" s="133"/>
      <c r="T11" s="133"/>
      <c r="AD11" s="274"/>
      <c r="AE11" s="274"/>
      <c r="AF11" s="274"/>
      <c r="AG11" s="274"/>
      <c r="AH11" s="274"/>
    </row>
    <row r="12" spans="2:34">
      <c r="B12" s="343" t="s">
        <v>1095</v>
      </c>
      <c r="C12" s="344"/>
      <c r="D12" s="345"/>
      <c r="E12" s="345"/>
      <c r="F12" s="345"/>
      <c r="G12" s="345"/>
      <c r="H12" s="345"/>
      <c r="I12" s="346"/>
    </row>
    <row r="13" spans="2:34">
      <c r="B13" s="247"/>
      <c r="C13" s="133"/>
      <c r="D13" s="133"/>
      <c r="E13" s="133"/>
      <c r="F13" s="133"/>
      <c r="G13" s="133"/>
      <c r="H13" s="133"/>
      <c r="I13" s="133"/>
    </row>
    <row r="14" spans="2:34">
      <c r="B14" s="279" t="s">
        <v>1192</v>
      </c>
      <c r="C14" s="275"/>
      <c r="D14" s="184"/>
      <c r="E14" s="184"/>
      <c r="F14" s="184"/>
      <c r="G14" s="184"/>
      <c r="H14" s="184"/>
      <c r="I14" s="185"/>
    </row>
    <row r="15" spans="2:34">
      <c r="B15" s="351" t="s">
        <v>1080</v>
      </c>
      <c r="C15" s="352"/>
      <c r="D15" s="276">
        <f>(D$8*'Inputs and eligible population'!E69)*2</f>
        <v>0</v>
      </c>
      <c r="E15" s="276">
        <f>(D$8*'Inputs and eligible population'!E69)+(E$8*'Inputs and eligible population'!F69)</f>
        <v>4532.8704738748756</v>
      </c>
      <c r="F15" s="276">
        <f>(E$8*'Inputs and eligible population'!F69)+(F$8*'Inputs and eligible population'!G69)</f>
        <v>10634.971191532084</v>
      </c>
      <c r="G15" s="276">
        <f>(F$8*'Inputs and eligible population'!G69)+(G$8*'Inputs and eligible population'!H69)</f>
        <v>13803.27071503516</v>
      </c>
      <c r="H15" s="276">
        <f>(G$8*'Inputs and eligible population'!H69)+(H$8*'Inputs and eligible population'!I69)</f>
        <v>17031.677832265537</v>
      </c>
      <c r="I15" s="276">
        <f>(H$8*'Inputs and eligible population'!I69)+(I$8*'Inputs and eligible population'!J69)</f>
        <v>18750.978629859834</v>
      </c>
    </row>
    <row r="16" spans="2:34">
      <c r="B16" s="351" t="s">
        <v>1081</v>
      </c>
      <c r="C16" s="676"/>
      <c r="D16" s="276">
        <f>(D$8*'Inputs and eligible population'!E70)*2</f>
        <v>2993.0551874040539</v>
      </c>
      <c r="E16" s="276">
        <f>(D$8*'Inputs and eligible population'!E70)+(E$8*'Inputs and eligible population'!F70)</f>
        <v>2554.1973709394979</v>
      </c>
      <c r="F16" s="276">
        <f>(E$8*'Inputs and eligible population'!F70)+(F$8*'Inputs and eligible population'!G70)</f>
        <v>1972.9848848860524</v>
      </c>
      <c r="G16" s="276">
        <f>(F$8*'Inputs and eligible population'!G70)+(G$8*'Inputs and eligible population'!H70)</f>
        <v>1531.4087074388171</v>
      </c>
      <c r="H16" s="276">
        <f>(G$8*'Inputs and eligible population'!H70)+(H$8*'Inputs and eligible population'!I70)</f>
        <v>1238.1274554494084</v>
      </c>
      <c r="I16" s="276">
        <f>(H$8*'Inputs and eligible population'!I70)+(I$8*'Inputs and eligible population'!J70)</f>
        <v>1250.065241990656</v>
      </c>
    </row>
    <row r="17" spans="2:9">
      <c r="B17" s="351" t="s">
        <v>1082</v>
      </c>
      <c r="C17" s="352"/>
      <c r="D17" s="276">
        <f>(D$8*'Inputs and eligible population'!E71)*2</f>
        <v>25859.996819171029</v>
      </c>
      <c r="E17" s="276">
        <f>(D$8*'Inputs and eligible population'!E71)+(E$8*'Inputs and eligible population'!F71)</f>
        <v>23506.696181960222</v>
      </c>
      <c r="F17" s="276">
        <f>(E$8*'Inputs and eligible population'!F71)+(F$8*'Inputs and eligible population'!G71)</f>
        <v>20340.058920626245</v>
      </c>
      <c r="G17" s="276">
        <f>(F$8*'Inputs and eligible population'!G71)+(G$8*'Inputs and eligible population'!H71)</f>
        <v>19004.765145105077</v>
      </c>
      <c r="H17" s="276">
        <f>(G$8*'Inputs and eligible population'!H71)+(H$8*'Inputs and eligible population'!I71)</f>
        <v>17949.877976081956</v>
      </c>
      <c r="I17" s="276">
        <f>(H$8*'Inputs and eligible population'!I71)+(I$8*'Inputs and eligible population'!J71)</f>
        <v>17500.913387869183</v>
      </c>
    </row>
    <row r="18" spans="2:9">
      <c r="B18" s="351" t="s">
        <v>1083</v>
      </c>
      <c r="C18" s="676"/>
      <c r="D18" s="276">
        <f>(D$8*'Inputs and eligible population'!E72)*2</f>
        <v>16521.66463447038</v>
      </c>
      <c r="E18" s="276">
        <f>(D$8*'Inputs and eligible population'!E72)+(E$8*'Inputs and eligible population'!F72)</f>
        <v>15362.329392972495</v>
      </c>
      <c r="F18" s="276">
        <f>(E$8*'Inputs and eligible population'!F72)+(F$8*'Inputs and eligible population'!G72)</f>
        <v>13813.807865160234</v>
      </c>
      <c r="G18" s="276">
        <f>(F$8*'Inputs and eligible population'!G72)+(G$8*'Inputs and eligible population'!H72)</f>
        <v>12873.24678732529</v>
      </c>
      <c r="H18" s="276">
        <f>(G$8*'Inputs and eligible population'!H72)+(H$8*'Inputs and eligible population'!I72)</f>
        <v>11759.240698834912</v>
      </c>
      <c r="I18" s="276">
        <f>(H$8*'Inputs and eligible population'!I72)+(I$8*'Inputs and eligible population'!J72)</f>
        <v>11250.587177915902</v>
      </c>
    </row>
    <row r="19" spans="2:9">
      <c r="B19" s="351" t="s">
        <v>1084</v>
      </c>
      <c r="C19" s="676"/>
      <c r="D19" s="276">
        <f>(D$8*'Inputs and eligible population'!E73)*2</f>
        <v>5507.2215448234592</v>
      </c>
      <c r="E19" s="276">
        <f>(D$8*'Inputs and eligible population'!E73)+(E$8*'Inputs and eligible population'!F73)</f>
        <v>5171.1416918116629</v>
      </c>
      <c r="F19" s="276">
        <f>(E$8*'Inputs and eligible population'!F73)+(F$8*'Inputs and eligible population'!G73)</f>
        <v>4858.3712064628171</v>
      </c>
      <c r="G19" s="276">
        <f>(F$8*'Inputs and eligible population'!G73)+(G$8*'Inputs and eligible population'!H73)</f>
        <v>4905.2146862238278</v>
      </c>
      <c r="H19" s="276">
        <f>(G$8*'Inputs and eligible population'!H73)+(H$8*'Inputs and eligible population'!I73)</f>
        <v>4952.5098217976338</v>
      </c>
      <c r="I19" s="276">
        <f>(H$8*'Inputs and eligible population'!I73)+(I$8*'Inputs and eligible population'!J73)</f>
        <v>5000.2609679626239</v>
      </c>
    </row>
    <row r="20" spans="2:9">
      <c r="B20" s="351" t="s">
        <v>1085</v>
      </c>
      <c r="C20" s="676"/>
      <c r="D20" s="276">
        <f>(D$8*'Inputs and eligible population'!E74)*2</f>
        <v>8979.1655622121616</v>
      </c>
      <c r="E20" s="276">
        <f>(D$8*'Inputs and eligible population'!E74)+(E$8*'Inputs and eligible population'!F74)</f>
        <v>9022.4532549809555</v>
      </c>
      <c r="F20" s="276">
        <f>(E$8*'Inputs and eligible population'!F74)+(F$8*'Inputs and eligible population'!G74)</f>
        <v>9109.4460121177817</v>
      </c>
      <c r="G20" s="276">
        <f>(F$8*'Inputs and eligible population'!G74)+(G$8*'Inputs and eligible population'!H74)</f>
        <v>9197.2775366696769</v>
      </c>
      <c r="H20" s="276">
        <f>(G$8*'Inputs and eligible population'!H74)+(H$8*'Inputs and eligible population'!I74)</f>
        <v>8974.9389880409781</v>
      </c>
      <c r="I20" s="276">
        <f>(H$8*'Inputs and eligible population'!I74)+(I$8*'Inputs and eligible population'!J74)</f>
        <v>8750.4566939345914</v>
      </c>
    </row>
    <row r="21" spans="2:9">
      <c r="B21" s="279" t="s">
        <v>1094</v>
      </c>
      <c r="C21" s="186"/>
      <c r="D21" s="187">
        <f>SUM(D15:D20)</f>
        <v>59861.103748081085</v>
      </c>
      <c r="E21" s="187">
        <f>SUM(E15:E20)</f>
        <v>60149.688366539704</v>
      </c>
      <c r="F21" s="187">
        <f t="shared" ref="F21:I21" si="0">SUM(F15:F20)</f>
        <v>60729.640080785219</v>
      </c>
      <c r="G21" s="187">
        <f t="shared" si="0"/>
        <v>61315.183577797856</v>
      </c>
      <c r="H21" s="187">
        <f t="shared" si="0"/>
        <v>61906.372772470429</v>
      </c>
      <c r="I21" s="187">
        <f t="shared" si="0"/>
        <v>62503.262099532789</v>
      </c>
    </row>
    <row r="22" spans="2:9">
      <c r="B22" s="281"/>
      <c r="C22" s="133"/>
      <c r="D22" s="799"/>
      <c r="E22" s="799"/>
      <c r="F22" s="799"/>
      <c r="G22" s="799"/>
      <c r="H22" s="799"/>
      <c r="I22" s="799"/>
    </row>
    <row r="23" spans="2:9">
      <c r="B23" s="279" t="s">
        <v>1191</v>
      </c>
      <c r="C23" s="275"/>
      <c r="D23" s="184"/>
      <c r="E23" s="184"/>
      <c r="F23" s="184"/>
      <c r="G23" s="184"/>
      <c r="H23" s="184"/>
      <c r="I23" s="185"/>
    </row>
    <row r="24" spans="2:9">
      <c r="B24" s="351" t="s">
        <v>1080</v>
      </c>
      <c r="C24" s="352"/>
      <c r="D24" s="276">
        <f>(D$9*'Inputs and eligible population'!E78)*5</f>
        <v>0</v>
      </c>
      <c r="E24" s="276">
        <f>(D$9*'Inputs and eligible population'!E78)*4+(E$9*'Inputs and eligible population'!F78)</f>
        <v>1248.1817246901833</v>
      </c>
      <c r="F24" s="276">
        <f>(D$9*'Inputs and eligible population'!E78)*3+(E$9*'Inputs and eligible population'!F78)+(F$9*'Inputs and eligible population'!G78)</f>
        <v>2928.4703281030379</v>
      </c>
      <c r="G24" s="276">
        <f>(D$9*'Inputs and eligible population'!E78)*2+(E$9*'Inputs and eligible population'!F78)+(F$9*'Inputs and eligible population'!G78)+(G$9*'Inputs and eligible population'!H78)</f>
        <v>5049.0823563665317</v>
      </c>
      <c r="H24" s="276">
        <f>(D$9*'Inputs and eligible population'!E78)+(E$9*'Inputs and eligible population'!F78)+(F$9*'Inputs and eligible population'!G78)+(G$9*'Inputs and eligible population'!H78)+(H$9*'Inputs and eligible population'!I78)</f>
        <v>7618.3526297413737</v>
      </c>
      <c r="I24" s="276">
        <f>(E$9*'Inputs and eligible population'!F78)+(F$9*'Inputs and eligible population'!G78)+(G$9*'Inputs and eligible population'!H78)+(H$9*'Inputs and eligible population'!I78)+(I$9*'Inputs and eligible population'!J78)</f>
        <v>10212.395312414892</v>
      </c>
    </row>
    <row r="25" spans="2:9">
      <c r="B25" s="351" t="s">
        <v>1081</v>
      </c>
      <c r="C25" s="676"/>
      <c r="D25" s="276">
        <f>(D$9*'Inputs and eligible population'!E79)*5</f>
        <v>2060.436542053516</v>
      </c>
      <c r="E25" s="276">
        <f>(D$9*'Inputs and eligible population'!E79)*4+(E$9*'Inputs and eligible population'!F79)</f>
        <v>1939.5916360705221</v>
      </c>
      <c r="F25" s="276">
        <f>(D$9*'Inputs and eligible population'!E79)*3+(E$9*'Inputs and eligible population'!F79)+(F$9*'Inputs and eligible population'!G79)</f>
        <v>1779.5476181717472</v>
      </c>
      <c r="G25" s="276">
        <f>(D$9*'Inputs and eligible population'!E79)*2+(E$9*'Inputs and eligible population'!F79)+(F$9*'Inputs and eligible population'!G79)+(G$9*'Inputs and eligible population'!H79)</f>
        <v>1537.1092720221234</v>
      </c>
      <c r="H25" s="276">
        <f>(D$9*'Inputs and eligible population'!E79)+(E$9*'Inputs and eligible population'!F79)+(F$9*'Inputs and eligible population'!G79)+(G$9*'Inputs and eligible population'!H79)+(H$9*'Inputs and eligible population'!I79)</f>
        <v>1296.3066485030763</v>
      </c>
      <c r="I25" s="276">
        <f>(E$9*'Inputs and eligible population'!F79)+(F$9*'Inputs and eligible population'!G79)+(G$9*'Inputs and eligible population'!H79)+(H$9*'Inputs and eligible population'!I79)+(I$9*'Inputs and eligible population'!J79)</f>
        <v>1057.1555189372746</v>
      </c>
    </row>
    <row r="26" spans="2:9">
      <c r="B26" s="351" t="s">
        <v>1082</v>
      </c>
      <c r="C26" s="352"/>
      <c r="D26" s="276">
        <f>(D$9*'Inputs and eligible population'!E80)*5</f>
        <v>17802.171723342377</v>
      </c>
      <c r="E26" s="276">
        <f>(D$9*'Inputs and eligible population'!E80)*4+(E$9*'Inputs and eligible population'!F80)</f>
        <v>17154.161402950995</v>
      </c>
      <c r="F26" s="276">
        <f>(D$9*'Inputs and eligible population'!E80)*3+(E$9*'Inputs and eligible population'!F80)+(F$9*'Inputs and eligible population'!G80)</f>
        <v>16282.188823743087</v>
      </c>
      <c r="G26" s="276">
        <f>(D$9*'Inputs and eligible population'!E80)*2+(E$9*'Inputs and eligible population'!F80)+(F$9*'Inputs and eligible population'!G80)+(G$9*'Inputs and eligible population'!H80)</f>
        <v>15266.488912990802</v>
      </c>
      <c r="H26" s="276">
        <f>(D$9*'Inputs and eligible population'!E80)+(E$9*'Inputs and eligible population'!F80)+(F$9*'Inputs and eligible population'!G80)+(G$9*'Inputs and eligible population'!H80)+(H$9*'Inputs and eligible population'!I80)</f>
        <v>14104.040156805517</v>
      </c>
      <c r="I26" s="276">
        <f>(E$9*'Inputs and eligible population'!F80)+(F$9*'Inputs and eligible population'!G80)+(G$9*'Inputs and eligible population'!H80)+(H$9*'Inputs and eligible population'!I80)+(I$9*'Inputs and eligible population'!J80)</f>
        <v>12964.712315965658</v>
      </c>
    </row>
    <row r="27" spans="2:9">
      <c r="B27" s="351" t="s">
        <v>1083</v>
      </c>
      <c r="C27" s="676"/>
      <c r="D27" s="276">
        <f>+(D$9*'Inputs and eligible population'!E81)*5</f>
        <v>11373.609712135405</v>
      </c>
      <c r="E27" s="276">
        <f>(D$9*'Inputs and eligible population'!E81)*4+(E$9*'Inputs and eligible population'!F81)</f>
        <v>11054.372471722945</v>
      </c>
      <c r="F27" s="276">
        <f>(D$9*'Inputs and eligible population'!E81)*3+(E$9*'Inputs and eligible population'!F81)+(F$9*'Inputs and eligible population'!G81)</f>
        <v>10627.967993050004</v>
      </c>
      <c r="G27" s="276">
        <f>(D$9*'Inputs and eligible population'!E81)*2+(E$9*'Inputs and eligible population'!F81)+(F$9*'Inputs and eligible population'!G81)+(G$9*'Inputs and eligible population'!H81)</f>
        <v>10049.735673233718</v>
      </c>
      <c r="H27" s="276">
        <f>(D$9*'Inputs and eligible population'!E81)+(E$9*'Inputs and eligible population'!F81)+(F$9*'Inputs and eligible population'!G81)+(G$9*'Inputs and eligible population'!H81)+(H$9*'Inputs and eligible population'!I81)</f>
        <v>9316.5758948315415</v>
      </c>
      <c r="I27" s="276">
        <f>(E$9*'Inputs and eligible population'!F81)+(F$9*'Inputs and eligible population'!G81)+(G$9*'Inputs and eligible population'!H81)+(H$9*'Inputs and eligible population'!I81)+(I$9*'Inputs and eligible population'!J81)</f>
        <v>8598.2795620085726</v>
      </c>
    </row>
    <row r="28" spans="2:9">
      <c r="B28" s="351" t="s">
        <v>1084</v>
      </c>
      <c r="C28" s="676"/>
      <c r="D28" s="276">
        <f>(D$9*'Inputs and eligible population'!E82)*5</f>
        <v>3791.2032373784682</v>
      </c>
      <c r="E28" s="276">
        <f>(D$9*'Inputs and eligible population'!E82)*4+(E$9*'Inputs and eligible population'!F82)</f>
        <v>3698.6595097375393</v>
      </c>
      <c r="F28" s="276">
        <f>(D$9*'Inputs and eligible population'!E82)*3+(E$9*'Inputs and eligible population'!F82)+(F$9*'Inputs and eligible population'!G82)</f>
        <v>3612.5343036269878</v>
      </c>
      <c r="G28" s="276">
        <f>(D$9*'Inputs and eligible population'!E82)*2+(E$9*'Inputs and eligible population'!F82)+(F$9*'Inputs and eligible population'!G82)+(G$9*'Inputs and eligible population'!H82)</f>
        <v>3532.8895051956115</v>
      </c>
      <c r="H28" s="276">
        <f>(D$9*'Inputs and eligible population'!E82)+(E$9*'Inputs and eligible population'!F82)+(F$9*'Inputs and eligible population'!G82)+(G$9*'Inputs and eligible population'!H82)+(H$9*'Inputs and eligible population'!I82)</f>
        <v>3459.7875972865427</v>
      </c>
      <c r="I28" s="276">
        <f>(E$9*'Inputs and eligible population'!F82)+(F$9*'Inputs and eligible population'!G82)+(G$9*'Inputs and eligible population'!H82)+(H$9*'Inputs and eligible population'!I82)+(I$9*'Inputs and eligible population'!J82)</f>
        <v>3393.2916651904543</v>
      </c>
    </row>
    <row r="29" spans="2:9">
      <c r="B29" s="351" t="s">
        <v>1085</v>
      </c>
      <c r="C29" s="676"/>
      <c r="D29" s="276">
        <f>(D$9*'Inputs and eligible population'!E83)*5</f>
        <v>6181.309626160546</v>
      </c>
      <c r="E29" s="276">
        <f>(D$9*'Inputs and eligible population'!E83)*4+(E$9*'Inputs and eligible population'!F83)</f>
        <v>6193.2294256186196</v>
      </c>
      <c r="F29" s="276">
        <f>(D$9*'Inputs and eligible population'!E83)*3+(E$9*'Inputs and eligible population'!F83)+(F$9*'Inputs and eligible population'!G83)</f>
        <v>6217.1839529461513</v>
      </c>
      <c r="G29" s="276">
        <f>(D$9*'Inputs and eligible population'!E83)*2+(E$9*'Inputs and eligible population'!F83)+(F$9*'Inputs and eligible population'!G83)+(G$9*'Inputs and eligible population'!H83)</f>
        <v>6253.289244672138</v>
      </c>
      <c r="H29" s="276">
        <f>(D$9*'Inputs and eligible population'!E83)+(E$9*'Inputs and eligible population'!F83)+(F$9*'Inputs and eligible population'!G83)+(G$9*'Inputs and eligible population'!H83)+(H$9*'Inputs and eligible population'!I83)</f>
        <v>6216.0201136816222</v>
      </c>
      <c r="I29" s="276">
        <f>(E$9*'Inputs and eligible population'!F83)+(F$9*'Inputs and eligible population'!G83)+(G$9*'Inputs and eligible population'!H83)+(H$9*'Inputs and eligible population'!I83)+(I$9*'Inputs and eligible population'!J83)</f>
        <v>6190.3114403638219</v>
      </c>
    </row>
    <row r="30" spans="2:9">
      <c r="B30" s="279" t="s">
        <v>1094</v>
      </c>
      <c r="C30" s="186"/>
      <c r="D30" s="187">
        <f>SUM(D24:D29)</f>
        <v>41208.730841070312</v>
      </c>
      <c r="E30" s="187">
        <f>SUM(E24:E29)</f>
        <v>41288.196170790805</v>
      </c>
      <c r="F30" s="187">
        <f t="shared" ref="F30:I30" si="1">SUM(F24:F29)</f>
        <v>41447.893019641015</v>
      </c>
      <c r="G30" s="187">
        <f t="shared" si="1"/>
        <v>41688.594964480922</v>
      </c>
      <c r="H30" s="187">
        <f t="shared" si="1"/>
        <v>42011.083040849677</v>
      </c>
      <c r="I30" s="187">
        <f t="shared" si="1"/>
        <v>42416.145814880678</v>
      </c>
    </row>
    <row r="31" spans="2:9">
      <c r="B31"/>
    </row>
    <row r="32" spans="2:9">
      <c r="B32" s="245"/>
      <c r="C32" s="780" t="s">
        <v>734</v>
      </c>
      <c r="D32" s="779" t="s">
        <v>154</v>
      </c>
      <c r="E32" s="779" t="s">
        <v>154</v>
      </c>
      <c r="F32" s="779" t="s">
        <v>154</v>
      </c>
      <c r="G32" s="779" t="s">
        <v>154</v>
      </c>
      <c r="H32" s="779" t="s">
        <v>154</v>
      </c>
      <c r="I32" s="779" t="s">
        <v>154</v>
      </c>
    </row>
    <row r="33" spans="2:9">
      <c r="B33" s="350" t="str">
        <f t="shared" ref="B33:B38" si="2">B15</f>
        <v>People receiving relugolix</v>
      </c>
      <c r="C33" s="277">
        <f>'Unit costs'!O14</f>
        <v>1103.5425778346666</v>
      </c>
      <c r="D33" s="277">
        <f t="shared" ref="D33:H33" si="3">D15*$C33/1000</f>
        <v>0</v>
      </c>
      <c r="E33" s="277">
        <f t="shared" si="3"/>
        <v>5002.2155677305273</v>
      </c>
      <c r="F33" s="277">
        <f t="shared" si="3"/>
        <v>11736.143523900733</v>
      </c>
      <c r="G33" s="277">
        <f t="shared" si="3"/>
        <v>15232.496947419662</v>
      </c>
      <c r="H33" s="277">
        <f t="shared" si="3"/>
        <v>18795.181659867856</v>
      </c>
      <c r="I33" s="277">
        <f>I15*$C33/1000</f>
        <v>20692.503294118265</v>
      </c>
    </row>
    <row r="34" spans="2:9">
      <c r="B34" s="350" t="str">
        <f t="shared" si="2"/>
        <v>People receiving degarelix</v>
      </c>
      <c r="C34" s="277">
        <f>'Unit costs'!O22</f>
        <v>1749.0824</v>
      </c>
      <c r="D34" s="277">
        <f>D16*$C34/1000</f>
        <v>5235.1001505171325</v>
      </c>
      <c r="E34" s="277">
        <f t="shared" ref="E34:H34" si="4">E16*$C34/1000</f>
        <v>4467.5016676365476</v>
      </c>
      <c r="F34" s="277">
        <f t="shared" si="4"/>
        <v>3450.9131376202204</v>
      </c>
      <c r="G34" s="277">
        <f t="shared" si="4"/>
        <v>2678.5600173879843</v>
      </c>
      <c r="H34" s="277">
        <f t="shared" si="4"/>
        <v>2165.5869412833445</v>
      </c>
      <c r="I34" s="277">
        <f>I16*$C34/1000</f>
        <v>2186.4671136175971</v>
      </c>
    </row>
    <row r="35" spans="2:9">
      <c r="B35" s="350" t="str">
        <f t="shared" si="2"/>
        <v>People receiving leuprolide</v>
      </c>
      <c r="C35" s="277">
        <f>'Unit costs'!P27</f>
        <v>984.6407999999999</v>
      </c>
      <c r="D35" s="277">
        <f t="shared" ref="D35:I35" si="5">D17*$C35/1000</f>
        <v>25462.807956026016</v>
      </c>
      <c r="E35" s="277">
        <f t="shared" si="5"/>
        <v>23145.652133962256</v>
      </c>
      <c r="F35" s="277">
        <f t="shared" si="5"/>
        <v>20027.651887652562</v>
      </c>
      <c r="G35" s="277">
        <f t="shared" si="5"/>
        <v>18712.867156288379</v>
      </c>
      <c r="H35" s="277">
        <f t="shared" si="5"/>
        <v>17674.182210271716</v>
      </c>
      <c r="I35" s="277">
        <f t="shared" si="5"/>
        <v>17232.113358962219</v>
      </c>
    </row>
    <row r="36" spans="2:9">
      <c r="B36" s="350" t="str">
        <f t="shared" si="2"/>
        <v>People receiving triptorelin</v>
      </c>
      <c r="C36" s="277">
        <f>'Unit costs'!P33</f>
        <v>888.99876000000017</v>
      </c>
      <c r="D36" s="277">
        <f t="shared" ref="D36:I36" si="6">D18*$C36/1000</f>
        <v>14687.739373180024</v>
      </c>
      <c r="E36" s="277">
        <f t="shared" si="6"/>
        <v>13657.091781064104</v>
      </c>
      <c r="F36" s="277">
        <f t="shared" si="6"/>
        <v>12280.458063005697</v>
      </c>
      <c r="G36" s="277">
        <f t="shared" si="6"/>
        <v>11444.300431106169</v>
      </c>
      <c r="H36" s="277">
        <f t="shared" si="6"/>
        <v>10453.950399805773</v>
      </c>
      <c r="I36" s="277">
        <f t="shared" si="6"/>
        <v>10001.758050439137</v>
      </c>
    </row>
    <row r="37" spans="2:9">
      <c r="B37" s="350" t="str">
        <f t="shared" si="2"/>
        <v>People receiving goserelin</v>
      </c>
      <c r="C37" s="277">
        <f>'Unit costs'!P38</f>
        <v>925.6</v>
      </c>
      <c r="D37" s="277">
        <f t="shared" ref="D37:I37" si="7">D19*$C37/1000</f>
        <v>5097.4842618885941</v>
      </c>
      <c r="E37" s="277">
        <f t="shared" si="7"/>
        <v>4786.4087499408752</v>
      </c>
      <c r="F37" s="277">
        <f t="shared" si="7"/>
        <v>4496.9083887019833</v>
      </c>
      <c r="G37" s="277">
        <f t="shared" si="7"/>
        <v>4540.2667135687752</v>
      </c>
      <c r="H37" s="277">
        <f t="shared" si="7"/>
        <v>4584.0430910558898</v>
      </c>
      <c r="I37" s="277">
        <f t="shared" si="7"/>
        <v>4628.2415519462047</v>
      </c>
    </row>
    <row r="38" spans="2:9">
      <c r="B38" s="350" t="str">
        <f t="shared" si="2"/>
        <v>No ADT</v>
      </c>
      <c r="C38" s="277">
        <v>0</v>
      </c>
      <c r="D38" s="277">
        <f t="shared" ref="D38:I38" si="8">D20*$C38/1000</f>
        <v>0</v>
      </c>
      <c r="E38" s="277">
        <f t="shared" si="8"/>
        <v>0</v>
      </c>
      <c r="F38" s="277">
        <f t="shared" si="8"/>
        <v>0</v>
      </c>
      <c r="G38" s="277">
        <f t="shared" si="8"/>
        <v>0</v>
      </c>
      <c r="H38" s="277">
        <f t="shared" si="8"/>
        <v>0</v>
      </c>
      <c r="I38" s="277">
        <f t="shared" si="8"/>
        <v>0</v>
      </c>
    </row>
    <row r="39" spans="2:9">
      <c r="B39" s="283" t="s">
        <v>1180</v>
      </c>
      <c r="C39" s="188"/>
      <c r="D39" s="189">
        <f>SUM(D33:D38)</f>
        <v>50483.131741611767</v>
      </c>
      <c r="E39" s="189">
        <f t="shared" ref="E39:I39" si="9">SUM(E33:E38)</f>
        <v>51058.869900334314</v>
      </c>
      <c r="F39" s="189">
        <f t="shared" si="9"/>
        <v>51992.075000881196</v>
      </c>
      <c r="G39" s="189">
        <f t="shared" si="9"/>
        <v>52608.491265770965</v>
      </c>
      <c r="H39" s="189">
        <f t="shared" si="9"/>
        <v>53672.944302284581</v>
      </c>
      <c r="I39" s="189">
        <f t="shared" si="9"/>
        <v>54741.083369083426</v>
      </c>
    </row>
    <row r="40" spans="2:9">
      <c r="B40"/>
    </row>
    <row r="41" spans="2:9">
      <c r="B41" s="245"/>
      <c r="C41" s="780" t="s">
        <v>734</v>
      </c>
      <c r="D41" s="779" t="s">
        <v>154</v>
      </c>
      <c r="E41" s="779" t="s">
        <v>154</v>
      </c>
      <c r="F41" s="779" t="s">
        <v>154</v>
      </c>
      <c r="G41" s="779" t="s">
        <v>154</v>
      </c>
      <c r="H41" s="779" t="s">
        <v>154</v>
      </c>
      <c r="I41" s="779" t="s">
        <v>154</v>
      </c>
    </row>
    <row r="42" spans="2:9">
      <c r="B42" s="350" t="str">
        <f t="shared" ref="B42:B47" si="10">B24</f>
        <v>People receiving relugolix</v>
      </c>
      <c r="C42" s="277">
        <f>'Unit costs'!O14</f>
        <v>1103.5425778346666</v>
      </c>
      <c r="D42" s="277">
        <f t="shared" ref="D42:H42" si="11">D24*$C42/1000</f>
        <v>0</v>
      </c>
      <c r="E42" s="277">
        <f t="shared" si="11"/>
        <v>1377.421678070725</v>
      </c>
      <c r="F42" s="277">
        <f t="shared" si="11"/>
        <v>3231.6916949871584</v>
      </c>
      <c r="G42" s="277">
        <f t="shared" si="11"/>
        <v>5571.8773592442558</v>
      </c>
      <c r="H42" s="277">
        <f t="shared" si="11"/>
        <v>8407.1764998783074</v>
      </c>
      <c r="I42" s="277">
        <f>I24*$C42/1000</f>
        <v>11269.813048928996</v>
      </c>
    </row>
    <row r="43" spans="2:9">
      <c r="B43" s="350" t="str">
        <f t="shared" si="10"/>
        <v>People receiving degarelix</v>
      </c>
      <c r="C43" s="277">
        <f>'Unit costs'!O22</f>
        <v>1749.0824</v>
      </c>
      <c r="D43" s="277">
        <f>D25*$C43/1000</f>
        <v>3603.8732920226644</v>
      </c>
      <c r="E43" s="277">
        <f t="shared" ref="E43:H43" si="12">E25*$C43/1000</f>
        <v>3392.5055938381552</v>
      </c>
      <c r="F43" s="277">
        <f t="shared" si="12"/>
        <v>3112.5754189061236</v>
      </c>
      <c r="G43" s="277">
        <f t="shared" si="12"/>
        <v>2688.5307745707087</v>
      </c>
      <c r="H43" s="277">
        <f t="shared" si="12"/>
        <v>2267.3471438997167</v>
      </c>
      <c r="I43" s="277">
        <f>I25*$C43/1000</f>
        <v>1849.0521122360537</v>
      </c>
    </row>
    <row r="44" spans="2:9">
      <c r="B44" s="350" t="str">
        <f t="shared" si="10"/>
        <v>People receiving leuprolide</v>
      </c>
      <c r="C44" s="277">
        <f>'Unit costs'!P27</f>
        <v>984.6407999999999</v>
      </c>
      <c r="D44" s="277">
        <f t="shared" ref="D44:I44" si="13">D26*$C44/1000</f>
        <v>17528.744607409215</v>
      </c>
      <c r="E44" s="277">
        <f t="shared" si="13"/>
        <v>16890.687207130788</v>
      </c>
      <c r="F44" s="277">
        <f t="shared" si="13"/>
        <v>16032.10742916145</v>
      </c>
      <c r="G44" s="277">
        <f t="shared" si="13"/>
        <v>15032.007856478393</v>
      </c>
      <c r="H44" s="277">
        <f t="shared" si="13"/>
        <v>13887.413383229108</v>
      </c>
      <c r="I44" s="277">
        <f t="shared" si="13"/>
        <v>12765.584706562277</v>
      </c>
    </row>
    <row r="45" spans="2:9">
      <c r="B45" s="350" t="str">
        <f t="shared" si="10"/>
        <v>People receiving triptorelin</v>
      </c>
      <c r="C45" s="277">
        <f>'Unit costs'!P33</f>
        <v>888.99876000000017</v>
      </c>
      <c r="D45" s="277">
        <f t="shared" ref="D45:I45" si="14">D27*$C45/1000</f>
        <v>10111.124930812335</v>
      </c>
      <c r="E45" s="277">
        <f t="shared" si="14"/>
        <v>9827.3234199398339</v>
      </c>
      <c r="F45" s="277">
        <f t="shared" si="14"/>
        <v>9448.250367141145</v>
      </c>
      <c r="G45" s="277">
        <f t="shared" si="14"/>
        <v>8934.2025518325427</v>
      </c>
      <c r="H45" s="277">
        <f t="shared" si="14"/>
        <v>8282.4244179511315</v>
      </c>
      <c r="I45" s="277">
        <f t="shared" si="14"/>
        <v>7643.8598687589656</v>
      </c>
    </row>
    <row r="46" spans="2:9">
      <c r="B46" s="350" t="str">
        <f t="shared" si="10"/>
        <v>People receiving goserelin</v>
      </c>
      <c r="C46" s="277">
        <f>'Unit costs'!P38</f>
        <v>925.6</v>
      </c>
      <c r="D46" s="277">
        <f t="shared" ref="D46:I46" si="15">D28*$C46/1000</f>
        <v>3509.1377165175104</v>
      </c>
      <c r="E46" s="277">
        <f t="shared" si="15"/>
        <v>3423.4792422130668</v>
      </c>
      <c r="F46" s="277">
        <f t="shared" si="15"/>
        <v>3343.76175143714</v>
      </c>
      <c r="G46" s="277">
        <f t="shared" si="15"/>
        <v>3270.0425260090583</v>
      </c>
      <c r="H46" s="277">
        <f t="shared" si="15"/>
        <v>3202.379400048424</v>
      </c>
      <c r="I46" s="277">
        <f t="shared" si="15"/>
        <v>3140.8307653002844</v>
      </c>
    </row>
    <row r="47" spans="2:9">
      <c r="B47" s="350" t="str">
        <f t="shared" si="10"/>
        <v>No ADT</v>
      </c>
      <c r="C47" s="277">
        <v>0</v>
      </c>
      <c r="D47" s="277">
        <f t="shared" ref="D47:I47" si="16">D29*$C47/1000</f>
        <v>0</v>
      </c>
      <c r="E47" s="277">
        <f t="shared" si="16"/>
        <v>0</v>
      </c>
      <c r="F47" s="277">
        <f t="shared" si="16"/>
        <v>0</v>
      </c>
      <c r="G47" s="277">
        <f t="shared" si="16"/>
        <v>0</v>
      </c>
      <c r="H47" s="277">
        <f t="shared" si="16"/>
        <v>0</v>
      </c>
      <c r="I47" s="277">
        <f t="shared" si="16"/>
        <v>0</v>
      </c>
    </row>
    <row r="48" spans="2:9">
      <c r="B48" s="283" t="s">
        <v>1181</v>
      </c>
      <c r="C48" s="188"/>
      <c r="D48" s="189">
        <f>SUM(D42:D47)</f>
        <v>34752.88054676172</v>
      </c>
      <c r="E48" s="189">
        <f t="shared" ref="E48:I48" si="17">SUM(E42:E47)</f>
        <v>34911.417141192564</v>
      </c>
      <c r="F48" s="189">
        <f t="shared" si="17"/>
        <v>35168.386661633012</v>
      </c>
      <c r="G48" s="189">
        <f t="shared" si="17"/>
        <v>35496.661068134956</v>
      </c>
      <c r="H48" s="189">
        <f t="shared" si="17"/>
        <v>36046.740845006687</v>
      </c>
      <c r="I48" s="189">
        <f t="shared" si="17"/>
        <v>36669.140501786576</v>
      </c>
    </row>
    <row r="49" spans="2:9">
      <c r="B49"/>
    </row>
    <row r="50" spans="2:9">
      <c r="B50" s="381"/>
      <c r="C50" s="278"/>
      <c r="D50" s="358" t="s">
        <v>156</v>
      </c>
      <c r="E50" s="189">
        <f>(E39+E48)-($D$39+$D$48)</f>
        <v>734.27475315338233</v>
      </c>
      <c r="F50" s="189">
        <f t="shared" ref="F50:I50" si="18">(F39+F48)-($D$39+$D$48)</f>
        <v>1924.4493741407205</v>
      </c>
      <c r="G50" s="189">
        <f t="shared" si="18"/>
        <v>2869.1400455324329</v>
      </c>
      <c r="H50" s="189">
        <f t="shared" si="18"/>
        <v>4483.6728589177801</v>
      </c>
      <c r="I50" s="189">
        <f t="shared" si="18"/>
        <v>6174.2115824965149</v>
      </c>
    </row>
    <row r="51" spans="2:9">
      <c r="B51" s="381"/>
      <c r="C51" s="278"/>
      <c r="D51" s="284" t="s">
        <v>1096</v>
      </c>
      <c r="E51" s="189">
        <f>E50</f>
        <v>734.27475315338233</v>
      </c>
      <c r="F51" s="190">
        <f>F50-E50</f>
        <v>1190.1746209873381</v>
      </c>
      <c r="G51" s="190">
        <f>G50-F50</f>
        <v>944.69067139171239</v>
      </c>
      <c r="H51" s="190">
        <f>H50-G50</f>
        <v>1614.5328133853473</v>
      </c>
      <c r="I51" s="190">
        <f>I50-H50</f>
        <v>1690.5387235787348</v>
      </c>
    </row>
  </sheetData>
  <sheetProtection algorithmName="SHA-512" hashValue="TwsPiebJTqnd6jg9ABZkUfMi2hdeju1QAUUxNF+iS8t8roMXfz1tWpLnc8By/Eha9bBNOf2+pes12Iwro6Pdeg==" saltValue="jSY1V+c0MSnjrheqIWtnR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C292-D367-4731-939D-4B4A01193C9A}">
  <sheetPr>
    <tabColor theme="8" tint="-0.499984740745262"/>
    <pageSetUpPr fitToPage="1"/>
  </sheetPr>
  <dimension ref="A1:AN232"/>
  <sheetViews>
    <sheetView showGridLines="0" zoomScale="70" zoomScaleNormal="70" zoomScaleSheetLayoutView="30" workbookViewId="0">
      <selection activeCell="T48" sqref="T48"/>
    </sheetView>
  </sheetViews>
  <sheetFormatPr defaultColWidth="8.81640625" defaultRowHeight="14.5"/>
  <cols>
    <col min="1" max="1" width="3.54296875" customWidth="1"/>
    <col min="2" max="2" width="74.453125" style="1" customWidth="1"/>
    <col min="3" max="9" width="12.54296875" customWidth="1"/>
    <col min="10" max="10" width="1.81640625" customWidth="1"/>
    <col min="11" max="11" width="10.453125" customWidth="1"/>
    <col min="12" max="18" width="11.7265625" customWidth="1"/>
    <col min="19" max="19" width="11.453125" customWidth="1"/>
    <col min="20" max="20" width="11.7265625" customWidth="1"/>
    <col min="21" max="26" width="10.81640625" customWidth="1"/>
    <col min="28" max="41" width="0" hidden="1" customWidth="1"/>
  </cols>
  <sheetData>
    <row r="1" spans="1:40" ht="30" customHeight="1">
      <c r="B1" s="739" t="str">
        <f>'Unit costs'!B1</f>
        <v>Relugolix for treating hormone-sensitive prostate cancer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5" customHeight="1">
      <c r="B2" s="216" t="s">
        <v>735</v>
      </c>
      <c r="C2" s="127" t="s">
        <v>106</v>
      </c>
      <c r="D2" s="127" t="s">
        <v>106</v>
      </c>
      <c r="E2" s="533"/>
      <c r="F2" s="127" t="s">
        <v>106</v>
      </c>
      <c r="G2" s="127" t="s">
        <v>106</v>
      </c>
      <c r="H2" s="127" t="s">
        <v>106</v>
      </c>
      <c r="I2" s="127" t="s">
        <v>106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" customHeight="1">
      <c r="B3" s="130" t="s">
        <v>106</v>
      </c>
      <c r="C3" s="133" t="s">
        <v>106</v>
      </c>
      <c r="D3" s="133" t="s">
        <v>106</v>
      </c>
      <c r="F3" s="133" t="s">
        <v>106</v>
      </c>
      <c r="G3" s="133" t="s">
        <v>106</v>
      </c>
      <c r="H3" s="133" t="s">
        <v>106</v>
      </c>
      <c r="I3" s="133" t="s">
        <v>106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5" customHeight="1">
      <c r="B4" t="s">
        <v>736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" customHeight="1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3.5">
      <c r="B6" s="260" t="s">
        <v>37</v>
      </c>
      <c r="C6" s="211"/>
      <c r="D6" s="425" t="s">
        <v>730</v>
      </c>
      <c r="E6" s="258" t="s">
        <v>50</v>
      </c>
      <c r="F6" s="258" t="s">
        <v>51</v>
      </c>
      <c r="G6" s="165" t="s">
        <v>731</v>
      </c>
      <c r="H6" s="165" t="s">
        <v>732</v>
      </c>
      <c r="I6" s="258" t="s">
        <v>733</v>
      </c>
      <c r="L6" s="425" t="s">
        <v>730</v>
      </c>
      <c r="M6" s="258" t="s">
        <v>50</v>
      </c>
      <c r="N6" s="258" t="s">
        <v>51</v>
      </c>
      <c r="O6" s="165" t="s">
        <v>731</v>
      </c>
      <c r="P6" s="165" t="s">
        <v>732</v>
      </c>
      <c r="Q6" s="258" t="s">
        <v>733</v>
      </c>
      <c r="R6" s="133"/>
      <c r="S6" s="133"/>
      <c r="T6" s="133"/>
      <c r="U6" s="133"/>
      <c r="V6" s="133"/>
      <c r="W6" s="133"/>
      <c r="X6" s="133"/>
      <c r="Y6" s="133"/>
      <c r="Z6" s="133"/>
      <c r="AJ6" s="286"/>
      <c r="AK6" s="286"/>
      <c r="AL6" s="286"/>
      <c r="AM6" s="286"/>
      <c r="AN6" s="286"/>
    </row>
    <row r="7" spans="1:40">
      <c r="B7" s="228" t="s">
        <v>1171</v>
      </c>
      <c r="C7" s="168"/>
      <c r="D7" s="382">
        <f>'Inputs and eligible population'!F46</f>
        <v>38172.298042254602</v>
      </c>
      <c r="E7" s="382">
        <f>'Inputs and eligible population'!G46</f>
        <v>38540.347990433729</v>
      </c>
      <c r="F7" s="382">
        <f>'Inputs and eligible population'!H46</f>
        <v>38911.946605350313</v>
      </c>
      <c r="G7" s="382">
        <f>'Inputs and eligible population'!I46</f>
        <v>39287.128102565781</v>
      </c>
      <c r="H7" s="382">
        <f>'Inputs and eligible population'!J46</f>
        <v>39665.927027541431</v>
      </c>
      <c r="I7" s="382">
        <f>'Inputs and eligible population'!K46</f>
        <v>40048.378258819226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286"/>
      <c r="AK7" s="286"/>
      <c r="AL7" s="286"/>
      <c r="AM7" s="286"/>
      <c r="AN7" s="286"/>
    </row>
    <row r="8" spans="1:40">
      <c r="B8"/>
      <c r="L8" s="148"/>
      <c r="M8" s="148"/>
      <c r="N8" s="148"/>
      <c r="O8" s="148"/>
      <c r="P8" s="781"/>
      <c r="Q8" s="781"/>
      <c r="R8" s="133"/>
      <c r="S8" s="133"/>
      <c r="T8" s="133"/>
      <c r="U8" s="133"/>
      <c r="V8" s="133"/>
      <c r="W8" s="133"/>
      <c r="X8" s="133"/>
      <c r="Y8" s="133"/>
      <c r="Z8" s="133"/>
      <c r="AJ8" s="286"/>
      <c r="AK8" s="286"/>
      <c r="AL8" s="286"/>
      <c r="AM8" s="286"/>
      <c r="AN8" s="286"/>
    </row>
    <row r="9" spans="1:40">
      <c r="B9" s="279" t="s">
        <v>737</v>
      </c>
      <c r="C9" s="442"/>
      <c r="D9" s="442"/>
      <c r="E9" s="443"/>
      <c r="F9" s="442"/>
      <c r="G9" s="444"/>
      <c r="H9" s="445"/>
      <c r="I9" s="445"/>
      <c r="J9" s="160"/>
      <c r="L9" s="779" t="s">
        <v>154</v>
      </c>
      <c r="M9" s="779" t="s">
        <v>154</v>
      </c>
      <c r="N9" s="779" t="s">
        <v>154</v>
      </c>
      <c r="O9" s="779" t="s">
        <v>154</v>
      </c>
      <c r="P9" s="779" t="s">
        <v>154</v>
      </c>
      <c r="Q9" s="779" t="s">
        <v>154</v>
      </c>
      <c r="R9" s="133"/>
      <c r="S9" s="133"/>
      <c r="T9" s="133"/>
      <c r="U9" s="133"/>
      <c r="V9" s="133"/>
      <c r="W9" s="133"/>
      <c r="X9" s="133"/>
      <c r="Y9" s="133"/>
      <c r="Z9" s="133"/>
      <c r="AJ9" s="286"/>
      <c r="AK9" s="286"/>
      <c r="AL9" s="286"/>
      <c r="AM9" s="286"/>
      <c r="AN9" s="286"/>
    </row>
    <row r="10" spans="1:40">
      <c r="A10" s="296"/>
      <c r="B10" s="712" t="str">
        <f>'Capacity (national prices)'!B10</f>
        <v>Follow up attendances</v>
      </c>
      <c r="C10" s="387"/>
      <c r="D10" s="427">
        <f>'Capacity (national prices)'!D10</f>
        <v>404279.33835660561</v>
      </c>
      <c r="E10" s="427">
        <f>'Capacity (national prices)'!E10</f>
        <v>405751.53814932203</v>
      </c>
      <c r="F10" s="427">
        <f>'Capacity (national prices)'!F10</f>
        <v>408710.1324017049</v>
      </c>
      <c r="G10" s="427">
        <f>'Capacity (national prices)'!G10</f>
        <v>412015.11416911508</v>
      </c>
      <c r="H10" s="427">
        <f>'Capacity (national prices)'!H10</f>
        <v>415669.82325328037</v>
      </c>
      <c r="I10" s="427">
        <f>'Capacity (national prices)'!I10</f>
        <v>419677.63165765384</v>
      </c>
      <c r="L10" s="209"/>
      <c r="M10" s="209"/>
      <c r="N10" s="209"/>
      <c r="O10" s="209"/>
      <c r="P10" s="419"/>
      <c r="Q10" s="419"/>
      <c r="R10" s="133"/>
      <c r="S10" s="133"/>
      <c r="T10" s="133"/>
      <c r="U10" s="133"/>
      <c r="V10" s="133"/>
      <c r="W10" s="133"/>
      <c r="X10" s="133"/>
      <c r="Y10" s="133"/>
      <c r="Z10" s="133"/>
      <c r="AJ10" s="286"/>
      <c r="AK10" s="286"/>
      <c r="AL10" s="286"/>
      <c r="AM10" s="286"/>
      <c r="AN10" s="286"/>
    </row>
    <row r="11" spans="1:40">
      <c r="A11" s="296"/>
      <c r="B11" s="712" t="s">
        <v>1172</v>
      </c>
      <c r="C11" s="387"/>
      <c r="D11" s="427">
        <f>D49</f>
        <v>134759.77945220185</v>
      </c>
      <c r="E11" s="427">
        <f t="shared" ref="E11:I11" si="0">E49</f>
        <v>135250.51271644069</v>
      </c>
      <c r="F11" s="427">
        <f t="shared" si="0"/>
        <v>136236.71080056831</v>
      </c>
      <c r="G11" s="427">
        <f t="shared" si="0"/>
        <v>137338.37138970505</v>
      </c>
      <c r="H11" s="427">
        <f t="shared" si="0"/>
        <v>138556.60775109346</v>
      </c>
      <c r="I11" s="427">
        <f t="shared" si="0"/>
        <v>139892.54388588463</v>
      </c>
      <c r="L11" s="293">
        <f>L49</f>
        <v>13889.690468138446</v>
      </c>
      <c r="M11" s="293">
        <f t="shared" ref="M11:Q11" si="1">M49</f>
        <v>13940.270345683541</v>
      </c>
      <c r="N11" s="293">
        <f t="shared" si="1"/>
        <v>14041.917782214576</v>
      </c>
      <c r="O11" s="293">
        <f t="shared" si="1"/>
        <v>14155.465939136899</v>
      </c>
      <c r="P11" s="293">
        <f t="shared" si="1"/>
        <v>14281.029560905203</v>
      </c>
      <c r="Q11" s="293">
        <f t="shared" si="1"/>
        <v>14418.724498318126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86"/>
      <c r="AK11" s="286"/>
      <c r="AL11" s="286"/>
      <c r="AM11" s="286"/>
      <c r="AN11" s="286"/>
    </row>
    <row r="12" spans="1:40">
      <c r="A12" s="296"/>
      <c r="B12" s="446" t="str">
        <f>B52</f>
        <v>Administrations</v>
      </c>
      <c r="C12" s="421"/>
      <c r="D12" s="420">
        <f t="shared" ref="D12:I12" si="2">D56</f>
        <v>689489.31528207788</v>
      </c>
      <c r="E12" s="420">
        <f t="shared" si="2"/>
        <v>718958.1181090168</v>
      </c>
      <c r="F12" s="420">
        <f t="shared" si="2"/>
        <v>760325.469122421</v>
      </c>
      <c r="G12" s="420">
        <f t="shared" si="2"/>
        <v>790237.42713417462</v>
      </c>
      <c r="H12" s="420">
        <f t="shared" si="2"/>
        <v>827823.85528278933</v>
      </c>
      <c r="I12" s="420">
        <f t="shared" si="2"/>
        <v>859460.91970178811</v>
      </c>
      <c r="L12" s="209"/>
      <c r="M12" s="209"/>
      <c r="N12" s="209"/>
      <c r="O12" s="209"/>
      <c r="P12" s="419"/>
      <c r="Q12" s="419"/>
      <c r="R12" s="133"/>
      <c r="S12" s="133"/>
      <c r="T12" s="133"/>
      <c r="U12" s="133"/>
      <c r="V12" s="133"/>
      <c r="W12" s="133"/>
      <c r="X12" s="133"/>
      <c r="Y12" s="133"/>
      <c r="Z12" s="133"/>
      <c r="AJ12" s="286"/>
      <c r="AK12" s="286"/>
      <c r="AL12" s="286"/>
      <c r="AM12" s="286"/>
      <c r="AN12" s="286"/>
    </row>
    <row r="13" spans="1:40">
      <c r="A13" s="287"/>
      <c r="B13" s="447" t="str">
        <f>B75</f>
        <v>Administrations - duration of administrations (hours)</v>
      </c>
      <c r="C13" s="452"/>
      <c r="D13" s="422">
        <f t="shared" ref="D13:I13" si="3">D82</f>
        <v>172372.32882051947</v>
      </c>
      <c r="E13" s="422">
        <f t="shared" si="3"/>
        <v>160951.10988191777</v>
      </c>
      <c r="F13" s="422">
        <f t="shared" si="3"/>
        <v>146000.18234179117</v>
      </c>
      <c r="G13" s="422">
        <f t="shared" si="3"/>
        <v>136289.20930148815</v>
      </c>
      <c r="H13" s="422">
        <f t="shared" si="3"/>
        <v>126843.36481917489</v>
      </c>
      <c r="I13" s="422">
        <f t="shared" si="3"/>
        <v>120734.26461305415</v>
      </c>
      <c r="L13" s="293">
        <f>L82</f>
        <v>6720.7971007120559</v>
      </c>
      <c r="M13" s="293">
        <f t="shared" ref="M13:Q13" si="4">M82</f>
        <v>6275.4837742959753</v>
      </c>
      <c r="N13" s="293">
        <f t="shared" si="4"/>
        <v>5692.5471095064368</v>
      </c>
      <c r="O13" s="293">
        <f t="shared" si="4"/>
        <v>5313.9162706650231</v>
      </c>
      <c r="P13" s="293">
        <f t="shared" si="4"/>
        <v>4945.6227942996293</v>
      </c>
      <c r="Q13" s="293">
        <f t="shared" si="4"/>
        <v>4707.4289772629818</v>
      </c>
      <c r="R13" s="133"/>
      <c r="S13" s="133"/>
      <c r="T13" s="133"/>
      <c r="U13" s="133"/>
      <c r="V13" s="133"/>
      <c r="W13" s="133"/>
      <c r="X13" s="133"/>
      <c r="Y13" s="133"/>
      <c r="Z13" s="133"/>
      <c r="AJ13" s="286"/>
      <c r="AK13" s="286"/>
      <c r="AL13" s="286"/>
      <c r="AM13" s="286"/>
      <c r="AN13" s="286"/>
    </row>
    <row r="14" spans="1:40">
      <c r="A14" s="287"/>
      <c r="B14" s="447" t="str">
        <f>B85</f>
        <v>Preparation time before administration (hours)</v>
      </c>
      <c r="C14" s="452"/>
      <c r="D14" s="422">
        <f t="shared" ref="D14:I14" si="5">D92</f>
        <v>172372.32882051947</v>
      </c>
      <c r="E14" s="422">
        <f t="shared" si="5"/>
        <v>160951.10988191777</v>
      </c>
      <c r="F14" s="422">
        <f t="shared" si="5"/>
        <v>146000.18234179117</v>
      </c>
      <c r="G14" s="422">
        <f t="shared" si="5"/>
        <v>136289.20930148815</v>
      </c>
      <c r="H14" s="422">
        <f t="shared" si="5"/>
        <v>126843.36481917489</v>
      </c>
      <c r="I14" s="422">
        <f t="shared" si="5"/>
        <v>120734.26461305415</v>
      </c>
      <c r="L14" s="293">
        <f>L92</f>
        <v>6720.7971007120559</v>
      </c>
      <c r="M14" s="293">
        <f t="shared" ref="M14:Q14" si="6">M92</f>
        <v>6275.4837742959753</v>
      </c>
      <c r="N14" s="293">
        <f t="shared" si="6"/>
        <v>5692.5471095064368</v>
      </c>
      <c r="O14" s="293">
        <f t="shared" si="6"/>
        <v>5313.9162706650231</v>
      </c>
      <c r="P14" s="293">
        <f t="shared" si="6"/>
        <v>4945.6227942996293</v>
      </c>
      <c r="Q14" s="293">
        <f t="shared" si="6"/>
        <v>4707.4289772629818</v>
      </c>
      <c r="R14" s="133"/>
      <c r="S14" s="133"/>
      <c r="T14" s="133"/>
      <c r="U14" s="133"/>
      <c r="V14" s="133"/>
      <c r="W14" s="133"/>
      <c r="X14" s="133"/>
      <c r="Y14" s="133"/>
      <c r="Z14" s="133"/>
      <c r="AJ14" s="286"/>
      <c r="AK14" s="286"/>
      <c r="AL14" s="286"/>
      <c r="AM14" s="286"/>
      <c r="AN14" s="286"/>
    </row>
    <row r="15" spans="1:40">
      <c r="A15" s="287"/>
      <c r="B15" s="447" t="str">
        <f>B95</f>
        <v>Post administration nursing time (hours)</v>
      </c>
      <c r="C15" s="452"/>
      <c r="D15" s="422">
        <f t="shared" ref="D15:I15" si="7">D102</f>
        <v>172372.32882051947</v>
      </c>
      <c r="E15" s="423">
        <f t="shared" si="7"/>
        <v>160951.10988191777</v>
      </c>
      <c r="F15" s="422">
        <f t="shared" si="7"/>
        <v>146000.18234179117</v>
      </c>
      <c r="G15" s="422">
        <f t="shared" si="7"/>
        <v>136289.20930148815</v>
      </c>
      <c r="H15" s="422">
        <f t="shared" si="7"/>
        <v>126843.36481917489</v>
      </c>
      <c r="I15" s="422">
        <f t="shared" si="7"/>
        <v>120734.26461305415</v>
      </c>
      <c r="L15" s="293">
        <f>L102</f>
        <v>6720.7971007120559</v>
      </c>
      <c r="M15" s="293">
        <f t="shared" ref="M15:Q15" si="8">M102</f>
        <v>6275.4837742959753</v>
      </c>
      <c r="N15" s="293">
        <f t="shared" si="8"/>
        <v>5692.5471095064368</v>
      </c>
      <c r="O15" s="293">
        <f t="shared" si="8"/>
        <v>5313.9162706650231</v>
      </c>
      <c r="P15" s="293">
        <f t="shared" si="8"/>
        <v>4945.6227942996293</v>
      </c>
      <c r="Q15" s="293">
        <f t="shared" si="8"/>
        <v>4707.4289772629818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286"/>
      <c r="AK15" s="286"/>
      <c r="AL15" s="286"/>
      <c r="AM15" s="286"/>
      <c r="AN15" s="286"/>
    </row>
    <row r="16" spans="1:40" hidden="1">
      <c r="A16" s="289"/>
      <c r="B16" s="448" t="str">
        <f>B106</f>
        <v>In-house aseptic unit preparations, number made</v>
      </c>
      <c r="C16" s="453"/>
      <c r="D16" s="424"/>
      <c r="E16" s="424"/>
      <c r="F16" s="424"/>
      <c r="G16" s="424"/>
      <c r="H16" s="424"/>
      <c r="I16" s="424"/>
      <c r="L16" s="209"/>
      <c r="M16" s="209"/>
      <c r="N16" s="209"/>
      <c r="O16" s="209"/>
      <c r="P16" s="419"/>
      <c r="Q16" s="419"/>
      <c r="R16" s="133"/>
      <c r="S16" s="133"/>
      <c r="T16" s="133"/>
      <c r="U16" s="133"/>
      <c r="V16" s="133"/>
      <c r="W16" s="133"/>
      <c r="X16" s="133"/>
      <c r="Y16" s="133"/>
      <c r="Z16" s="133"/>
      <c r="AJ16" s="286"/>
      <c r="AK16" s="286"/>
      <c r="AL16" s="286"/>
      <c r="AM16" s="286"/>
      <c r="AN16" s="286"/>
    </row>
    <row r="17" spans="1:40" hidden="1">
      <c r="A17" s="289"/>
      <c r="B17" s="448" t="str">
        <f>B114</f>
        <v>Bought-in aseptic unit preparations, number bought in</v>
      </c>
      <c r="C17" s="453"/>
      <c r="D17" s="424"/>
      <c r="E17" s="424"/>
      <c r="F17" s="424"/>
      <c r="G17" s="424"/>
      <c r="H17" s="424"/>
      <c r="I17" s="424"/>
      <c r="L17" s="209"/>
      <c r="M17" s="209"/>
      <c r="N17" s="209"/>
      <c r="O17" s="209"/>
      <c r="P17" s="419"/>
      <c r="Q17" s="419"/>
      <c r="R17" s="133"/>
      <c r="S17" s="133"/>
      <c r="T17" s="133"/>
      <c r="U17" s="133"/>
      <c r="V17" s="133"/>
      <c r="W17" s="133"/>
      <c r="X17" s="133"/>
      <c r="Y17" s="133"/>
      <c r="Z17" s="133"/>
      <c r="AJ17" s="286"/>
      <c r="AK17" s="286"/>
      <c r="AL17" s="286"/>
      <c r="AM17" s="286"/>
      <c r="AN17" s="286"/>
    </row>
    <row r="18" spans="1:40" hidden="1">
      <c r="A18" s="289"/>
      <c r="B18" s="448" t="str">
        <f>B122</f>
        <v>In-house aseptic unit preparations, pharmacy time (hours)</v>
      </c>
      <c r="C18" s="453"/>
      <c r="D18" s="424"/>
      <c r="E18" s="424"/>
      <c r="F18" s="424"/>
      <c r="G18" s="424"/>
      <c r="H18" s="424"/>
      <c r="I18" s="424"/>
      <c r="L18" s="209"/>
      <c r="M18" s="209"/>
      <c r="N18" s="209"/>
      <c r="O18" s="209"/>
      <c r="P18" s="419"/>
      <c r="Q18" s="419"/>
      <c r="R18" s="133"/>
      <c r="S18" s="133"/>
      <c r="T18" s="133"/>
      <c r="U18" s="133"/>
      <c r="V18" s="133"/>
      <c r="W18" s="133"/>
      <c r="X18" s="133"/>
      <c r="Y18" s="133"/>
      <c r="Z18" s="133"/>
      <c r="AJ18" s="286"/>
      <c r="AK18" s="286"/>
      <c r="AL18" s="286"/>
      <c r="AM18" s="286"/>
      <c r="AN18" s="286"/>
    </row>
    <row r="19" spans="1:40" hidden="1">
      <c r="A19" s="289"/>
      <c r="B19" s="448" t="str">
        <f>B130</f>
        <v>Bought-in aseptic unit preparations, pharmacy time (hours)</v>
      </c>
      <c r="C19" s="453"/>
      <c r="D19" s="424"/>
      <c r="E19" s="424"/>
      <c r="F19" s="424"/>
      <c r="G19" s="424"/>
      <c r="H19" s="424"/>
      <c r="I19" s="424"/>
      <c r="L19" s="209"/>
      <c r="M19" s="209"/>
      <c r="N19" s="209"/>
      <c r="O19" s="209"/>
      <c r="P19" s="419"/>
      <c r="Q19" s="419"/>
      <c r="R19" s="133"/>
      <c r="S19" s="133"/>
      <c r="T19" s="133"/>
      <c r="U19" s="133"/>
      <c r="V19" s="133"/>
      <c r="W19" s="133"/>
      <c r="X19" s="133"/>
      <c r="Y19" s="133"/>
      <c r="Z19" s="133"/>
      <c r="AJ19" s="286"/>
      <c r="AK19" s="286"/>
      <c r="AL19" s="286"/>
      <c r="AM19" s="286"/>
      <c r="AN19" s="286"/>
    </row>
    <row r="20" spans="1:40">
      <c r="A20" s="289"/>
      <c r="B20" s="448" t="str">
        <f>B138</f>
        <v>Drug regimen prep (hours)</v>
      </c>
      <c r="C20" s="453"/>
      <c r="D20" s="424">
        <f>D145</f>
        <v>0</v>
      </c>
      <c r="E20" s="424">
        <f t="shared" ref="E20:I20" si="9">E145</f>
        <v>0</v>
      </c>
      <c r="F20" s="424">
        <f t="shared" si="9"/>
        <v>0</v>
      </c>
      <c r="G20" s="424">
        <f t="shared" si="9"/>
        <v>0</v>
      </c>
      <c r="H20" s="424">
        <f t="shared" si="9"/>
        <v>0</v>
      </c>
      <c r="I20" s="424">
        <f t="shared" si="9"/>
        <v>0</v>
      </c>
      <c r="L20" s="293">
        <f>L145</f>
        <v>0</v>
      </c>
      <c r="M20" s="293">
        <f t="shared" ref="M20:Q20" si="10">M145</f>
        <v>0</v>
      </c>
      <c r="N20" s="293">
        <f t="shared" si="10"/>
        <v>0</v>
      </c>
      <c r="O20" s="293">
        <f t="shared" si="10"/>
        <v>0</v>
      </c>
      <c r="P20" s="293">
        <f t="shared" si="10"/>
        <v>0</v>
      </c>
      <c r="Q20" s="293">
        <f t="shared" si="10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86"/>
      <c r="AK20" s="286"/>
      <c r="AL20" s="286"/>
      <c r="AM20" s="286"/>
      <c r="AN20" s="286"/>
    </row>
    <row r="21" spans="1:40">
      <c r="A21" s="332"/>
      <c r="B21" s="449" t="str">
        <f>B149</f>
        <v>Appointments with x specialty (hours)</v>
      </c>
      <c r="C21" s="454"/>
      <c r="D21" s="428">
        <f t="shared" ref="D21:I21" si="11">D157</f>
        <v>0</v>
      </c>
      <c r="E21" s="428">
        <f t="shared" si="11"/>
        <v>0</v>
      </c>
      <c r="F21" s="428">
        <f t="shared" si="11"/>
        <v>0</v>
      </c>
      <c r="G21" s="428">
        <f t="shared" si="11"/>
        <v>0</v>
      </c>
      <c r="H21" s="428">
        <f t="shared" si="11"/>
        <v>0</v>
      </c>
      <c r="I21" s="428">
        <f t="shared" si="11"/>
        <v>0</v>
      </c>
      <c r="L21" s="293">
        <f>L157</f>
        <v>0</v>
      </c>
      <c r="M21" s="293">
        <f t="shared" ref="M21:P21" si="12">M157</f>
        <v>0</v>
      </c>
      <c r="N21" s="293">
        <f t="shared" si="12"/>
        <v>0</v>
      </c>
      <c r="O21" s="293">
        <f t="shared" si="12"/>
        <v>0</v>
      </c>
      <c r="P21" s="293">
        <f t="shared" si="12"/>
        <v>0</v>
      </c>
      <c r="Q21" s="293">
        <f>Q157</f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286"/>
      <c r="AK21" s="286"/>
      <c r="AL21" s="286"/>
      <c r="AM21" s="286"/>
      <c r="AN21" s="286"/>
    </row>
    <row r="22" spans="1:40">
      <c r="A22" s="290"/>
      <c r="B22" s="450" t="str">
        <f>B161</f>
        <v>Full blood count (hours)</v>
      </c>
      <c r="C22" s="455"/>
      <c r="D22" s="429">
        <f t="shared" ref="D22:I22" si="13">D169</f>
        <v>0</v>
      </c>
      <c r="E22" s="429">
        <f t="shared" si="13"/>
        <v>0</v>
      </c>
      <c r="F22" s="429">
        <f t="shared" si="13"/>
        <v>0</v>
      </c>
      <c r="G22" s="429">
        <f t="shared" si="13"/>
        <v>0</v>
      </c>
      <c r="H22" s="429">
        <f t="shared" si="13"/>
        <v>0</v>
      </c>
      <c r="I22" s="429">
        <f t="shared" si="13"/>
        <v>0</v>
      </c>
      <c r="L22" s="293">
        <f t="shared" ref="L22:Q22" si="14">L169</f>
        <v>0</v>
      </c>
      <c r="M22" s="293">
        <f t="shared" si="14"/>
        <v>0</v>
      </c>
      <c r="N22" s="293">
        <f t="shared" si="14"/>
        <v>0</v>
      </c>
      <c r="O22" s="293">
        <f t="shared" si="14"/>
        <v>0</v>
      </c>
      <c r="P22" s="293">
        <f t="shared" si="14"/>
        <v>0</v>
      </c>
      <c r="Q22" s="293">
        <f t="shared" si="14"/>
        <v>0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286"/>
      <c r="AK22" s="286"/>
      <c r="AL22" s="286"/>
      <c r="AM22" s="286"/>
      <c r="AN22" s="286"/>
    </row>
    <row r="23" spans="1:40">
      <c r="A23" s="290"/>
      <c r="B23" s="450" t="str">
        <f>B172</f>
        <v>CT scan (hours)</v>
      </c>
      <c r="C23" s="455"/>
      <c r="D23" s="429">
        <f>D180</f>
        <v>0</v>
      </c>
      <c r="E23" s="429">
        <f t="shared" ref="E23:I23" si="15">E180</f>
        <v>0</v>
      </c>
      <c r="F23" s="429">
        <f t="shared" si="15"/>
        <v>0</v>
      </c>
      <c r="G23" s="429">
        <f t="shared" si="15"/>
        <v>0</v>
      </c>
      <c r="H23" s="429">
        <f t="shared" si="15"/>
        <v>0</v>
      </c>
      <c r="I23" s="429">
        <f t="shared" si="15"/>
        <v>0</v>
      </c>
      <c r="L23" s="293">
        <f>L180</f>
        <v>0</v>
      </c>
      <c r="M23" s="293">
        <f t="shared" ref="M23:Q23" si="16">M180</f>
        <v>0</v>
      </c>
      <c r="N23" s="293">
        <f t="shared" si="16"/>
        <v>0</v>
      </c>
      <c r="O23" s="293">
        <f t="shared" si="16"/>
        <v>0</v>
      </c>
      <c r="P23" s="293">
        <f t="shared" si="16"/>
        <v>0</v>
      </c>
      <c r="Q23" s="293">
        <f t="shared" si="16"/>
        <v>0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286"/>
      <c r="AK23" s="286"/>
      <c r="AL23" s="286"/>
      <c r="AM23" s="286"/>
      <c r="AN23" s="286"/>
    </row>
    <row r="24" spans="1:40">
      <c r="A24" s="290"/>
      <c r="B24" s="450" t="str">
        <f>B183</f>
        <v>Liver function test (hours)</v>
      </c>
      <c r="C24" s="455"/>
      <c r="D24" s="429">
        <f>D191</f>
        <v>0</v>
      </c>
      <c r="E24" s="429">
        <f t="shared" ref="E24:I24" si="17">E191</f>
        <v>0</v>
      </c>
      <c r="F24" s="429">
        <f t="shared" si="17"/>
        <v>0</v>
      </c>
      <c r="G24" s="429">
        <f t="shared" si="17"/>
        <v>0</v>
      </c>
      <c r="H24" s="429">
        <f t="shared" si="17"/>
        <v>0</v>
      </c>
      <c r="I24" s="429">
        <f t="shared" si="17"/>
        <v>0</v>
      </c>
      <c r="L24" s="293">
        <f>L191</f>
        <v>0</v>
      </c>
      <c r="M24" s="293">
        <f t="shared" ref="M24:Q24" si="18">M191</f>
        <v>0</v>
      </c>
      <c r="N24" s="293">
        <f t="shared" si="18"/>
        <v>0</v>
      </c>
      <c r="O24" s="293">
        <f t="shared" si="18"/>
        <v>0</v>
      </c>
      <c r="P24" s="293">
        <f t="shared" si="18"/>
        <v>0</v>
      </c>
      <c r="Q24" s="293">
        <f t="shared" si="18"/>
        <v>0</v>
      </c>
      <c r="R24" s="133"/>
      <c r="S24" s="133"/>
      <c r="T24" s="133"/>
      <c r="U24" s="133"/>
      <c r="V24" s="133"/>
      <c r="W24" s="133"/>
      <c r="X24" s="133"/>
      <c r="Y24" s="133"/>
      <c r="Z24" s="133"/>
      <c r="AJ24" s="286"/>
      <c r="AK24" s="286"/>
      <c r="AL24" s="286"/>
      <c r="AM24" s="286"/>
      <c r="AN24" s="286"/>
    </row>
    <row r="25" spans="1:40">
      <c r="A25" s="290"/>
      <c r="B25" s="450" t="str">
        <f>B194</f>
        <v>Kidney function test (hours)</v>
      </c>
      <c r="C25" s="455"/>
      <c r="D25" s="429">
        <f>D202</f>
        <v>0</v>
      </c>
      <c r="E25" s="429">
        <f t="shared" ref="E25:I25" si="19">E202</f>
        <v>0</v>
      </c>
      <c r="F25" s="429">
        <f t="shared" si="19"/>
        <v>0</v>
      </c>
      <c r="G25" s="429">
        <f t="shared" si="19"/>
        <v>0</v>
      </c>
      <c r="H25" s="429">
        <f t="shared" si="19"/>
        <v>0</v>
      </c>
      <c r="I25" s="429">
        <f t="shared" si="19"/>
        <v>0</v>
      </c>
      <c r="L25" s="293">
        <f>L202</f>
        <v>0</v>
      </c>
      <c r="M25" s="293">
        <f t="shared" ref="M25:Q25" si="20">M202</f>
        <v>0</v>
      </c>
      <c r="N25" s="293">
        <f t="shared" si="20"/>
        <v>0</v>
      </c>
      <c r="O25" s="293">
        <f t="shared" si="20"/>
        <v>0</v>
      </c>
      <c r="P25" s="293">
        <f t="shared" si="20"/>
        <v>0</v>
      </c>
      <c r="Q25" s="293">
        <f t="shared" si="20"/>
        <v>0</v>
      </c>
      <c r="R25" s="133"/>
      <c r="S25" s="133"/>
      <c r="T25" s="133"/>
      <c r="U25" s="133"/>
      <c r="V25" s="133"/>
      <c r="W25" s="133"/>
      <c r="X25" s="133"/>
      <c r="Y25" s="133"/>
      <c r="Z25" s="133"/>
      <c r="AJ25" s="286"/>
      <c r="AK25" s="286"/>
      <c r="AL25" s="286"/>
      <c r="AM25" s="286"/>
      <c r="AN25" s="286"/>
    </row>
    <row r="26" spans="1:40">
      <c r="A26" s="290"/>
      <c r="B26" s="450" t="str">
        <f>B205</f>
        <v>PSA tests (hours)</v>
      </c>
      <c r="C26" s="455"/>
      <c r="D26" s="429">
        <f>D213</f>
        <v>0</v>
      </c>
      <c r="E26" s="429">
        <f t="shared" ref="E26:I26" si="21">E213</f>
        <v>0</v>
      </c>
      <c r="F26" s="429">
        <f t="shared" si="21"/>
        <v>0</v>
      </c>
      <c r="G26" s="429">
        <f t="shared" si="21"/>
        <v>0</v>
      </c>
      <c r="H26" s="429">
        <f t="shared" si="21"/>
        <v>0</v>
      </c>
      <c r="I26" s="429">
        <f t="shared" si="21"/>
        <v>0</v>
      </c>
      <c r="L26" s="293">
        <f>L213</f>
        <v>0</v>
      </c>
      <c r="M26" s="293">
        <f t="shared" ref="M26:Q26" si="22">M213</f>
        <v>0</v>
      </c>
      <c r="N26" s="293">
        <f t="shared" si="22"/>
        <v>0</v>
      </c>
      <c r="O26" s="293">
        <f t="shared" si="22"/>
        <v>0</v>
      </c>
      <c r="P26" s="293">
        <f t="shared" si="22"/>
        <v>0</v>
      </c>
      <c r="Q26" s="293">
        <f t="shared" si="22"/>
        <v>0</v>
      </c>
      <c r="R26" s="133"/>
      <c r="S26" s="133"/>
      <c r="T26" s="133"/>
      <c r="U26" s="133"/>
      <c r="V26" s="133"/>
      <c r="W26" s="133"/>
      <c r="X26" s="133"/>
      <c r="Y26" s="133"/>
      <c r="Z26" s="133"/>
      <c r="AJ26" s="286"/>
      <c r="AK26" s="286"/>
      <c r="AL26" s="286"/>
      <c r="AM26" s="286"/>
      <c r="AN26" s="286"/>
    </row>
    <row r="27" spans="1:40">
      <c r="A27" s="291"/>
      <c r="B27" s="451" t="str">
        <f>B217</f>
        <v>Adverse events, various (cases)</v>
      </c>
      <c r="C27" s="435"/>
      <c r="D27" s="430">
        <f t="shared" ref="D27:I27" si="23">D225</f>
        <v>12567.085390763357</v>
      </c>
      <c r="E27" s="430">
        <f t="shared" si="23"/>
        <v>12119.003430766079</v>
      </c>
      <c r="F27" s="430">
        <f t="shared" si="23"/>
        <v>11546.162347591255</v>
      </c>
      <c r="G27" s="430">
        <f t="shared" si="23"/>
        <v>11215.738721471955</v>
      </c>
      <c r="H27" s="430">
        <f t="shared" si="23"/>
        <v>10894.319409227268</v>
      </c>
      <c r="I27" s="430">
        <f t="shared" si="23"/>
        <v>10696.636698156333</v>
      </c>
      <c r="J27" s="133"/>
      <c r="K27" s="133"/>
      <c r="L27" s="293">
        <f t="shared" ref="L27:P27" si="24">L225</f>
        <v>53303.272175439422</v>
      </c>
      <c r="M27" s="293">
        <f t="shared" si="24"/>
        <v>51402.733273380712</v>
      </c>
      <c r="N27" s="293">
        <f t="shared" si="24"/>
        <v>48973.028753971346</v>
      </c>
      <c r="O27" s="293">
        <f t="shared" si="24"/>
        <v>47571.537483037711</v>
      </c>
      <c r="P27" s="293">
        <f t="shared" si="24"/>
        <v>46208.237994708172</v>
      </c>
      <c r="Q27" s="293">
        <f>Q225</f>
        <v>45369.767098318982</v>
      </c>
      <c r="R27" s="133"/>
      <c r="S27" s="133"/>
      <c r="T27" s="133"/>
      <c r="U27" s="133"/>
      <c r="V27" s="133"/>
      <c r="W27" s="133"/>
      <c r="X27" s="133"/>
      <c r="Y27" s="133"/>
      <c r="Z27" s="133"/>
    </row>
    <row r="28" spans="1:40">
      <c r="B28" s="250"/>
      <c r="D28" s="286"/>
      <c r="F28" s="133"/>
      <c r="G28" s="133"/>
      <c r="H28" s="133"/>
      <c r="I28" s="133"/>
      <c r="J28" s="133"/>
      <c r="K28" s="133"/>
      <c r="L28" s="294">
        <f t="shared" ref="L28:Q28" si="25">SUM(L10:L27)</f>
        <v>87355.353945714043</v>
      </c>
      <c r="M28" s="294">
        <f t="shared" si="25"/>
        <v>84169.454941952179</v>
      </c>
      <c r="N28" s="294">
        <f t="shared" si="25"/>
        <v>80092.58786470523</v>
      </c>
      <c r="O28" s="294">
        <f t="shared" si="25"/>
        <v>77668.752234169689</v>
      </c>
      <c r="P28" s="294">
        <f t="shared" si="25"/>
        <v>75326.135938512263</v>
      </c>
      <c r="Q28" s="294">
        <f t="shared" si="25"/>
        <v>73910.778528426046</v>
      </c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40"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P29" s="133"/>
      <c r="Q29" s="133"/>
      <c r="R29" s="133"/>
      <c r="S29" s="133"/>
      <c r="V29" s="133"/>
      <c r="W29" s="133"/>
      <c r="X29" s="133"/>
      <c r="Y29" s="133"/>
      <c r="Z29" s="133"/>
      <c r="AJ29" s="286"/>
      <c r="AK29" s="286"/>
      <c r="AL29" s="286"/>
      <c r="AM29" s="286"/>
      <c r="AN29" s="286"/>
    </row>
    <row r="30" spans="1:40">
      <c r="B30" s="374" t="s">
        <v>738</v>
      </c>
      <c r="C30" s="375"/>
      <c r="D30" s="375"/>
      <c r="E30" s="376"/>
      <c r="F30" s="375"/>
      <c r="G30" s="377"/>
      <c r="H30" s="378"/>
      <c r="I30" s="378"/>
      <c r="J30" s="378"/>
      <c r="K30" s="378"/>
      <c r="L30" s="378"/>
      <c r="M30" s="378"/>
      <c r="N30" s="378"/>
      <c r="O30" s="378"/>
      <c r="P30" s="378"/>
      <c r="Q30" s="379"/>
      <c r="R30" s="133"/>
      <c r="S30" s="133"/>
      <c r="T30" s="133"/>
      <c r="U30" s="133"/>
      <c r="V30" s="133"/>
      <c r="W30" s="133"/>
      <c r="X30" s="133"/>
      <c r="Y30" s="133"/>
      <c r="Z30" s="133"/>
      <c r="AJ30" s="286"/>
      <c r="AK30" s="286"/>
      <c r="AL30" s="286"/>
      <c r="AM30" s="286"/>
      <c r="AN30" s="286"/>
    </row>
    <row r="31" spans="1:40" hidden="1">
      <c r="A31" s="288"/>
      <c r="B31" s="708"/>
      <c r="C31" s="703"/>
      <c r="D31" s="704"/>
      <c r="E31" s="705"/>
      <c r="F31" s="288"/>
      <c r="G31" s="288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133"/>
      <c r="S31" s="133"/>
      <c r="T31" s="133"/>
      <c r="U31" s="133"/>
      <c r="V31" s="133"/>
      <c r="W31" s="133"/>
      <c r="X31" s="133"/>
      <c r="Y31" s="133"/>
      <c r="Z31" s="133"/>
      <c r="AJ31" s="286"/>
      <c r="AK31" s="286"/>
      <c r="AL31" s="286"/>
      <c r="AM31" s="286"/>
      <c r="AN31" s="286"/>
    </row>
    <row r="32" spans="1:40" hidden="1">
      <c r="A32" s="288"/>
      <c r="B32" s="679" t="s">
        <v>1023</v>
      </c>
      <c r="C32" s="713"/>
      <c r="D32" s="713"/>
      <c r="E32" s="680"/>
      <c r="F32" s="681"/>
      <c r="G32" s="307"/>
      <c r="H32" s="307"/>
      <c r="I32" s="387"/>
      <c r="J32" s="714"/>
      <c r="K32" s="288"/>
      <c r="L32" s="288"/>
      <c r="M32" s="288"/>
      <c r="N32" s="288"/>
      <c r="O32" s="288"/>
      <c r="P32" s="288"/>
      <c r="Q32" s="221"/>
      <c r="R32" s="133"/>
      <c r="S32" s="133"/>
      <c r="V32" s="133"/>
    </row>
    <row r="33" spans="1:40" hidden="1">
      <c r="A33" s="706"/>
      <c r="B33" s="707" t="s">
        <v>1013</v>
      </c>
      <c r="C33" s="397"/>
      <c r="D33" s="397"/>
      <c r="E33" s="397"/>
      <c r="F33" s="397"/>
      <c r="G33" s="397"/>
      <c r="H33" s="397"/>
      <c r="I33" s="220"/>
      <c r="J33" s="221"/>
      <c r="K33" s="221"/>
      <c r="L33" s="221"/>
      <c r="M33" s="221"/>
      <c r="N33" s="221"/>
      <c r="O33" s="221"/>
      <c r="P33" s="221"/>
      <c r="Q33" s="221"/>
      <c r="R33" s="133"/>
      <c r="S33" s="133"/>
      <c r="T33" s="133"/>
      <c r="U33" s="133"/>
      <c r="V33" s="133"/>
      <c r="W33" s="133"/>
      <c r="X33" s="133"/>
      <c r="Y33" s="133"/>
      <c r="Z33" s="133"/>
      <c r="AJ33" s="286"/>
      <c r="AK33" s="286"/>
      <c r="AL33" s="286"/>
      <c r="AM33" s="286"/>
      <c r="AN33" s="286"/>
    </row>
    <row r="34" spans="1:40" ht="43.5" hidden="1">
      <c r="A34" s="706"/>
      <c r="B34" s="320" t="s">
        <v>123</v>
      </c>
      <c r="C34" s="166" t="s">
        <v>739</v>
      </c>
      <c r="D34" s="425" t="s">
        <v>730</v>
      </c>
      <c r="E34" s="258" t="s">
        <v>50</v>
      </c>
      <c r="F34" s="258" t="s">
        <v>51</v>
      </c>
      <c r="G34" s="165" t="s">
        <v>731</v>
      </c>
      <c r="H34" s="165" t="s">
        <v>732</v>
      </c>
      <c r="I34" s="258" t="s">
        <v>733</v>
      </c>
      <c r="J34" s="711"/>
      <c r="K34" s="715" t="s">
        <v>1045</v>
      </c>
      <c r="L34" s="425" t="s">
        <v>730</v>
      </c>
      <c r="M34" s="258" t="s">
        <v>50</v>
      </c>
      <c r="N34" s="258" t="s">
        <v>51</v>
      </c>
      <c r="O34" s="165" t="s">
        <v>731</v>
      </c>
      <c r="P34" s="165" t="s">
        <v>732</v>
      </c>
      <c r="Q34" s="258" t="s">
        <v>733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6"/>
      <c r="AK34" s="286"/>
      <c r="AL34" s="286"/>
      <c r="AM34" s="286"/>
      <c r="AN34" s="286"/>
    </row>
    <row r="35" spans="1:40" hidden="1">
      <c r="A35" s="706"/>
      <c r="B35" s="351" t="s">
        <v>1054</v>
      </c>
      <c r="C35" s="677" t="e">
        <f>'Inputs and eligible population'!#REF!</f>
        <v>#REF!</v>
      </c>
      <c r="D35" s="128" t="e">
        <f>'Financial impact (cash)'!D15*$C$35</f>
        <v>#REF!</v>
      </c>
      <c r="E35" s="128" t="e">
        <f>'Financial impact (cash)'!E15*$C$35</f>
        <v>#REF!</v>
      </c>
      <c r="F35" s="128" t="e">
        <f>'Financial impact (cash)'!F15*$C$35</f>
        <v>#REF!</v>
      </c>
      <c r="G35" s="128" t="e">
        <f>'Financial impact (cash)'!G15*$C$35</f>
        <v>#REF!</v>
      </c>
      <c r="H35" s="128" t="e">
        <f>'Financial impact (cash)'!H15*$C$35</f>
        <v>#REF!</v>
      </c>
      <c r="I35" s="128" t="e">
        <f>'Financial impact (cash)'!I15*$C$35</f>
        <v>#REF!</v>
      </c>
      <c r="J35" s="711"/>
      <c r="K35" s="716">
        <f>'Inputs and eligible population'!$N$94</f>
        <v>103.07</v>
      </c>
      <c r="L35" s="293" t="e">
        <f>(D35*'Inputs and eligible population'!$F94/60*'Inputs and eligible population'!$N$94)/1000</f>
        <v>#REF!</v>
      </c>
      <c r="M35" s="293" t="e">
        <f>(E35*'Inputs and eligible population'!$F94/60*'Inputs and eligible population'!$N$94)/1000</f>
        <v>#REF!</v>
      </c>
      <c r="N35" s="293" t="e">
        <f>(F35*'Inputs and eligible population'!$F94/60*'Inputs and eligible population'!$N$94)/1000</f>
        <v>#REF!</v>
      </c>
      <c r="O35" s="293" t="e">
        <f>(G35*'Inputs and eligible population'!$F94/60*'Inputs and eligible population'!$N$94)/1000</f>
        <v>#REF!</v>
      </c>
      <c r="P35" s="293" t="e">
        <f>(H35*'Inputs and eligible population'!$F94/60*'Inputs and eligible population'!$N$94)/1000</f>
        <v>#REF!</v>
      </c>
      <c r="Q35" s="293" t="e">
        <f>(I35*'Inputs and eligible population'!$F94/60*'Inputs and eligible population'!$N$94)/1000</f>
        <v>#REF!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86"/>
      <c r="AK35" s="286"/>
      <c r="AL35" s="286"/>
      <c r="AM35" s="286"/>
      <c r="AN35" s="286"/>
    </row>
    <row r="36" spans="1:40" hidden="1">
      <c r="A36" s="706"/>
      <c r="B36" s="351" t="s">
        <v>1055</v>
      </c>
      <c r="C36" s="677" t="e">
        <f>'Inputs and eligible population'!#REF!</f>
        <v>#REF!</v>
      </c>
      <c r="D36" s="128" t="e">
        <f>'Financial impact (cash)'!D16*$C$35</f>
        <v>#REF!</v>
      </c>
      <c r="E36" s="128" t="e">
        <f>'Financial impact (cash)'!E16*$C$35</f>
        <v>#REF!</v>
      </c>
      <c r="F36" s="128" t="e">
        <f>'Financial impact (cash)'!F16*$C$35</f>
        <v>#REF!</v>
      </c>
      <c r="G36" s="128" t="e">
        <f>'Financial impact (cash)'!G16*$C$35</f>
        <v>#REF!</v>
      </c>
      <c r="H36" s="128" t="e">
        <f>'Financial impact (cash)'!H16*$C$35</f>
        <v>#REF!</v>
      </c>
      <c r="I36" s="128" t="e">
        <f>'Financial impact (cash)'!I16*$C$35</f>
        <v>#REF!</v>
      </c>
      <c r="J36" s="711"/>
      <c r="K36" s="716">
        <f>'Inputs and eligible population'!$N$94</f>
        <v>103.07</v>
      </c>
      <c r="L36" s="293" t="e">
        <f>(D36*'Inputs and eligible population'!$G$94/60*'Inputs and eligible population'!$N$94)/1000</f>
        <v>#REF!</v>
      </c>
      <c r="M36" s="293" t="e">
        <f>(E36*'Inputs and eligible population'!$G$94/60*'Inputs and eligible population'!$N$94)/1000</f>
        <v>#REF!</v>
      </c>
      <c r="N36" s="293" t="e">
        <f>(F36*'Inputs and eligible population'!$G$94/60*'Inputs and eligible population'!$N$94)/1000</f>
        <v>#REF!</v>
      </c>
      <c r="O36" s="293" t="e">
        <f>(G36*'Inputs and eligible population'!$G$94/60*'Inputs and eligible population'!$N$94)/1000</f>
        <v>#REF!</v>
      </c>
      <c r="P36" s="293" t="e">
        <f>(H36*'Inputs and eligible population'!$G$94/60*'Inputs and eligible population'!$N$94)/1000</f>
        <v>#REF!</v>
      </c>
      <c r="Q36" s="293" t="e">
        <f>(I36*'Inputs and eligible population'!$G$94/60*'Inputs and eligible population'!$N$94)/1000</f>
        <v>#REF!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286"/>
      <c r="AK36" s="286"/>
      <c r="AL36" s="286"/>
      <c r="AM36" s="286"/>
      <c r="AN36" s="286"/>
    </row>
    <row r="37" spans="1:40" hidden="1">
      <c r="A37" s="706"/>
      <c r="B37" s="351" t="s">
        <v>1056</v>
      </c>
      <c r="C37" s="677" t="e">
        <f>'Inputs and eligible population'!#REF!</f>
        <v>#REF!</v>
      </c>
      <c r="D37" s="128" t="e">
        <f>'Financial impact (cash)'!D17*$C$35</f>
        <v>#REF!</v>
      </c>
      <c r="E37" s="128" t="e">
        <f>'Financial impact (cash)'!E17*$C$35</f>
        <v>#REF!</v>
      </c>
      <c r="F37" s="128" t="e">
        <f>'Financial impact (cash)'!F17*$C$35</f>
        <v>#REF!</v>
      </c>
      <c r="G37" s="128" t="e">
        <f>'Financial impact (cash)'!G17*$C$35</f>
        <v>#REF!</v>
      </c>
      <c r="H37" s="128" t="e">
        <f>'Financial impact (cash)'!H17*$C$35</f>
        <v>#REF!</v>
      </c>
      <c r="I37" s="128" t="e">
        <f>'Financial impact (cash)'!I17*$C$35</f>
        <v>#REF!</v>
      </c>
      <c r="J37" s="711"/>
      <c r="K37" s="716">
        <f>'Inputs and eligible population'!$N$94</f>
        <v>103.07</v>
      </c>
      <c r="L37" s="293" t="e">
        <f>(D37*'Inputs and eligible population'!$H$94/60*'Inputs and eligible population'!$N$94)/1000</f>
        <v>#REF!</v>
      </c>
      <c r="M37" s="293" t="e">
        <f>(E37*'Inputs and eligible population'!$H$94/60*'Inputs and eligible population'!$N$94)/1000</f>
        <v>#REF!</v>
      </c>
      <c r="N37" s="293" t="e">
        <f>(F37*'Inputs and eligible population'!$H$94/60*'Inputs and eligible population'!$N$94)/1000</f>
        <v>#REF!</v>
      </c>
      <c r="O37" s="293" t="e">
        <f>(G37*'Inputs and eligible population'!$H$94/60*'Inputs and eligible population'!$N$94)/1000</f>
        <v>#REF!</v>
      </c>
      <c r="P37" s="293" t="e">
        <f>(H37*'Inputs and eligible population'!$H$94/60*'Inputs and eligible population'!$N$94)/1000</f>
        <v>#REF!</v>
      </c>
      <c r="Q37" s="293" t="e">
        <f>(I37*'Inputs and eligible population'!$H$94/60*'Inputs and eligible population'!$N$94)/1000</f>
        <v>#REF!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86"/>
      <c r="AK37" s="286"/>
      <c r="AL37" s="286"/>
      <c r="AM37" s="286"/>
      <c r="AN37" s="286"/>
    </row>
    <row r="38" spans="1:40" hidden="1">
      <c r="A38" s="706"/>
      <c r="B38" s="555"/>
      <c r="C38" s="283"/>
      <c r="D38" s="187" t="e">
        <f t="shared" ref="D38:I38" si="26">SUM(D35:D37)</f>
        <v>#REF!</v>
      </c>
      <c r="E38" s="187" t="e">
        <f t="shared" si="26"/>
        <v>#REF!</v>
      </c>
      <c r="F38" s="187" t="e">
        <f t="shared" si="26"/>
        <v>#REF!</v>
      </c>
      <c r="G38" s="187" t="e">
        <f t="shared" si="26"/>
        <v>#REF!</v>
      </c>
      <c r="H38" s="187" t="e">
        <f t="shared" si="26"/>
        <v>#REF!</v>
      </c>
      <c r="I38" s="187" t="e">
        <f t="shared" si="26"/>
        <v>#REF!</v>
      </c>
      <c r="J38" s="711"/>
      <c r="K38" s="221"/>
      <c r="L38" s="294" t="e">
        <f t="shared" ref="L38:Q38" si="27">SUM(L35:L37)</f>
        <v>#REF!</v>
      </c>
      <c r="M38" s="294" t="e">
        <f t="shared" si="27"/>
        <v>#REF!</v>
      </c>
      <c r="N38" s="294" t="e">
        <f t="shared" si="27"/>
        <v>#REF!</v>
      </c>
      <c r="O38" s="294" t="e">
        <f t="shared" si="27"/>
        <v>#REF!</v>
      </c>
      <c r="P38" s="294" t="e">
        <f t="shared" si="27"/>
        <v>#REF!</v>
      </c>
      <c r="Q38" s="294" t="e">
        <f t="shared" si="27"/>
        <v>#REF!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6"/>
      <c r="AK38" s="286"/>
      <c r="AL38" s="286"/>
      <c r="AM38" s="286"/>
      <c r="AN38" s="286"/>
    </row>
    <row r="39" spans="1:40" hidden="1">
      <c r="A39" s="706"/>
      <c r="B39" s="259"/>
      <c r="C39" s="259"/>
      <c r="D39" s="285" t="s">
        <v>1028</v>
      </c>
      <c r="E39" s="187" t="e">
        <f>E38-$D$38</f>
        <v>#REF!</v>
      </c>
      <c r="F39" s="187" t="e">
        <f>F38-$D$38</f>
        <v>#REF!</v>
      </c>
      <c r="G39" s="187" t="e">
        <f>G38-$D$38</f>
        <v>#REF!</v>
      </c>
      <c r="H39" s="187" t="e">
        <f>H38-$D$38</f>
        <v>#REF!</v>
      </c>
      <c r="I39" s="187" t="e">
        <f>I38-$D$38</f>
        <v>#REF!</v>
      </c>
      <c r="J39" s="711"/>
      <c r="K39" s="221"/>
      <c r="L39" s="221"/>
      <c r="M39" s="294" t="e">
        <f>M38-L38</f>
        <v>#REF!</v>
      </c>
      <c r="N39" s="294" t="e">
        <f t="shared" ref="N39:Q39" si="28">N38-M38</f>
        <v>#REF!</v>
      </c>
      <c r="O39" s="294" t="e">
        <f t="shared" si="28"/>
        <v>#REF!</v>
      </c>
      <c r="P39" s="294" t="e">
        <f t="shared" si="28"/>
        <v>#REF!</v>
      </c>
      <c r="Q39" s="294" t="e">
        <f t="shared" si="28"/>
        <v>#REF!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286"/>
      <c r="AK39" s="286"/>
      <c r="AL39" s="286"/>
      <c r="AM39" s="286"/>
      <c r="AN39" s="286"/>
    </row>
    <row r="40" spans="1:40" hidden="1">
      <c r="A40" s="288"/>
      <c r="B40" s="708"/>
      <c r="C40" s="703"/>
      <c r="D40" s="704"/>
      <c r="E40" s="705"/>
      <c r="F40" s="288"/>
      <c r="G40" s="288"/>
      <c r="H40" s="288"/>
      <c r="I40" s="307"/>
      <c r="J40" s="221"/>
      <c r="K40" s="221"/>
      <c r="L40" s="221"/>
      <c r="M40" s="221"/>
      <c r="N40" s="221"/>
      <c r="O40" s="221"/>
      <c r="P40" s="221"/>
      <c r="Q40" s="221"/>
      <c r="R40" s="133"/>
      <c r="S40" s="133"/>
      <c r="T40" s="133"/>
      <c r="U40" s="133"/>
      <c r="V40" s="133"/>
      <c r="W40" s="133"/>
      <c r="X40" s="133"/>
      <c r="Y40" s="133"/>
      <c r="Z40" s="133"/>
      <c r="AJ40" s="286"/>
      <c r="AK40" s="286"/>
      <c r="AL40" s="286"/>
      <c r="AM40" s="286"/>
      <c r="AN40" s="286"/>
    </row>
    <row r="41" spans="1:40">
      <c r="A41" s="288"/>
      <c r="B41" s="396" t="s">
        <v>1172</v>
      </c>
      <c r="C41" s="397"/>
      <c r="D41" s="397"/>
      <c r="E41" s="397"/>
      <c r="F41" s="397"/>
      <c r="G41" s="397"/>
      <c r="H41" s="397"/>
      <c r="I41" s="220"/>
      <c r="J41" s="221"/>
      <c r="K41" s="221"/>
      <c r="L41" s="221"/>
      <c r="M41" s="221"/>
      <c r="N41" s="221"/>
      <c r="O41" s="221"/>
      <c r="P41" s="221"/>
      <c r="Q41" s="221"/>
      <c r="R41" s="133"/>
      <c r="S41" s="133"/>
      <c r="T41" s="133"/>
      <c r="U41" s="133"/>
      <c r="V41" s="133"/>
      <c r="W41" s="133"/>
      <c r="X41" s="133"/>
      <c r="Y41" s="133"/>
      <c r="Z41" s="133"/>
      <c r="AJ41" s="286"/>
      <c r="AK41" s="286"/>
      <c r="AL41" s="286"/>
      <c r="AM41" s="286"/>
      <c r="AN41" s="286"/>
    </row>
    <row r="42" spans="1:40" ht="43.5">
      <c r="A42" s="288"/>
      <c r="B42" s="279" t="s">
        <v>123</v>
      </c>
      <c r="C42" s="166" t="s">
        <v>739</v>
      </c>
      <c r="D42" s="425" t="s">
        <v>730</v>
      </c>
      <c r="E42" s="258" t="s">
        <v>50</v>
      </c>
      <c r="F42" s="258" t="s">
        <v>51</v>
      </c>
      <c r="G42" s="165" t="s">
        <v>731</v>
      </c>
      <c r="H42" s="165" t="s">
        <v>732</v>
      </c>
      <c r="I42" s="258" t="s">
        <v>733</v>
      </c>
      <c r="J42" s="221"/>
      <c r="K42" s="715" t="s">
        <v>1045</v>
      </c>
      <c r="L42" s="425" t="s">
        <v>730</v>
      </c>
      <c r="M42" s="258" t="s">
        <v>50</v>
      </c>
      <c r="N42" s="258" t="s">
        <v>51</v>
      </c>
      <c r="O42" s="165" t="s">
        <v>731</v>
      </c>
      <c r="P42" s="165" t="s">
        <v>732</v>
      </c>
      <c r="Q42" s="258" t="s">
        <v>733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86"/>
      <c r="AK42" s="286"/>
      <c r="AL42" s="286"/>
      <c r="AM42" s="286"/>
      <c r="AN42" s="286"/>
    </row>
    <row r="43" spans="1:40">
      <c r="A43" s="288"/>
      <c r="B43" s="351" t="str">
        <f>Summary!B14</f>
        <v>People receiving relugolix</v>
      </c>
      <c r="C43" s="677">
        <f>'Inputs and eligible population'!F95</f>
        <v>4</v>
      </c>
      <c r="D43" s="128">
        <f>('Financial impact (cash)'!D15*$C$43+'Financial impact (cash)'!D24*'Capacity (local prices)'!$C$43)*'Inputs and eligible population'!$F96/60</f>
        <v>0</v>
      </c>
      <c r="E43" s="128">
        <f>('Financial impact (cash)'!E15*$C$43+'Financial impact (cash)'!E24*'Capacity (local prices)'!$C$43)*'Inputs and eligible population'!$F96/60</f>
        <v>7708.0695980867458</v>
      </c>
      <c r="F43" s="128">
        <f>('Financial impact (cash)'!F15*$C$43+'Financial impact (cash)'!F24*'Capacity (local prices)'!$C$43)*'Inputs and eligible population'!$F96/60</f>
        <v>18084.588692846828</v>
      </c>
      <c r="G43" s="128">
        <f>('Financial impact (cash)'!G15*$C$43+'Financial impact (cash)'!G24*'Capacity (local prices)'!$C$43)*'Inputs and eligible population'!$F96/60</f>
        <v>25136.470761868924</v>
      </c>
      <c r="H43" s="128">
        <f>('Financial impact (cash)'!H15*$C$43+'Financial impact (cash)'!H24*'Capacity (local prices)'!$C$43)*'Inputs and eligible population'!$F96/60</f>
        <v>32866.707282675881</v>
      </c>
      <c r="I43" s="128">
        <f>('Financial impact (cash)'!I15*$C$43+'Financial impact (cash)'!I24*'Capacity (local prices)'!$C$43)*'Inputs and eligible population'!$F96/60</f>
        <v>38617.831923032965</v>
      </c>
      <c r="J43" s="221"/>
      <c r="K43" s="716">
        <f>'Inputs and eligible population'!$N$96</f>
        <v>103.07</v>
      </c>
      <c r="L43" s="293">
        <f>$K43*D43/1000</f>
        <v>0</v>
      </c>
      <c r="M43" s="293">
        <f t="shared" ref="M43:Q43" si="29">$K43*E43/1000</f>
        <v>794.4707334748008</v>
      </c>
      <c r="N43" s="293">
        <f t="shared" si="29"/>
        <v>1863.9785565717225</v>
      </c>
      <c r="O43" s="293">
        <f t="shared" si="29"/>
        <v>2590.8160414258296</v>
      </c>
      <c r="P43" s="293">
        <f t="shared" si="29"/>
        <v>3387.5715196254032</v>
      </c>
      <c r="Q43" s="293">
        <f t="shared" si="29"/>
        <v>3980.3399363070075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86"/>
      <c r="AK43" s="286"/>
      <c r="AL43" s="286"/>
      <c r="AM43" s="286"/>
      <c r="AN43" s="286"/>
    </row>
    <row r="44" spans="1:40">
      <c r="A44" s="288"/>
      <c r="B44" s="351" t="str">
        <f>Summary!B15</f>
        <v>People receiving degarelix</v>
      </c>
      <c r="C44" s="677">
        <f>'Inputs and eligible population'!G95</f>
        <v>4</v>
      </c>
      <c r="D44" s="128">
        <f>('Financial impact (cash)'!D16*$C$44+'Financial impact (cash)'!D25*'Capacity (local prices)'!$C$44)*'Inputs and eligible population'!$G96/60</f>
        <v>6737.9889726100937</v>
      </c>
      <c r="E44" s="128">
        <f>('Financial impact (cash)'!E16*$C$44+'Financial impact (cash)'!E25*'Capacity (local prices)'!$C$44)*'Inputs and eligible population'!$G96/60</f>
        <v>5991.71867601336</v>
      </c>
      <c r="F44" s="128">
        <f>('Financial impact (cash)'!F16*$C$44+'Financial impact (cash)'!F25*'Capacity (local prices)'!$C$44)*'Inputs and eligible population'!$G96/60</f>
        <v>5003.3766707437326</v>
      </c>
      <c r="G44" s="128">
        <f>('Financial impact (cash)'!G16*$C$44+'Financial impact (cash)'!G25*'Capacity (local prices)'!$C$44)*'Inputs and eligible population'!$G96/60</f>
        <v>4091.3573059479199</v>
      </c>
      <c r="H44" s="128">
        <f>('Financial impact (cash)'!H16*$C$44+'Financial impact (cash)'!H25*'Capacity (local prices)'!$C$44)*'Inputs and eligible population'!$G96/60</f>
        <v>3379.245471936646</v>
      </c>
      <c r="I44" s="128">
        <f>('Financial impact (cash)'!I16*$C$44+'Financial impact (cash)'!I25*'Capacity (local prices)'!$C$44)*'Inputs and eligible population'!$G96/60</f>
        <v>3076.2943479039072</v>
      </c>
      <c r="J44" s="221"/>
      <c r="K44" s="716">
        <f>'Inputs and eligible population'!$N$96</f>
        <v>103.07</v>
      </c>
      <c r="L44" s="293">
        <f t="shared" ref="L44:L48" si="30">$K44*D44/1000</f>
        <v>694.48452340692234</v>
      </c>
      <c r="M44" s="293">
        <f t="shared" ref="M44:M48" si="31">$K44*E44/1000</f>
        <v>617.56644393669694</v>
      </c>
      <c r="N44" s="293">
        <f t="shared" ref="N44:N48" si="32">$K44*F44/1000</f>
        <v>515.69803345355649</v>
      </c>
      <c r="O44" s="293">
        <f t="shared" ref="O44:O48" si="33">$K44*G44/1000</f>
        <v>421.69619752405208</v>
      </c>
      <c r="P44" s="293">
        <f t="shared" ref="P44:P48" si="34">$K44*H44/1000</f>
        <v>348.29883079251005</v>
      </c>
      <c r="Q44" s="293">
        <f t="shared" ref="Q44:Q48" si="35">$K44*I44/1000</f>
        <v>317.07365843845571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86"/>
      <c r="AK44" s="286"/>
      <c r="AL44" s="286"/>
      <c r="AM44" s="286"/>
      <c r="AN44" s="286"/>
    </row>
    <row r="45" spans="1:40">
      <c r="A45" s="288"/>
      <c r="B45" s="351" t="str">
        <f>Summary!B16</f>
        <v>People receiving leuprolide</v>
      </c>
      <c r="C45" s="677">
        <f>'Inputs and eligible population'!H95</f>
        <v>4</v>
      </c>
      <c r="D45" s="128">
        <f>('Financial impact (cash)'!D17*$C$45+'Financial impact (cash)'!D26*'Capacity (local prices)'!$C$45)*'Inputs and eligible population'!$H96/60</f>
        <v>58216.224723351203</v>
      </c>
      <c r="E45" s="128">
        <f>('Financial impact (cash)'!E17*$C$45+'Financial impact (cash)'!E26*'Capacity (local prices)'!$C$45)*'Inputs and eligible population'!$H96/60</f>
        <v>54214.476779881625</v>
      </c>
      <c r="F45" s="128">
        <f>('Financial impact (cash)'!F17*$C$45+'Financial impact (cash)'!F26*'Capacity (local prices)'!$C$45)*'Inputs and eligible population'!$H96/60</f>
        <v>48829.663659159109</v>
      </c>
      <c r="G45" s="128">
        <f>('Financial impact (cash)'!G17*$C$45+'Financial impact (cash)'!G26*'Capacity (local prices)'!$C$45)*'Inputs and eligible population'!$H96/60</f>
        <v>45695.005410794511</v>
      </c>
      <c r="H45" s="128">
        <f>('Financial impact (cash)'!H17*$C$45+'Financial impact (cash)'!H26*'Capacity (local prices)'!$C$45)*'Inputs and eligible population'!$H96/60</f>
        <v>42738.557510516628</v>
      </c>
      <c r="I45" s="128">
        <f>('Financial impact (cash)'!I17*$C$45+'Financial impact (cash)'!I26*'Capacity (local prices)'!$C$45)*'Inputs and eligible population'!$H96/60</f>
        <v>40620.834271779786</v>
      </c>
      <c r="J45" s="221"/>
      <c r="K45" s="716">
        <f>'Inputs and eligible population'!$N$96</f>
        <v>103.07</v>
      </c>
      <c r="L45" s="293">
        <f t="shared" si="30"/>
        <v>6000.3462822358078</v>
      </c>
      <c r="M45" s="293">
        <f t="shared" si="31"/>
        <v>5587.8861217023987</v>
      </c>
      <c r="N45" s="293">
        <f t="shared" si="32"/>
        <v>5032.8734333495295</v>
      </c>
      <c r="O45" s="293">
        <f t="shared" si="33"/>
        <v>4709.7842076905899</v>
      </c>
      <c r="P45" s="293">
        <f t="shared" si="34"/>
        <v>4405.0631226089481</v>
      </c>
      <c r="Q45" s="293">
        <f t="shared" si="35"/>
        <v>4186.7893883923425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6"/>
      <c r="AK45" s="286"/>
      <c r="AL45" s="286"/>
      <c r="AM45" s="286"/>
      <c r="AN45" s="286"/>
    </row>
    <row r="46" spans="1:40">
      <c r="A46" s="288"/>
      <c r="B46" s="351" t="str">
        <f>Summary!B17</f>
        <v>People receiving triptorelin</v>
      </c>
      <c r="C46" s="677">
        <f>'Inputs and eligible population'!I95</f>
        <v>4</v>
      </c>
      <c r="D46" s="128">
        <f>('Financial impact (cash)'!D18*$C$46+'Financial impact (cash)'!D27*'Capacity (local prices)'!$C$46)*'Inputs and eligible population'!$I96/60</f>
        <v>37193.699128807719</v>
      </c>
      <c r="E46" s="128">
        <f>('Financial impact (cash)'!E18*$C$46+'Financial impact (cash)'!E27*'Capacity (local prices)'!$C$46)*'Inputs and eligible population'!$I96/60</f>
        <v>35222.269152927249</v>
      </c>
      <c r="F46" s="128">
        <f>('Financial impact (cash)'!F18*$C$46+'Financial impact (cash)'!F27*'Capacity (local prices)'!$C$46)*'Inputs and eligible population'!$I96/60</f>
        <v>32589.034477613652</v>
      </c>
      <c r="G46" s="128">
        <f>('Financial impact (cash)'!G18*$C$46+'Financial impact (cash)'!G27*'Capacity (local prices)'!$C$46)*'Inputs and eligible population'!$I96/60</f>
        <v>30563.976614078678</v>
      </c>
      <c r="H46" s="128">
        <f>('Financial impact (cash)'!H18*$C$46+'Financial impact (cash)'!H27*'Capacity (local prices)'!$C$46)*'Inputs and eligible population'!$I96/60</f>
        <v>28101.088791555267</v>
      </c>
      <c r="I46" s="128">
        <f>('Financial impact (cash)'!I18*$C$46+'Financial impact (cash)'!I27*'Capacity (local prices)'!$C$46)*'Inputs and eligible population'!$I96/60</f>
        <v>26465.155653232632</v>
      </c>
      <c r="J46" s="221"/>
      <c r="K46" s="716">
        <f>'Inputs and eligible population'!$N$96</f>
        <v>103.07</v>
      </c>
      <c r="L46" s="293">
        <f t="shared" si="30"/>
        <v>3833.5545692062115</v>
      </c>
      <c r="M46" s="293">
        <f t="shared" si="31"/>
        <v>3630.3592815922111</v>
      </c>
      <c r="N46" s="293">
        <f t="shared" si="32"/>
        <v>3358.9517836076388</v>
      </c>
      <c r="O46" s="293">
        <f t="shared" si="33"/>
        <v>3150.2290696130895</v>
      </c>
      <c r="P46" s="293">
        <f t="shared" si="34"/>
        <v>2896.3792217456007</v>
      </c>
      <c r="Q46" s="293">
        <f t="shared" si="35"/>
        <v>2727.7635931786872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86"/>
      <c r="AK46" s="286"/>
      <c r="AL46" s="286"/>
      <c r="AM46" s="286"/>
      <c r="AN46" s="286"/>
    </row>
    <row r="47" spans="1:40">
      <c r="A47" s="288"/>
      <c r="B47" s="351" t="str">
        <f>Summary!B18</f>
        <v>People receiving goserelin</v>
      </c>
      <c r="C47" s="677">
        <f>'Inputs and eligible population'!J95</f>
        <v>4</v>
      </c>
      <c r="D47" s="128">
        <f>('Financial impact (cash)'!D19*$C$47+'Financial impact (cash)'!D28*'Capacity (local prices)'!$C$47)*'Inputs and eligible population'!$J96/60</f>
        <v>12397.899709602569</v>
      </c>
      <c r="E47" s="128">
        <f>('Financial impact (cash)'!E19*$C$47+'Financial impact (cash)'!E28*'Capacity (local prices)'!$C$47)*'Inputs and eligible population'!$J96/60</f>
        <v>11826.401602065602</v>
      </c>
      <c r="F47" s="128">
        <f>('Financial impact (cash)'!F19*$C$47+'Financial impact (cash)'!F28*'Capacity (local prices)'!$C$47)*'Inputs and eligible population'!$J96/60</f>
        <v>11294.540680119739</v>
      </c>
      <c r="G47" s="128">
        <f>('Financial impact (cash)'!G19*$C$47+'Financial impact (cash)'!G28*'Capacity (local prices)'!$C$47)*'Inputs and eligible population'!$J96/60</f>
        <v>11250.805588559251</v>
      </c>
      <c r="H47" s="128">
        <f>('Financial impact (cash)'!H19*$C$47+'Financial impact (cash)'!H28*'Capacity (local prices)'!$C$47)*'Inputs and eligible population'!$J96/60</f>
        <v>11216.396558778903</v>
      </c>
      <c r="I47" s="128">
        <f>('Financial impact (cash)'!I19*$C$47+'Financial impact (cash)'!I28*'Capacity (local prices)'!$C$47)*'Inputs and eligible population'!$J96/60</f>
        <v>11191.40351087077</v>
      </c>
      <c r="J47" s="221"/>
      <c r="K47" s="716">
        <f>'Inputs and eligible population'!$N$96</f>
        <v>103.07</v>
      </c>
      <c r="L47" s="293">
        <f t="shared" si="30"/>
        <v>1277.8515230687367</v>
      </c>
      <c r="M47" s="293">
        <f t="shared" si="31"/>
        <v>1218.9472131249015</v>
      </c>
      <c r="N47" s="293">
        <f t="shared" si="32"/>
        <v>1164.1283078999415</v>
      </c>
      <c r="O47" s="293">
        <f t="shared" si="33"/>
        <v>1159.620532012802</v>
      </c>
      <c r="P47" s="293">
        <f t="shared" si="34"/>
        <v>1156.0739933133414</v>
      </c>
      <c r="Q47" s="293">
        <f t="shared" si="35"/>
        <v>1153.4979598654502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86"/>
      <c r="AK47" s="286"/>
      <c r="AL47" s="286"/>
      <c r="AM47" s="286"/>
      <c r="AN47" s="286"/>
    </row>
    <row r="48" spans="1:40">
      <c r="A48" s="288"/>
      <c r="B48" s="351" t="str">
        <f>Summary!B19</f>
        <v>No ADT</v>
      </c>
      <c r="C48" s="677">
        <f>'Inputs and eligible population'!K95</f>
        <v>4</v>
      </c>
      <c r="D48" s="128">
        <f>('Financial impact (cash)'!D20*$C$48+'Financial impact (cash)'!D29*'Capacity (local prices)'!$C$48)*'Inputs and eligible population'!$K96/60</f>
        <v>20213.966917830279</v>
      </c>
      <c r="E48" s="128">
        <f>('Financial impact (cash)'!E20*$C$48+'Financial impact (cash)'!E29*'Capacity (local prices)'!$C$48)*'Inputs and eligible population'!$K96/60</f>
        <v>20287.5769074661</v>
      </c>
      <c r="F48" s="128">
        <f>('Financial impact (cash)'!F20*$C$48+'Financial impact (cash)'!F29*'Capacity (local prices)'!$C$48)*'Inputs and eligible population'!$K96/60</f>
        <v>20435.506620085249</v>
      </c>
      <c r="G48" s="128">
        <f>('Financial impact (cash)'!G20*$C$48+'Financial impact (cash)'!G29*'Capacity (local prices)'!$C$48)*'Inputs and eligible population'!$K96/60</f>
        <v>20600.755708455752</v>
      </c>
      <c r="H48" s="128">
        <f>('Financial impact (cash)'!H20*$C$48+'Financial impact (cash)'!H29*'Capacity (local prices)'!$C$48)*'Inputs and eligible population'!$K96/60</f>
        <v>20254.612135630137</v>
      </c>
      <c r="I48" s="128">
        <f>('Financial impact (cash)'!I20*$C$48+'Financial impact (cash)'!I29*'Capacity (local prices)'!$C$48)*'Inputs and eligible population'!$K96/60</f>
        <v>19921.024179064552</v>
      </c>
      <c r="J48" s="221"/>
      <c r="K48" s="716">
        <f>'Inputs and eligible population'!$N$96</f>
        <v>103.07</v>
      </c>
      <c r="L48" s="293">
        <f t="shared" si="30"/>
        <v>2083.4535702207668</v>
      </c>
      <c r="M48" s="293">
        <f t="shared" si="31"/>
        <v>2091.0405518525308</v>
      </c>
      <c r="N48" s="293">
        <f t="shared" si="32"/>
        <v>2106.2876673321862</v>
      </c>
      <c r="O48" s="293">
        <f t="shared" si="33"/>
        <v>2123.3198908705344</v>
      </c>
      <c r="P48" s="293">
        <f t="shared" si="34"/>
        <v>2087.6428728193982</v>
      </c>
      <c r="Q48" s="293">
        <f t="shared" si="35"/>
        <v>2053.2599621361833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86"/>
      <c r="AK48" s="286"/>
      <c r="AL48" s="286"/>
      <c r="AM48" s="286"/>
      <c r="AN48" s="286"/>
    </row>
    <row r="49" spans="1:40">
      <c r="A49" s="288"/>
      <c r="B49" s="280"/>
      <c r="C49" s="283"/>
      <c r="D49" s="187">
        <f>SUM(D43:D48)</f>
        <v>134759.77945220185</v>
      </c>
      <c r="E49" s="187">
        <f t="shared" ref="E49:I49" si="36">SUM(E43:E48)</f>
        <v>135250.51271644069</v>
      </c>
      <c r="F49" s="187">
        <f t="shared" si="36"/>
        <v>136236.71080056831</v>
      </c>
      <c r="G49" s="187">
        <f t="shared" si="36"/>
        <v>137338.37138970505</v>
      </c>
      <c r="H49" s="187">
        <f t="shared" si="36"/>
        <v>138556.60775109346</v>
      </c>
      <c r="I49" s="187">
        <f t="shared" si="36"/>
        <v>139892.54388588463</v>
      </c>
      <c r="J49" s="221"/>
      <c r="K49" s="221"/>
      <c r="L49" s="294">
        <f>SUM(L43:L48)</f>
        <v>13889.690468138446</v>
      </c>
      <c r="M49" s="294">
        <f t="shared" ref="M49:Q49" si="37">SUM(M43:M48)</f>
        <v>13940.270345683541</v>
      </c>
      <c r="N49" s="294">
        <f t="shared" si="37"/>
        <v>14041.917782214576</v>
      </c>
      <c r="O49" s="294">
        <f t="shared" si="37"/>
        <v>14155.465939136899</v>
      </c>
      <c r="P49" s="294">
        <f t="shared" si="37"/>
        <v>14281.029560905203</v>
      </c>
      <c r="Q49" s="294">
        <f t="shared" si="37"/>
        <v>14418.724498318126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86"/>
      <c r="AK49" s="286"/>
      <c r="AL49" s="286"/>
      <c r="AM49" s="286"/>
      <c r="AN49" s="286"/>
    </row>
    <row r="50" spans="1:40">
      <c r="A50" s="288"/>
      <c r="B50" s="306"/>
      <c r="C50" s="259"/>
      <c r="D50" s="285" t="s">
        <v>1028</v>
      </c>
      <c r="E50" s="187">
        <f>E49-$D$49</f>
        <v>490.73326423883555</v>
      </c>
      <c r="F50" s="187">
        <f>F49-$D$49</f>
        <v>1476.9313483664591</v>
      </c>
      <c r="G50" s="187">
        <f>G49-$D$49</f>
        <v>2578.5919375031954</v>
      </c>
      <c r="H50" s="187">
        <f>H49-$D$49</f>
        <v>3796.8282988916035</v>
      </c>
      <c r="I50" s="187">
        <f>I49-$D$49</f>
        <v>5132.7644336827798</v>
      </c>
      <c r="J50" s="221"/>
      <c r="K50" s="221"/>
      <c r="L50" s="221"/>
      <c r="M50" s="294">
        <f>M49-$L$49</f>
        <v>50.57987754509486</v>
      </c>
      <c r="N50" s="294">
        <f t="shared" ref="N50:P50" si="38">N49-$L$49</f>
        <v>152.22731407612991</v>
      </c>
      <c r="O50" s="294">
        <f t="shared" si="38"/>
        <v>265.77547099845287</v>
      </c>
      <c r="P50" s="294">
        <f t="shared" si="38"/>
        <v>391.33909276675695</v>
      </c>
      <c r="Q50" s="294">
        <f>Q49-$L$49</f>
        <v>529.03403017968049</v>
      </c>
      <c r="R50" s="133"/>
      <c r="S50" s="133"/>
      <c r="T50" s="683"/>
      <c r="U50" s="133"/>
      <c r="V50" s="133"/>
      <c r="W50" s="133"/>
      <c r="X50" s="133"/>
      <c r="Y50" s="133"/>
      <c r="Z50" s="133"/>
      <c r="AJ50" s="286"/>
      <c r="AK50" s="286"/>
      <c r="AL50" s="286"/>
      <c r="AM50" s="286"/>
      <c r="AN50" s="286"/>
    </row>
    <row r="51" spans="1:40">
      <c r="A51" s="288"/>
      <c r="B51" s="288"/>
      <c r="C51" s="288"/>
      <c r="D51" s="709"/>
      <c r="E51" s="710"/>
      <c r="F51" s="710"/>
      <c r="G51" s="710"/>
      <c r="H51" s="710"/>
      <c r="I51" s="710"/>
      <c r="J51" s="221"/>
      <c r="K51" s="221"/>
      <c r="L51" s="221"/>
      <c r="M51" s="221"/>
      <c r="N51" s="221"/>
      <c r="O51" s="221"/>
      <c r="P51" s="221"/>
      <c r="Q51" s="221"/>
      <c r="R51" s="133"/>
      <c r="S51" s="133"/>
      <c r="T51" s="133"/>
      <c r="U51" s="133"/>
      <c r="V51" s="133"/>
      <c r="W51" s="133"/>
      <c r="X51" s="133"/>
      <c r="Y51" s="133"/>
      <c r="Z51" s="133"/>
      <c r="AJ51" s="286"/>
      <c r="AK51" s="286"/>
      <c r="AL51" s="286"/>
      <c r="AM51" s="286"/>
      <c r="AN51" s="286"/>
    </row>
    <row r="52" spans="1:40">
      <c r="A52" s="301"/>
      <c r="B52" s="389" t="s">
        <v>122</v>
      </c>
      <c r="C52" s="390"/>
      <c r="D52" s="390"/>
      <c r="E52" s="390"/>
      <c r="F52" s="390"/>
      <c r="G52" s="390"/>
      <c r="H52" s="390"/>
      <c r="I52" s="390"/>
      <c r="J52" s="431"/>
      <c r="K52" s="217"/>
      <c r="L52" s="217"/>
      <c r="M52" s="217"/>
      <c r="N52" s="217"/>
      <c r="O52" s="217"/>
      <c r="P52" s="217"/>
      <c r="Q52" s="217"/>
      <c r="R52" s="133"/>
      <c r="S52" s="133"/>
      <c r="T52" s="133"/>
      <c r="U52" s="133"/>
      <c r="V52" s="133"/>
      <c r="W52" s="133"/>
      <c r="X52" s="133"/>
      <c r="Y52" s="133"/>
      <c r="Z52" s="133"/>
      <c r="AJ52" s="286"/>
      <c r="AK52" s="286"/>
      <c r="AL52" s="286"/>
      <c r="AM52" s="286"/>
      <c r="AN52" s="286"/>
    </row>
    <row r="53" spans="1:40" ht="43.5">
      <c r="A53" s="301"/>
      <c r="B53" s="279" t="s">
        <v>123</v>
      </c>
      <c r="C53" s="795"/>
      <c r="D53" s="425" t="s">
        <v>730</v>
      </c>
      <c r="E53" s="258" t="s">
        <v>50</v>
      </c>
      <c r="F53" s="258" t="s">
        <v>51</v>
      </c>
      <c r="G53" s="165" t="s">
        <v>731</v>
      </c>
      <c r="H53" s="165" t="s">
        <v>732</v>
      </c>
      <c r="I53" s="258" t="s">
        <v>733</v>
      </c>
      <c r="J53" s="431"/>
      <c r="K53" s="217"/>
      <c r="L53" s="217"/>
      <c r="M53" s="217"/>
      <c r="N53" s="217"/>
      <c r="O53" s="217"/>
      <c r="P53" s="217"/>
      <c r="Q53" s="217"/>
      <c r="R53" s="133"/>
      <c r="S53" s="133"/>
      <c r="T53" s="133"/>
      <c r="U53" s="133"/>
      <c r="V53" s="133"/>
      <c r="W53" s="133"/>
      <c r="X53" s="133"/>
      <c r="Y53" s="133"/>
      <c r="Z53" s="133"/>
      <c r="AJ53" s="286"/>
      <c r="AK53" s="286"/>
      <c r="AL53" s="286"/>
      <c r="AM53" s="286"/>
      <c r="AN53" s="286"/>
    </row>
    <row r="54" spans="1:40">
      <c r="A54" s="301"/>
      <c r="B54" s="201" t="s">
        <v>1016</v>
      </c>
      <c r="C54" s="794"/>
      <c r="D54" s="128">
        <f>SUM(D61:D65)</f>
        <v>137897.86305641558</v>
      </c>
      <c r="E54" s="128">
        <f t="shared" ref="E54:I54" si="39">SUM(E61:E65)</f>
        <v>143791.62362180336</v>
      </c>
      <c r="F54" s="128">
        <f t="shared" si="39"/>
        <v>152065.09382448421</v>
      </c>
      <c r="G54" s="128">
        <f t="shared" si="39"/>
        <v>158047.48542683493</v>
      </c>
      <c r="H54" s="128">
        <f t="shared" si="39"/>
        <v>165564.77105655786</v>
      </c>
      <c r="I54" s="128">
        <f t="shared" si="39"/>
        <v>171892.18394035762</v>
      </c>
      <c r="J54" s="431"/>
      <c r="K54" s="217"/>
      <c r="L54" s="217"/>
      <c r="M54" s="217"/>
      <c r="N54" s="217"/>
      <c r="O54" s="217"/>
      <c r="P54" s="217"/>
      <c r="Q54" s="217"/>
      <c r="R54" s="133"/>
      <c r="S54" s="133"/>
      <c r="T54" s="133"/>
      <c r="U54" s="133"/>
      <c r="V54" s="133"/>
      <c r="W54" s="133"/>
      <c r="X54" s="133"/>
      <c r="Y54" s="133"/>
      <c r="Z54" s="133"/>
      <c r="AJ54" s="286"/>
      <c r="AK54" s="286"/>
      <c r="AL54" s="286"/>
      <c r="AM54" s="286"/>
      <c r="AN54" s="286"/>
    </row>
    <row r="55" spans="1:40">
      <c r="A55" s="301"/>
      <c r="B55" s="201" t="s">
        <v>1154</v>
      </c>
      <c r="C55" s="794"/>
      <c r="D55" s="128">
        <f>SUM(D66:D70)</f>
        <v>551591.4522256623</v>
      </c>
      <c r="E55" s="128">
        <f t="shared" ref="E55:I55" si="40">SUM(E66:E70)</f>
        <v>575166.49448721344</v>
      </c>
      <c r="F55" s="128">
        <f t="shared" si="40"/>
        <v>608260.37529793684</v>
      </c>
      <c r="G55" s="128">
        <f t="shared" si="40"/>
        <v>632189.94170733972</v>
      </c>
      <c r="H55" s="128">
        <f t="shared" si="40"/>
        <v>662259.08422623144</v>
      </c>
      <c r="I55" s="128">
        <f t="shared" si="40"/>
        <v>687568.73576143046</v>
      </c>
      <c r="J55" s="431"/>
      <c r="K55" s="217"/>
      <c r="L55" s="217"/>
      <c r="M55" s="217"/>
      <c r="N55" s="217"/>
      <c r="O55" s="217"/>
      <c r="P55" s="217"/>
      <c r="Q55" s="217"/>
      <c r="R55" s="133"/>
      <c r="S55" s="133"/>
      <c r="T55" s="133"/>
      <c r="U55" s="133"/>
      <c r="V55" s="133"/>
      <c r="W55" s="133"/>
      <c r="X55" s="133"/>
      <c r="Y55" s="133"/>
      <c r="Z55" s="133"/>
      <c r="AJ55" s="286"/>
      <c r="AK55" s="286"/>
      <c r="AL55" s="286"/>
      <c r="AM55" s="286"/>
      <c r="AN55" s="286"/>
    </row>
    <row r="56" spans="1:40">
      <c r="A56" s="301"/>
      <c r="B56" s="280"/>
      <c r="C56" s="323"/>
      <c r="D56" s="187">
        <f>SUM(D54:D55)</f>
        <v>689489.31528207788</v>
      </c>
      <c r="E56" s="187">
        <f t="shared" ref="E56:I56" si="41">SUM(E54:E55)</f>
        <v>718958.1181090168</v>
      </c>
      <c r="F56" s="187">
        <f t="shared" si="41"/>
        <v>760325.469122421</v>
      </c>
      <c r="G56" s="187">
        <f t="shared" si="41"/>
        <v>790237.42713417462</v>
      </c>
      <c r="H56" s="187">
        <f t="shared" si="41"/>
        <v>827823.85528278933</v>
      </c>
      <c r="I56" s="187">
        <f t="shared" si="41"/>
        <v>859460.91970178811</v>
      </c>
      <c r="J56" s="431"/>
      <c r="K56" s="217"/>
      <c r="L56" s="217"/>
      <c r="M56" s="217"/>
      <c r="N56" s="217"/>
      <c r="O56" s="217"/>
      <c r="P56" s="217"/>
      <c r="Q56" s="217"/>
      <c r="R56" s="133"/>
      <c r="S56" s="133"/>
      <c r="T56" s="133"/>
      <c r="U56" s="133"/>
      <c r="V56" s="133"/>
      <c r="W56" s="133"/>
      <c r="X56" s="133"/>
      <c r="Y56" s="133"/>
      <c r="Z56" s="133"/>
      <c r="AJ56" s="286"/>
      <c r="AK56" s="286"/>
      <c r="AL56" s="286"/>
      <c r="AM56" s="286"/>
      <c r="AN56" s="286"/>
    </row>
    <row r="57" spans="1:40">
      <c r="A57" s="301"/>
      <c r="B57" s="259"/>
      <c r="C57" s="259"/>
      <c r="D57" s="285" t="s">
        <v>740</v>
      </c>
      <c r="E57" s="187">
        <f>E56-D56</f>
        <v>29468.802826938918</v>
      </c>
      <c r="F57" s="187">
        <f>F56-$D$56</f>
        <v>70836.153840343119</v>
      </c>
      <c r="G57" s="187">
        <f>G56-$D$56</f>
        <v>100748.11185209674</v>
      </c>
      <c r="H57" s="187">
        <f>H56-$D$56</f>
        <v>138334.54000071145</v>
      </c>
      <c r="I57" s="187">
        <f>I56-$D$56</f>
        <v>169971.60441971023</v>
      </c>
      <c r="J57" s="431"/>
      <c r="K57" s="217"/>
      <c r="L57" s="217"/>
      <c r="M57" s="217"/>
      <c r="N57" s="217"/>
      <c r="O57" s="217"/>
      <c r="P57" s="217"/>
      <c r="Q57" s="217"/>
      <c r="R57" s="133"/>
      <c r="S57" s="133"/>
      <c r="T57" s="133"/>
      <c r="U57" s="133"/>
      <c r="V57" s="133"/>
      <c r="W57" s="133"/>
      <c r="X57" s="133"/>
      <c r="Y57" s="133"/>
      <c r="Z57" s="133"/>
      <c r="AJ57" s="286"/>
      <c r="AK57" s="286"/>
      <c r="AL57" s="286"/>
      <c r="AM57" s="286"/>
      <c r="AN57" s="286"/>
    </row>
    <row r="58" spans="1:40">
      <c r="A58" s="296"/>
      <c r="B58" s="322"/>
      <c r="C58" s="299"/>
      <c r="D58" s="298"/>
      <c r="E58" s="299"/>
      <c r="F58" s="300"/>
      <c r="G58" s="296"/>
      <c r="H58" s="296"/>
      <c r="I58" s="297"/>
      <c r="J58" s="217"/>
      <c r="K58" s="217"/>
      <c r="L58" s="217"/>
      <c r="M58" s="217"/>
      <c r="N58" s="217"/>
      <c r="O58" s="217"/>
      <c r="P58" s="217"/>
      <c r="Q58" s="217"/>
      <c r="R58" s="133"/>
      <c r="S58" s="133"/>
      <c r="T58" s="133"/>
      <c r="U58" s="133"/>
      <c r="V58" s="133"/>
      <c r="W58" s="133"/>
      <c r="X58" s="133"/>
      <c r="Y58" s="133"/>
      <c r="Z58" s="133"/>
      <c r="AJ58" s="286"/>
      <c r="AK58" s="286"/>
      <c r="AL58" s="286"/>
      <c r="AM58" s="286"/>
      <c r="AN58" s="286"/>
    </row>
    <row r="59" spans="1:40">
      <c r="A59" s="301"/>
      <c r="B59" s="389" t="s">
        <v>741</v>
      </c>
      <c r="C59" s="390"/>
      <c r="D59" s="390"/>
      <c r="E59" s="390"/>
      <c r="F59" s="390"/>
      <c r="G59" s="390"/>
      <c r="H59" s="390"/>
      <c r="I59" s="390"/>
      <c r="J59" s="431"/>
      <c r="K59" s="217"/>
      <c r="L59" s="217"/>
      <c r="M59" s="217"/>
      <c r="N59" s="217"/>
      <c r="O59" s="217"/>
      <c r="P59" s="217"/>
      <c r="Q59" s="217"/>
      <c r="R59" s="133"/>
      <c r="S59" s="133"/>
      <c r="T59" s="133"/>
      <c r="U59" s="133"/>
      <c r="V59" s="133"/>
      <c r="W59" s="133"/>
      <c r="X59" s="133"/>
      <c r="Y59" s="133"/>
      <c r="Z59" s="133"/>
      <c r="AJ59" s="286"/>
      <c r="AK59" s="286"/>
      <c r="AL59" s="286"/>
      <c r="AM59" s="286"/>
      <c r="AN59" s="286"/>
    </row>
    <row r="60" spans="1:40" ht="43.5">
      <c r="A60" s="301"/>
      <c r="B60" s="320" t="s">
        <v>123</v>
      </c>
      <c r="C60" s="166" t="s">
        <v>742</v>
      </c>
      <c r="D60" s="425" t="s">
        <v>730</v>
      </c>
      <c r="E60" s="258" t="s">
        <v>50</v>
      </c>
      <c r="F60" s="258" t="s">
        <v>51</v>
      </c>
      <c r="G60" s="165" t="s">
        <v>731</v>
      </c>
      <c r="H60" s="165" t="s">
        <v>732</v>
      </c>
      <c r="I60" s="258" t="s">
        <v>733</v>
      </c>
      <c r="J60" s="431"/>
      <c r="K60" s="217"/>
      <c r="L60" s="217"/>
      <c r="M60" s="217"/>
      <c r="N60" s="217"/>
      <c r="O60" s="217"/>
      <c r="P60" s="217"/>
      <c r="Q60" s="217"/>
      <c r="R60" s="133"/>
      <c r="V60" s="133"/>
      <c r="AJ60" s="286"/>
      <c r="AK60" s="286"/>
      <c r="AL60" s="286"/>
      <c r="AM60" s="286"/>
      <c r="AN60" s="286"/>
    </row>
    <row r="61" spans="1:40">
      <c r="A61" s="301"/>
      <c r="B61" s="351" t="s">
        <v>1121</v>
      </c>
      <c r="C61" s="128">
        <f>'Unit costs'!K13*'Unit costs'!M45</f>
        <v>2.6</v>
      </c>
      <c r="D61" s="128">
        <f>('Financial impact (cash)'!D15+'Financial impact (cash)'!D24)*$C61</f>
        <v>0</v>
      </c>
      <c r="E61" s="128">
        <f>('Financial impact (cash)'!E15+'Financial impact (cash)'!E24)*$C61</f>
        <v>15030.735716269155</v>
      </c>
      <c r="F61" s="128">
        <f>('Financial impact (cash)'!F15+'Financial impact (cash)'!F24)*$C61</f>
        <v>35264.947951051319</v>
      </c>
      <c r="G61" s="128">
        <f>('Financial impact (cash)'!G15+'Financial impact (cash)'!G24)*$C61</f>
        <v>49016.1179856444</v>
      </c>
      <c r="H61" s="128">
        <f>('Financial impact (cash)'!H15+'Financial impact (cash)'!H24)*$C61</f>
        <v>64090.079201217974</v>
      </c>
      <c r="I61" s="128">
        <f>('Financial impact (cash)'!I15+'Financial impact (cash)'!I24)*$C61</f>
        <v>75304.772249914284</v>
      </c>
      <c r="J61" s="431"/>
      <c r="K61" s="217"/>
      <c r="L61" s="217"/>
      <c r="M61" s="217"/>
      <c r="N61" s="217"/>
      <c r="O61" s="217"/>
      <c r="P61" s="217"/>
      <c r="Q61" s="217"/>
      <c r="R61" s="133"/>
      <c r="V61" s="133"/>
      <c r="AJ61" s="286"/>
      <c r="AK61" s="286"/>
      <c r="AL61" s="286"/>
      <c r="AM61" s="286"/>
      <c r="AN61" s="286"/>
    </row>
    <row r="62" spans="1:40">
      <c r="A62" s="301"/>
      <c r="B62" s="351" t="s">
        <v>1122</v>
      </c>
      <c r="C62" s="128">
        <f>'Unit costs'!K21*'Unit costs'!M46</f>
        <v>2.6</v>
      </c>
      <c r="D62" s="128">
        <f>('Financial impact (cash)'!D16+'Financial impact (cash)'!D25)*$C62</f>
        <v>13139.078496589682</v>
      </c>
      <c r="E62" s="128">
        <f>('Financial impact (cash)'!E16+'Financial impact (cash)'!E25)*$C62</f>
        <v>11683.851418226053</v>
      </c>
      <c r="F62" s="128">
        <f>('Financial impact (cash)'!F16+'Financial impact (cash)'!F25)*$C62</f>
        <v>9756.5845079502797</v>
      </c>
      <c r="G62" s="128">
        <f>('Financial impact (cash)'!G16+'Financial impact (cash)'!G25)*$C62</f>
        <v>7978.1467465984451</v>
      </c>
      <c r="H62" s="128">
        <f>('Financial impact (cash)'!H16+'Financial impact (cash)'!H25)*$C62</f>
        <v>6589.5286702764606</v>
      </c>
      <c r="I62" s="128">
        <f>('Financial impact (cash)'!I16+'Financial impact (cash)'!I25)*$C62</f>
        <v>5998.7739784126188</v>
      </c>
      <c r="J62" s="431"/>
      <c r="K62" s="217"/>
      <c r="L62" s="217"/>
      <c r="M62" s="217"/>
      <c r="N62" s="217"/>
      <c r="O62" s="217"/>
      <c r="P62" s="217"/>
      <c r="Q62" s="217"/>
      <c r="R62" s="133"/>
      <c r="V62" s="133"/>
      <c r="AJ62" s="286"/>
      <c r="AK62" s="286"/>
      <c r="AL62" s="286"/>
      <c r="AM62" s="286"/>
      <c r="AN62" s="286"/>
    </row>
    <row r="63" spans="1:40">
      <c r="A63" s="301"/>
      <c r="B63" s="351" t="s">
        <v>1123</v>
      </c>
      <c r="C63" s="128">
        <f>(('Unit costs'!K25*'Unit costs'!M25)+('Unit costs'!K26*'Unit costs'!M26))*'Unit costs'!M47</f>
        <v>1.7055555555555557</v>
      </c>
      <c r="D63" s="128">
        <f>('Financial impact (cash)'!D17+'Financial impact (cash)'!D26)*$C63</f>
        <v>74468.254125286767</v>
      </c>
      <c r="E63" s="128">
        <f>('Financial impact (cash)'!E17+'Financial impact (cash)'!E26)*$C63</f>
        <v>69349.351547598577</v>
      </c>
      <c r="F63" s="128">
        <f>('Financial impact (cash)'!F17+'Financial impact (cash)'!F26)*$C63</f>
        <v>62461.278097341041</v>
      </c>
      <c r="G63" s="128">
        <f>('Financial impact (cash)'!G17+'Financial impact (cash)'!G26)*$C63</f>
        <v>58451.527754641313</v>
      </c>
      <c r="H63" s="128">
        <f>('Financial impact (cash)'!H17+'Financial impact (cash)'!H26)*$C63</f>
        <v>54669.738148869197</v>
      </c>
      <c r="I63" s="128">
        <f>('Financial impact (cash)'!I17+'Financial impact (cash)'!I26)*$C63</f>
        <v>51960.817172651652</v>
      </c>
      <c r="J63" s="431"/>
      <c r="K63" s="217"/>
      <c r="L63" s="217"/>
      <c r="M63" s="217"/>
      <c r="N63" s="217"/>
      <c r="O63" s="217"/>
      <c r="P63" s="217"/>
      <c r="Q63" s="217"/>
      <c r="R63" s="133"/>
      <c r="V63" s="133"/>
      <c r="AJ63" s="286"/>
      <c r="AK63" s="286"/>
      <c r="AL63" s="286"/>
      <c r="AM63" s="286"/>
      <c r="AN63" s="286"/>
    </row>
    <row r="64" spans="1:40">
      <c r="A64" s="301"/>
      <c r="B64" s="350" t="s">
        <v>1124</v>
      </c>
      <c r="C64" s="128">
        <f>(('Unit costs'!K30*'Unit costs'!M30)+('Unit costs'!K31*'Unit costs'!M31)+('Unit costs'!K32*'Unit costs'!M32))*'Unit costs'!M48</f>
        <v>1.2695000000000003</v>
      </c>
      <c r="D64" s="128">
        <f>('Financial impact (cash)'!D18+'Financial impact (cash)'!D27)*$C64</f>
        <v>35413.050783016057</v>
      </c>
      <c r="E64" s="128">
        <f>('Financial impact (cash)'!E18+'Financial impact (cash)'!E27)*$C64</f>
        <v>33536.003017230869</v>
      </c>
      <c r="F64" s="128">
        <f>('Financial impact (cash)'!F18+'Financial impact (cash)'!F27)*$C64</f>
        <v>31028.834451997907</v>
      </c>
      <c r="G64" s="128">
        <f>('Financial impact (cash)'!G18+'Financial impact (cash)'!G27)*$C64</f>
        <v>29100.726233679667</v>
      </c>
      <c r="H64" s="128">
        <f>('Financial impact (cash)'!H18+'Financial impact (cash)'!H27)*$C64</f>
        <v>26755.749165659567</v>
      </c>
      <c r="I64" s="128">
        <f>('Financial impact (cash)'!I18+'Financial impact (cash)'!I27)*$C64</f>
        <v>25198.136326334126</v>
      </c>
      <c r="J64" s="431"/>
      <c r="K64" s="217"/>
      <c r="L64" s="217"/>
      <c r="M64" s="217"/>
      <c r="N64" s="217"/>
      <c r="O64" s="217"/>
      <c r="P64" s="217"/>
      <c r="Q64" s="217"/>
      <c r="R64" s="133"/>
      <c r="V64" s="133"/>
      <c r="AJ64" s="286"/>
      <c r="AK64" s="286"/>
      <c r="AL64" s="286"/>
      <c r="AM64" s="286"/>
      <c r="AN64" s="286"/>
    </row>
    <row r="65" spans="1:40">
      <c r="A65" s="301"/>
      <c r="B65" s="678" t="s">
        <v>1125</v>
      </c>
      <c r="C65" s="128">
        <f>(('Unit costs'!K36*'Unit costs'!M36)+('Unit costs'!K37*'Unit costs'!M37))*'Unit costs'!M49</f>
        <v>1.6</v>
      </c>
      <c r="D65" s="128">
        <f>('Financial impact (cash)'!D19+'Financial impact (cash)'!D28)*$C65</f>
        <v>14877.479651523085</v>
      </c>
      <c r="E65" s="128">
        <f>('Financial impact (cash)'!E19+'Financial impact (cash)'!E28)*$C65</f>
        <v>14191.681922478725</v>
      </c>
      <c r="F65" s="128">
        <f>('Financial impact (cash)'!F19+'Financial impact (cash)'!F28)*$C65</f>
        <v>13553.448816143688</v>
      </c>
      <c r="G65" s="128">
        <f>('Financial impact (cash)'!G19+'Financial impact (cash)'!G28)*$C65</f>
        <v>13500.966706271103</v>
      </c>
      <c r="H65" s="128">
        <f>('Financial impact (cash)'!H19+'Financial impact (cash)'!H28)*$C65</f>
        <v>13459.675870534682</v>
      </c>
      <c r="I65" s="128">
        <f>('Financial impact (cash)'!I19+'Financial impact (cash)'!I28)*$C65</f>
        <v>13429.684213044926</v>
      </c>
      <c r="J65" s="217"/>
      <c r="K65" s="217"/>
      <c r="L65" s="217"/>
      <c r="M65" s="217"/>
      <c r="N65" s="217"/>
      <c r="O65" s="217"/>
      <c r="P65" s="217"/>
      <c r="Q65" s="217"/>
      <c r="R65" s="133"/>
      <c r="V65" s="133"/>
      <c r="AJ65" s="286"/>
      <c r="AK65" s="286"/>
      <c r="AL65" s="286"/>
      <c r="AM65" s="286"/>
      <c r="AN65" s="286"/>
    </row>
    <row r="66" spans="1:40">
      <c r="A66" s="301"/>
      <c r="B66" s="351" t="s">
        <v>1173</v>
      </c>
      <c r="C66" s="128">
        <f>'Unit costs'!K13*'Unit costs'!L45</f>
        <v>10.4</v>
      </c>
      <c r="D66" s="128">
        <f>('Financial impact (cash)'!D15+'Financial impact (cash)'!D24)*$C66</f>
        <v>0</v>
      </c>
      <c r="E66" s="128">
        <f>('Financial impact (cash)'!E15+'Financial impact (cash)'!E24)*$C66</f>
        <v>60122.94286507662</v>
      </c>
      <c r="F66" s="128">
        <f>('Financial impact (cash)'!F15+'Financial impact (cash)'!F24)*$C66</f>
        <v>141059.79180420528</v>
      </c>
      <c r="G66" s="128">
        <f>('Financial impact (cash)'!G15+'Financial impact (cash)'!G24)*$C66</f>
        <v>196064.4719425776</v>
      </c>
      <c r="H66" s="128">
        <f>('Financial impact (cash)'!H15+'Financial impact (cash)'!H24)*$C66</f>
        <v>256360.31680487189</v>
      </c>
      <c r="I66" s="128">
        <f>('Financial impact (cash)'!I15+'Financial impact (cash)'!I24)*$C66</f>
        <v>301219.08899965713</v>
      </c>
      <c r="J66" s="431"/>
      <c r="K66" s="217"/>
      <c r="L66" s="217"/>
      <c r="M66" s="217"/>
      <c r="N66" s="217"/>
      <c r="O66" s="217"/>
      <c r="P66" s="217"/>
      <c r="Q66" s="217"/>
      <c r="R66" s="133"/>
      <c r="V66" s="133"/>
      <c r="AJ66" s="286"/>
      <c r="AK66" s="286"/>
      <c r="AL66" s="286"/>
      <c r="AM66" s="286"/>
      <c r="AN66" s="286"/>
    </row>
    <row r="67" spans="1:40">
      <c r="A67" s="301"/>
      <c r="B67" s="351" t="s">
        <v>1174</v>
      </c>
      <c r="C67" s="128">
        <f>'Unit costs'!K21*'Unit costs'!L46</f>
        <v>10.4</v>
      </c>
      <c r="D67" s="128">
        <f>('Financial impact (cash)'!D16+'Financial impact (cash)'!D25)*$C67</f>
        <v>52556.313986358728</v>
      </c>
      <c r="E67" s="128">
        <f>('Financial impact (cash)'!E16+'Financial impact (cash)'!E25)*$C67</f>
        <v>46735.405672904213</v>
      </c>
      <c r="F67" s="128">
        <f>('Financial impact (cash)'!F16+'Financial impact (cash)'!F25)*$C67</f>
        <v>39026.338031801119</v>
      </c>
      <c r="G67" s="128">
        <f>('Financial impact (cash)'!G16+'Financial impact (cash)'!G25)*$C67</f>
        <v>31912.586986393781</v>
      </c>
      <c r="H67" s="128">
        <f>('Financial impact (cash)'!H16+'Financial impact (cash)'!H25)*$C67</f>
        <v>26358.114681105842</v>
      </c>
      <c r="I67" s="128">
        <f>('Financial impact (cash)'!I16+'Financial impact (cash)'!I25)*$C67</f>
        <v>23995.095913650475</v>
      </c>
      <c r="J67" s="431"/>
      <c r="K67" s="217"/>
      <c r="L67" s="217"/>
      <c r="M67" s="217"/>
      <c r="N67" s="217"/>
      <c r="O67" s="217"/>
      <c r="P67" s="217"/>
      <c r="Q67" s="217"/>
      <c r="R67" s="133"/>
      <c r="V67" s="133"/>
      <c r="AJ67" s="286"/>
      <c r="AK67" s="286"/>
      <c r="AL67" s="286"/>
      <c r="AM67" s="286"/>
      <c r="AN67" s="286"/>
    </row>
    <row r="68" spans="1:40">
      <c r="A68" s="301"/>
      <c r="B68" s="351" t="s">
        <v>1175</v>
      </c>
      <c r="C68" s="128">
        <f>(('Unit costs'!K25*'Unit costs'!M25)+('Unit costs'!K26*'Unit costs'!M26))*'Unit costs'!L47</f>
        <v>6.8222222222222229</v>
      </c>
      <c r="D68" s="128">
        <f>('Financial impact (cash)'!D17+'Financial impact (cash)'!D26)*$C68</f>
        <v>297873.01650114707</v>
      </c>
      <c r="E68" s="128">
        <f>('Financial impact (cash)'!E17+'Financial impact (cash)'!E26)*$C68</f>
        <v>277397.40619039431</v>
      </c>
      <c r="F68" s="128">
        <f>('Financial impact (cash)'!F17+'Financial impact (cash)'!F26)*$C68</f>
        <v>249845.11238936416</v>
      </c>
      <c r="G68" s="128">
        <f>('Financial impact (cash)'!G17+'Financial impact (cash)'!G26)*$C68</f>
        <v>233806.11101856525</v>
      </c>
      <c r="H68" s="128">
        <f>('Financial impact (cash)'!H17+'Financial impact (cash)'!H26)*$C68</f>
        <v>218678.95259547679</v>
      </c>
      <c r="I68" s="128">
        <f>('Financial impact (cash)'!I17+'Financial impact (cash)'!I26)*$C68</f>
        <v>207843.26869060661</v>
      </c>
      <c r="J68" s="431"/>
      <c r="K68" s="217"/>
      <c r="L68" s="217"/>
      <c r="M68" s="217"/>
      <c r="N68" s="217"/>
      <c r="O68" s="217"/>
      <c r="P68" s="217"/>
      <c r="Q68" s="217"/>
      <c r="R68" s="133"/>
      <c r="V68" s="133"/>
      <c r="AJ68" s="286"/>
      <c r="AK68" s="286"/>
      <c r="AL68" s="286"/>
      <c r="AM68" s="286"/>
      <c r="AN68" s="286"/>
    </row>
    <row r="69" spans="1:40">
      <c r="A69" s="301"/>
      <c r="B69" s="350" t="s">
        <v>1176</v>
      </c>
      <c r="C69" s="128">
        <f>(('Unit costs'!K30*'Unit costs'!M30)+('Unit costs'!K31*'Unit costs'!M31)+('Unit costs'!K32*'Unit costs'!M32))*'Unit costs'!L48</f>
        <v>5.0780000000000012</v>
      </c>
      <c r="D69" s="128">
        <f>('Financial impact (cash)'!D18+'Financial impact (cash)'!D27)*$C69</f>
        <v>141652.20313206423</v>
      </c>
      <c r="E69" s="128">
        <f>('Financial impact (cash)'!E18+'Financial impact (cash)'!E27)*$C69</f>
        <v>134144.01206892348</v>
      </c>
      <c r="F69" s="128">
        <f>('Financial impact (cash)'!F18+'Financial impact (cash)'!F27)*$C69</f>
        <v>124115.33780799163</v>
      </c>
      <c r="G69" s="128">
        <f>('Financial impact (cash)'!G18+'Financial impact (cash)'!G27)*$C69</f>
        <v>116402.90493471867</v>
      </c>
      <c r="H69" s="128">
        <f>('Financial impact (cash)'!H18+'Financial impact (cash)'!H27)*$C69</f>
        <v>107022.99666263827</v>
      </c>
      <c r="I69" s="128">
        <f>('Financial impact (cash)'!I18+'Financial impact (cash)'!I27)*$C69</f>
        <v>100792.54530533651</v>
      </c>
      <c r="J69" s="431"/>
      <c r="K69" s="217"/>
      <c r="L69" s="217"/>
      <c r="M69" s="217"/>
      <c r="N69" s="217"/>
      <c r="O69" s="217"/>
      <c r="P69" s="217"/>
      <c r="Q69" s="217"/>
      <c r="R69" s="133"/>
      <c r="V69" s="133"/>
      <c r="AJ69" s="286"/>
      <c r="AK69" s="286"/>
      <c r="AL69" s="286"/>
      <c r="AM69" s="286"/>
      <c r="AN69" s="286"/>
    </row>
    <row r="70" spans="1:40">
      <c r="A70" s="301"/>
      <c r="B70" s="678" t="s">
        <v>1177</v>
      </c>
      <c r="C70" s="128">
        <f>(('Unit costs'!K36*'Unit costs'!M36)+('Unit costs'!K37*'Unit costs'!M37))*'Unit costs'!L49</f>
        <v>6.4</v>
      </c>
      <c r="D70" s="128">
        <f>('Financial impact (cash)'!D19+'Financial impact (cash)'!D28)*$C70</f>
        <v>59509.918606092338</v>
      </c>
      <c r="E70" s="128">
        <f>('Financial impact (cash)'!E19+'Financial impact (cash)'!E28)*$C70</f>
        <v>56766.7276899149</v>
      </c>
      <c r="F70" s="128">
        <f>('Financial impact (cash)'!F19+'Financial impact (cash)'!F28)*$C70</f>
        <v>54213.79526457475</v>
      </c>
      <c r="G70" s="128">
        <f>('Financial impact (cash)'!G19+'Financial impact (cash)'!G28)*$C70</f>
        <v>54003.866825084413</v>
      </c>
      <c r="H70" s="128">
        <f>('Financial impact (cash)'!H19+'Financial impact (cash)'!H28)*$C70</f>
        <v>53838.703482138728</v>
      </c>
      <c r="I70" s="128">
        <f>('Financial impact (cash)'!I19+'Financial impact (cash)'!I28)*$C70</f>
        <v>53718.736852179703</v>
      </c>
      <c r="J70" s="217"/>
      <c r="K70" s="217"/>
      <c r="L70" s="217"/>
      <c r="M70" s="217"/>
      <c r="N70" s="217"/>
      <c r="O70" s="217"/>
      <c r="P70" s="217"/>
      <c r="Q70" s="217"/>
      <c r="R70" s="133"/>
      <c r="V70" s="133"/>
      <c r="AJ70" s="286"/>
      <c r="AK70" s="286"/>
      <c r="AL70" s="286"/>
      <c r="AM70" s="286"/>
      <c r="AN70" s="286"/>
    </row>
    <row r="71" spans="1:40">
      <c r="A71" s="301"/>
      <c r="B71" s="323"/>
      <c r="C71" s="323"/>
      <c r="D71" s="187">
        <f>SUM(D61:D70)</f>
        <v>689489.31528207788</v>
      </c>
      <c r="E71" s="187">
        <f t="shared" ref="E71:I71" si="42">SUM(E61:E70)</f>
        <v>718958.1181090168</v>
      </c>
      <c r="F71" s="187">
        <f t="shared" si="42"/>
        <v>760325.46912242111</v>
      </c>
      <c r="G71" s="187">
        <f t="shared" si="42"/>
        <v>790237.42713417462</v>
      </c>
      <c r="H71" s="187">
        <f t="shared" si="42"/>
        <v>827823.85528278933</v>
      </c>
      <c r="I71" s="187">
        <f t="shared" si="42"/>
        <v>859460.91970178799</v>
      </c>
      <c r="J71" s="296"/>
      <c r="K71" s="296"/>
      <c r="L71" s="296"/>
      <c r="M71" s="296"/>
      <c r="N71" s="296"/>
      <c r="O71" s="296"/>
      <c r="P71" s="296"/>
      <c r="Q71" s="296"/>
      <c r="R71" s="133"/>
      <c r="V71" s="133"/>
      <c r="AJ71" s="286"/>
      <c r="AK71" s="286"/>
      <c r="AL71" s="286"/>
      <c r="AM71" s="286"/>
      <c r="AN71" s="286"/>
    </row>
    <row r="72" spans="1:40">
      <c r="A72" s="301"/>
      <c r="B72" s="259"/>
      <c r="C72" s="259"/>
      <c r="D72" s="285" t="s">
        <v>743</v>
      </c>
      <c r="E72" s="187">
        <f>E71-$D$71</f>
        <v>29468.802826938918</v>
      </c>
      <c r="F72" s="187">
        <f>F71-$D$71</f>
        <v>70836.153840343235</v>
      </c>
      <c r="G72" s="187">
        <f>G71-$D$71</f>
        <v>100748.11185209674</v>
      </c>
      <c r="H72" s="187">
        <f>H71-$D$71</f>
        <v>138334.54000071145</v>
      </c>
      <c r="I72" s="187">
        <f>I71-$D$71</f>
        <v>169971.60441971011</v>
      </c>
      <c r="J72" s="296"/>
      <c r="K72" s="296"/>
      <c r="L72" s="296"/>
      <c r="M72" s="296"/>
      <c r="N72" s="296"/>
      <c r="O72" s="296"/>
      <c r="P72" s="296"/>
      <c r="Q72" s="296"/>
      <c r="R72" s="133"/>
      <c r="S72" s="133"/>
      <c r="T72" s="133"/>
      <c r="U72" s="133"/>
      <c r="V72" s="133"/>
      <c r="W72" s="133"/>
      <c r="X72" s="133"/>
      <c r="Y72" s="133"/>
      <c r="Z72" s="133"/>
      <c r="AJ72" s="286"/>
      <c r="AK72" s="286"/>
      <c r="AL72" s="286"/>
      <c r="AM72" s="286"/>
      <c r="AN72" s="286"/>
    </row>
    <row r="73" spans="1:40">
      <c r="A73" s="296"/>
      <c r="B73" s="322"/>
      <c r="C73" s="299"/>
      <c r="D73" s="299"/>
      <c r="E73" s="300"/>
      <c r="F73" s="296"/>
      <c r="G73" s="296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133"/>
      <c r="S73" s="133"/>
      <c r="T73" s="133"/>
      <c r="U73" s="133"/>
      <c r="V73" s="133"/>
      <c r="W73" s="133"/>
      <c r="X73" s="133"/>
      <c r="Y73" s="133"/>
      <c r="Z73" s="133"/>
      <c r="AJ73" s="286"/>
      <c r="AK73" s="286"/>
      <c r="AL73" s="286"/>
      <c r="AM73" s="286"/>
      <c r="AN73" s="286"/>
    </row>
    <row r="74" spans="1:40">
      <c r="A74" s="287"/>
      <c r="B74" s="324" t="s">
        <v>744</v>
      </c>
      <c r="C74" s="302"/>
      <c r="D74" s="302"/>
      <c r="E74" s="303"/>
      <c r="F74" s="304"/>
      <c r="G74" s="305"/>
      <c r="H74" s="305"/>
      <c r="I74" s="305"/>
      <c r="J74" s="436"/>
      <c r="K74" s="287"/>
      <c r="L74" s="287"/>
      <c r="M74" s="287"/>
      <c r="N74" s="287"/>
      <c r="O74" s="287"/>
      <c r="P74" s="287"/>
      <c r="Q74" s="219"/>
      <c r="R74" s="133"/>
      <c r="V74" s="133"/>
    </row>
    <row r="75" spans="1:40">
      <c r="A75" s="287"/>
      <c r="B75" s="391" t="s">
        <v>745</v>
      </c>
      <c r="C75" s="392"/>
      <c r="D75" s="392"/>
      <c r="E75" s="392"/>
      <c r="F75" s="392"/>
      <c r="G75" s="392"/>
      <c r="H75" s="392"/>
      <c r="I75" s="218"/>
      <c r="J75" s="433"/>
      <c r="K75" s="219"/>
      <c r="L75" s="432"/>
      <c r="M75" s="432"/>
      <c r="N75" s="432"/>
      <c r="O75" s="432"/>
      <c r="P75" s="432"/>
      <c r="Q75" s="432"/>
      <c r="R75" s="133"/>
      <c r="V75" s="133"/>
    </row>
    <row r="76" spans="1:40" ht="74.5" customHeight="1">
      <c r="A76" s="287"/>
      <c r="B76" s="282" t="s">
        <v>123</v>
      </c>
      <c r="C76" s="166" t="s">
        <v>746</v>
      </c>
      <c r="D76" s="425" t="s">
        <v>730</v>
      </c>
      <c r="E76" s="258" t="s">
        <v>50</v>
      </c>
      <c r="F76" s="258" t="s">
        <v>51</v>
      </c>
      <c r="G76" s="165" t="s">
        <v>731</v>
      </c>
      <c r="H76" s="165" t="s">
        <v>732</v>
      </c>
      <c r="I76" s="258" t="s">
        <v>733</v>
      </c>
      <c r="J76" s="287"/>
      <c r="K76" s="715" t="s">
        <v>1045</v>
      </c>
      <c r="L76" s="425" t="s">
        <v>730</v>
      </c>
      <c r="M76" s="569" t="s">
        <v>50</v>
      </c>
      <c r="N76" s="569" t="s">
        <v>51</v>
      </c>
      <c r="O76" s="426" t="s">
        <v>731</v>
      </c>
      <c r="P76" s="426" t="s">
        <v>732</v>
      </c>
      <c r="Q76" s="569" t="s">
        <v>733</v>
      </c>
      <c r="R76" s="133"/>
      <c r="V76" s="133"/>
    </row>
    <row r="77" spans="1:40">
      <c r="A77" s="287"/>
      <c r="B77" s="351" t="s">
        <v>1080</v>
      </c>
      <c r="C77" s="149">
        <f>'Inputs and eligible population'!F97</f>
        <v>0</v>
      </c>
      <c r="D77" s="128">
        <f>((D61+D66)*$C$77)/60</f>
        <v>0</v>
      </c>
      <c r="E77" s="128">
        <f t="shared" ref="E77:I77" si="43">((E61+E66)*$C$77)/60</f>
        <v>0</v>
      </c>
      <c r="F77" s="128">
        <f t="shared" si="43"/>
        <v>0</v>
      </c>
      <c r="G77" s="128">
        <f t="shared" si="43"/>
        <v>0</v>
      </c>
      <c r="H77" s="128">
        <f t="shared" si="43"/>
        <v>0</v>
      </c>
      <c r="I77" s="128">
        <f t="shared" si="43"/>
        <v>0</v>
      </c>
      <c r="J77" s="287"/>
      <c r="K77" s="716">
        <f>'Inputs and eligible population'!$N$97</f>
        <v>38.99</v>
      </c>
      <c r="L77" s="293">
        <f>(D77*'Inputs and eligible population'!$N$97)/1000</f>
        <v>0</v>
      </c>
      <c r="M77" s="293">
        <f>(E77*'Inputs and eligible population'!$N$97)/1000</f>
        <v>0</v>
      </c>
      <c r="N77" s="293">
        <f>(F77*'Inputs and eligible population'!$N$97)/1000</f>
        <v>0</v>
      </c>
      <c r="O77" s="293">
        <f>(G77*'Inputs and eligible population'!$N$97)/1000</f>
        <v>0</v>
      </c>
      <c r="P77" s="293">
        <f>(H77*'Inputs and eligible population'!$N$97)/1000</f>
        <v>0</v>
      </c>
      <c r="Q77" s="293">
        <f>(I77*'Inputs and eligible population'!$N$97)/1000</f>
        <v>0</v>
      </c>
      <c r="S77" s="133"/>
      <c r="T77" s="133"/>
      <c r="U77" s="133"/>
      <c r="V77" s="133"/>
      <c r="W77" s="133"/>
      <c r="X77" s="133"/>
      <c r="Y77" s="133"/>
      <c r="Z77" s="133"/>
      <c r="AJ77" s="286"/>
      <c r="AK77" s="286"/>
      <c r="AL77" s="286"/>
      <c r="AM77" s="286"/>
      <c r="AN77" s="286"/>
    </row>
    <row r="78" spans="1:40">
      <c r="A78" s="287"/>
      <c r="B78" s="351" t="s">
        <v>1081</v>
      </c>
      <c r="C78" s="149">
        <f>'Inputs and eligible population'!G97</f>
        <v>15</v>
      </c>
      <c r="D78" s="128">
        <f>((D62+D67)*$C$78)/60</f>
        <v>16423.848120737101</v>
      </c>
      <c r="E78" s="128">
        <f t="shared" ref="E78:I78" si="44">((E62+E67)*$C$78)/60</f>
        <v>14604.814272782567</v>
      </c>
      <c r="F78" s="128">
        <f t="shared" si="44"/>
        <v>12195.730634937849</v>
      </c>
      <c r="G78" s="128">
        <f t="shared" si="44"/>
        <v>9972.6834332480557</v>
      </c>
      <c r="H78" s="128">
        <f t="shared" si="44"/>
        <v>8236.9108378455749</v>
      </c>
      <c r="I78" s="128">
        <f t="shared" si="44"/>
        <v>7498.4674730157731</v>
      </c>
      <c r="J78" s="287"/>
      <c r="K78" s="716">
        <f>'Inputs and eligible population'!$N$97</f>
        <v>38.99</v>
      </c>
      <c r="L78" s="293">
        <f>(D78*'Inputs and eligible population'!$N$97)/1000</f>
        <v>640.3658382275396</v>
      </c>
      <c r="M78" s="293">
        <f>(E78*'Inputs and eligible population'!$N$97)/1000</f>
        <v>569.44170849579234</v>
      </c>
      <c r="N78" s="293">
        <f>(F78*'Inputs and eligible population'!$N$97)/1000</f>
        <v>475.51153745622679</v>
      </c>
      <c r="O78" s="293">
        <f>(G78*'Inputs and eligible population'!$N$97)/1000</f>
        <v>388.83492706234171</v>
      </c>
      <c r="P78" s="293">
        <f>(H78*'Inputs and eligible population'!$N$97)/1000</f>
        <v>321.15715356759898</v>
      </c>
      <c r="Q78" s="293">
        <f>(I78*'Inputs and eligible population'!$N$97)/1000</f>
        <v>292.36524677288503</v>
      </c>
      <c r="S78" s="133"/>
      <c r="T78" s="133"/>
      <c r="U78" s="133"/>
      <c r="V78" s="133"/>
      <c r="W78" s="133"/>
      <c r="X78" s="133"/>
      <c r="Y78" s="133"/>
      <c r="Z78" s="133"/>
      <c r="AJ78" s="286"/>
      <c r="AK78" s="286"/>
      <c r="AL78" s="286"/>
      <c r="AM78" s="286"/>
      <c r="AN78" s="286"/>
    </row>
    <row r="79" spans="1:40" ht="16" customHeight="1">
      <c r="A79" s="287"/>
      <c r="B79" s="351" t="s">
        <v>1082</v>
      </c>
      <c r="C79" s="149">
        <f>'Inputs and eligible population'!H97</f>
        <v>15</v>
      </c>
      <c r="D79" s="128">
        <f>((D63+D68)*$C$79)/60</f>
        <v>93085.317656608458</v>
      </c>
      <c r="E79" s="128">
        <f t="shared" ref="E79:I79" si="45">((E63+E68)*$C$79)/60</f>
        <v>86686.689434498228</v>
      </c>
      <c r="F79" s="128">
        <f t="shared" si="45"/>
        <v>78076.597621676308</v>
      </c>
      <c r="G79" s="128">
        <f t="shared" si="45"/>
        <v>73064.409693301641</v>
      </c>
      <c r="H79" s="128">
        <f t="shared" si="45"/>
        <v>68337.172686086502</v>
      </c>
      <c r="I79" s="128">
        <f t="shared" si="45"/>
        <v>64951.021465814563</v>
      </c>
      <c r="J79" s="287"/>
      <c r="K79" s="716">
        <f>'Inputs and eligible population'!$N$97</f>
        <v>38.99</v>
      </c>
      <c r="L79" s="293">
        <f>(D79*'Inputs and eligible population'!$N$97)/1000</f>
        <v>3629.396535431164</v>
      </c>
      <c r="M79" s="293">
        <f>(E79*'Inputs and eligible population'!$N$97)/1000</f>
        <v>3379.9140210510859</v>
      </c>
      <c r="N79" s="293">
        <f>(F79*'Inputs and eligible population'!$N$97)/1000</f>
        <v>3044.2065412691595</v>
      </c>
      <c r="O79" s="293">
        <f>(G79*'Inputs and eligible population'!$N$97)/1000</f>
        <v>2848.7813339418312</v>
      </c>
      <c r="P79" s="293">
        <f>(H79*'Inputs and eligible population'!$N$97)/1000</f>
        <v>2664.4663630305126</v>
      </c>
      <c r="Q79" s="293">
        <f>(I79*'Inputs and eligible population'!$N$97)/1000</f>
        <v>2532.4403269521099</v>
      </c>
      <c r="S79" s="133"/>
      <c r="T79" s="133"/>
      <c r="U79" s="133"/>
      <c r="V79" s="133"/>
      <c r="W79" s="133"/>
      <c r="X79" s="133"/>
      <c r="Y79" s="133"/>
      <c r="Z79" s="133"/>
      <c r="AJ79" s="286"/>
      <c r="AK79" s="286"/>
      <c r="AL79" s="286"/>
      <c r="AM79" s="286"/>
      <c r="AN79" s="286"/>
    </row>
    <row r="80" spans="1:40" ht="16" customHeight="1">
      <c r="A80" s="287"/>
      <c r="B80" s="351" t="s">
        <v>1083</v>
      </c>
      <c r="C80" s="149">
        <f>'Inputs and eligible population'!I97</f>
        <v>15</v>
      </c>
      <c r="D80" s="128">
        <f>((D64+D69)*$C$80)/60</f>
        <v>44266.313478770069</v>
      </c>
      <c r="E80" s="128">
        <f t="shared" ref="E80:I80" si="46">((E64+E69)*$C$80)/60</f>
        <v>41920.003771538584</v>
      </c>
      <c r="F80" s="128">
        <f t="shared" si="46"/>
        <v>38786.043064997386</v>
      </c>
      <c r="G80" s="128">
        <f t="shared" si="46"/>
        <v>36375.907792099584</v>
      </c>
      <c r="H80" s="128">
        <f t="shared" si="46"/>
        <v>33444.686457074458</v>
      </c>
      <c r="I80" s="128">
        <f t="shared" si="46"/>
        <v>31497.670407917656</v>
      </c>
      <c r="J80" s="287"/>
      <c r="K80" s="716">
        <f>'Inputs and eligible population'!$N$97</f>
        <v>38.99</v>
      </c>
      <c r="L80" s="293">
        <f>(D80*'Inputs and eligible population'!$N$97)/1000</f>
        <v>1725.943562537245</v>
      </c>
      <c r="M80" s="293">
        <f>(E80*'Inputs and eligible population'!$N$97)/1000</f>
        <v>1634.4609470522896</v>
      </c>
      <c r="N80" s="293">
        <f>(F80*'Inputs and eligible population'!$N$97)/1000</f>
        <v>1512.2678191042482</v>
      </c>
      <c r="O80" s="293">
        <f>(G80*'Inputs and eligible population'!$N$97)/1000</f>
        <v>1418.2966448139628</v>
      </c>
      <c r="P80" s="293">
        <f>(H80*'Inputs and eligible population'!$N$97)/1000</f>
        <v>1304.0083249613333</v>
      </c>
      <c r="Q80" s="293">
        <f>(I80*'Inputs and eligible population'!$N$97)/1000</f>
        <v>1228.0941692047095</v>
      </c>
      <c r="S80" s="133"/>
      <c r="T80" s="133"/>
      <c r="U80" s="133"/>
      <c r="V80" s="133"/>
      <c r="W80" s="133"/>
      <c r="X80" s="133"/>
      <c r="Y80" s="133"/>
      <c r="Z80" s="133"/>
      <c r="AJ80" s="286"/>
      <c r="AK80" s="286"/>
      <c r="AL80" s="286"/>
      <c r="AM80" s="286"/>
      <c r="AN80" s="286"/>
    </row>
    <row r="81" spans="1:40" ht="16" customHeight="1">
      <c r="A81" s="287"/>
      <c r="B81" s="351" t="s">
        <v>1084</v>
      </c>
      <c r="C81" s="149">
        <f>'Inputs and eligible population'!J97</f>
        <v>15</v>
      </c>
      <c r="D81" s="128">
        <f>((D65+D70)*$C$81)/60</f>
        <v>18596.849564403856</v>
      </c>
      <c r="E81" s="128">
        <f t="shared" ref="E81:I81" si="47">((E65+E70)*$C$81)/60</f>
        <v>17739.602403098404</v>
      </c>
      <c r="F81" s="128">
        <f t="shared" si="47"/>
        <v>16941.811020179608</v>
      </c>
      <c r="G81" s="128">
        <f t="shared" si="47"/>
        <v>16876.208382838879</v>
      </c>
      <c r="H81" s="128">
        <f t="shared" si="47"/>
        <v>16824.594838168352</v>
      </c>
      <c r="I81" s="128">
        <f t="shared" si="47"/>
        <v>16787.105266306156</v>
      </c>
      <c r="J81" s="287"/>
      <c r="K81" s="716">
        <f>'Inputs and eligible population'!$N$97</f>
        <v>38.99</v>
      </c>
      <c r="L81" s="293">
        <f>(D81*'Inputs and eligible population'!$N$97)/1000</f>
        <v>725.09116451610635</v>
      </c>
      <c r="M81" s="293">
        <f>(E81*'Inputs and eligible population'!$N$97)/1000</f>
        <v>691.66709769680676</v>
      </c>
      <c r="N81" s="293">
        <f>(F81*'Inputs and eligible population'!$N$97)/1000</f>
        <v>660.56121167680294</v>
      </c>
      <c r="O81" s="293">
        <f>(G81*'Inputs and eligible population'!$N$97)/1000</f>
        <v>658.00336484688785</v>
      </c>
      <c r="P81" s="293">
        <f>(H81*'Inputs and eligible population'!$N$97)/1000</f>
        <v>655.99095274018407</v>
      </c>
      <c r="Q81" s="293">
        <f>(I81*'Inputs and eligible population'!$N$97)/1000</f>
        <v>654.52923433327715</v>
      </c>
      <c r="S81" s="133"/>
      <c r="T81" s="133"/>
      <c r="U81" s="133"/>
      <c r="V81" s="133"/>
      <c r="W81" s="133"/>
      <c r="X81" s="133"/>
      <c r="Y81" s="133"/>
      <c r="Z81" s="133"/>
      <c r="AJ81" s="286"/>
      <c r="AK81" s="286"/>
      <c r="AL81" s="286"/>
      <c r="AM81" s="286"/>
      <c r="AN81" s="286"/>
    </row>
    <row r="82" spans="1:40">
      <c r="A82" s="287"/>
      <c r="B82" s="283" t="s">
        <v>747</v>
      </c>
      <c r="C82" s="323"/>
      <c r="D82" s="187">
        <f>SUM(D77:D81)</f>
        <v>172372.32882051947</v>
      </c>
      <c r="E82" s="187">
        <f t="shared" ref="E82:I82" si="48">SUM(E77:E81)</f>
        <v>160951.10988191777</v>
      </c>
      <c r="F82" s="187">
        <f t="shared" si="48"/>
        <v>146000.18234179117</v>
      </c>
      <c r="G82" s="187">
        <f t="shared" si="48"/>
        <v>136289.20930148815</v>
      </c>
      <c r="H82" s="187">
        <f t="shared" si="48"/>
        <v>126843.36481917489</v>
      </c>
      <c r="I82" s="187">
        <f t="shared" si="48"/>
        <v>120734.26461305415</v>
      </c>
      <c r="J82" s="287"/>
      <c r="K82" s="287"/>
      <c r="L82" s="294">
        <f t="shared" ref="L82:Q82" si="49">SUM(L77:L81)</f>
        <v>6720.7971007120559</v>
      </c>
      <c r="M82" s="294">
        <f t="shared" si="49"/>
        <v>6275.4837742959753</v>
      </c>
      <c r="N82" s="294">
        <f t="shared" si="49"/>
        <v>5692.5471095064368</v>
      </c>
      <c r="O82" s="294">
        <f t="shared" si="49"/>
        <v>5313.9162706650231</v>
      </c>
      <c r="P82" s="294">
        <f t="shared" si="49"/>
        <v>4945.6227942996293</v>
      </c>
      <c r="Q82" s="294">
        <f t="shared" si="49"/>
        <v>4707.4289772629818</v>
      </c>
      <c r="S82" s="133"/>
      <c r="T82" s="133"/>
      <c r="U82" s="133"/>
      <c r="V82" s="133"/>
      <c r="W82" s="133"/>
      <c r="X82" s="133"/>
      <c r="Y82" s="133"/>
      <c r="Z82" s="133"/>
      <c r="AJ82" s="286"/>
      <c r="AK82" s="286"/>
      <c r="AL82" s="286"/>
      <c r="AM82" s="286"/>
      <c r="AN82" s="286"/>
    </row>
    <row r="83" spans="1:40">
      <c r="A83" s="287"/>
      <c r="B83" s="306"/>
      <c r="C83" s="259"/>
      <c r="D83" s="285" t="s">
        <v>748</v>
      </c>
      <c r="E83" s="187">
        <f>E82-$D$82</f>
        <v>-11421.218938601698</v>
      </c>
      <c r="F83" s="187">
        <f>F82-$D$82</f>
        <v>-26372.146478728304</v>
      </c>
      <c r="G83" s="187">
        <f>G82-$D$82</f>
        <v>-36083.119519031316</v>
      </c>
      <c r="H83" s="187">
        <f>H82-$D$82</f>
        <v>-45528.964001344575</v>
      </c>
      <c r="I83" s="187">
        <f>I82-$D$82</f>
        <v>-51638.064207465315</v>
      </c>
      <c r="J83" s="287"/>
      <c r="K83" s="287"/>
      <c r="L83" s="570"/>
      <c r="M83" s="294">
        <f>M82-$L$82</f>
        <v>-445.3133264160806</v>
      </c>
      <c r="N83" s="294">
        <f>N82-$L$82</f>
        <v>-1028.2499912056192</v>
      </c>
      <c r="O83" s="294">
        <f>O82-$L$82</f>
        <v>-1406.8808300470328</v>
      </c>
      <c r="P83" s="294">
        <f>P82-$L$82</f>
        <v>-1775.1743064124266</v>
      </c>
      <c r="Q83" s="294">
        <f>Q82-$L$82</f>
        <v>-2013.3681234490741</v>
      </c>
      <c r="S83" s="133"/>
      <c r="T83" s="133"/>
      <c r="U83" s="133"/>
      <c r="V83" s="133"/>
      <c r="W83" s="133"/>
      <c r="X83" s="133"/>
      <c r="Y83" s="133"/>
      <c r="Z83" s="133"/>
      <c r="AJ83" s="286"/>
      <c r="AK83" s="286"/>
      <c r="AL83" s="286"/>
      <c r="AM83" s="286"/>
      <c r="AN83" s="286"/>
    </row>
    <row r="84" spans="1:40">
      <c r="A84" s="287"/>
      <c r="B84" s="325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S84" s="133"/>
      <c r="T84" s="133"/>
      <c r="U84" s="133"/>
      <c r="V84" s="133"/>
      <c r="W84" s="133"/>
      <c r="X84" s="133"/>
      <c r="Y84" s="133"/>
      <c r="Z84" s="133"/>
      <c r="AJ84" s="286"/>
      <c r="AK84" s="286"/>
      <c r="AL84" s="286"/>
      <c r="AM84" s="286"/>
      <c r="AN84" s="286"/>
    </row>
    <row r="85" spans="1:40">
      <c r="A85" s="287"/>
      <c r="B85" s="393" t="s">
        <v>749</v>
      </c>
      <c r="C85" s="392"/>
      <c r="D85" s="392"/>
      <c r="E85" s="392"/>
      <c r="F85" s="392"/>
      <c r="G85" s="392"/>
      <c r="H85" s="392"/>
      <c r="I85" s="218"/>
      <c r="J85" s="433"/>
      <c r="K85" s="219"/>
      <c r="L85" s="432"/>
      <c r="M85" s="432"/>
      <c r="N85" s="432"/>
      <c r="O85" s="432"/>
      <c r="P85" s="432"/>
      <c r="Q85" s="432"/>
      <c r="S85" s="133"/>
      <c r="T85" s="133"/>
      <c r="U85" s="133"/>
      <c r="V85" s="133"/>
      <c r="W85" s="133"/>
      <c r="X85" s="133"/>
      <c r="Y85" s="133"/>
      <c r="Z85" s="133"/>
      <c r="AJ85" s="286"/>
      <c r="AK85" s="286"/>
      <c r="AL85" s="286"/>
      <c r="AM85" s="286"/>
      <c r="AN85" s="286"/>
    </row>
    <row r="86" spans="1:40" ht="72.5">
      <c r="A86" s="287"/>
      <c r="B86" s="282" t="s">
        <v>123</v>
      </c>
      <c r="C86" s="166" t="s">
        <v>87</v>
      </c>
      <c r="D86" s="425" t="s">
        <v>730</v>
      </c>
      <c r="E86" s="258" t="s">
        <v>50</v>
      </c>
      <c r="F86" s="258" t="s">
        <v>51</v>
      </c>
      <c r="G86" s="165" t="s">
        <v>731</v>
      </c>
      <c r="H86" s="165" t="s">
        <v>732</v>
      </c>
      <c r="I86" s="258" t="s">
        <v>733</v>
      </c>
      <c r="J86" s="287"/>
      <c r="K86" s="715" t="s">
        <v>1045</v>
      </c>
      <c r="L86" s="425" t="s">
        <v>730</v>
      </c>
      <c r="M86" s="258" t="s">
        <v>50</v>
      </c>
      <c r="N86" s="258" t="s">
        <v>51</v>
      </c>
      <c r="O86" s="165" t="s">
        <v>731</v>
      </c>
      <c r="P86" s="165" t="s">
        <v>732</v>
      </c>
      <c r="Q86" s="258" t="s">
        <v>733</v>
      </c>
      <c r="S86" s="133"/>
      <c r="T86" s="133"/>
      <c r="U86" s="133"/>
      <c r="V86" s="133"/>
      <c r="W86" s="133"/>
      <c r="X86" s="133"/>
      <c r="Y86" s="133"/>
      <c r="Z86" s="133"/>
      <c r="AJ86" s="286"/>
      <c r="AK86" s="286"/>
      <c r="AL86" s="286"/>
      <c r="AM86" s="286"/>
      <c r="AN86" s="286"/>
    </row>
    <row r="87" spans="1:40">
      <c r="A87" s="287"/>
      <c r="B87" s="351" t="s">
        <v>1080</v>
      </c>
      <c r="C87" s="149">
        <f>'Inputs and eligible population'!F98</f>
        <v>0</v>
      </c>
      <c r="D87" s="128">
        <f>((D61+D66)*$C$87)/60</f>
        <v>0</v>
      </c>
      <c r="E87" s="128">
        <f t="shared" ref="E87:I87" si="50">((E61+E66)*$C$87)/60</f>
        <v>0</v>
      </c>
      <c r="F87" s="128">
        <f t="shared" si="50"/>
        <v>0</v>
      </c>
      <c r="G87" s="128">
        <f t="shared" si="50"/>
        <v>0</v>
      </c>
      <c r="H87" s="128">
        <f t="shared" si="50"/>
        <v>0</v>
      </c>
      <c r="I87" s="128">
        <f t="shared" si="50"/>
        <v>0</v>
      </c>
      <c r="J87" s="287"/>
      <c r="K87" s="716">
        <f>'Inputs and eligible population'!$N$98</f>
        <v>38.99</v>
      </c>
      <c r="L87" s="293">
        <f>(D87*'Inputs and eligible population'!$N$98)/1000</f>
        <v>0</v>
      </c>
      <c r="M87" s="293">
        <f>(E87*'Inputs and eligible population'!$N$98)/1000</f>
        <v>0</v>
      </c>
      <c r="N87" s="293">
        <f>(F87*'Inputs and eligible population'!$N$98)/1000</f>
        <v>0</v>
      </c>
      <c r="O87" s="293">
        <f>(G87*'Inputs and eligible population'!$N$98)/1000</f>
        <v>0</v>
      </c>
      <c r="P87" s="293">
        <f>(H87*'Inputs and eligible population'!$N$98)/1000</f>
        <v>0</v>
      </c>
      <c r="Q87" s="293">
        <f>(I87*'Inputs and eligible population'!$N$98)/1000</f>
        <v>0</v>
      </c>
      <c r="S87" s="133"/>
      <c r="T87" s="133"/>
      <c r="U87" s="133"/>
      <c r="V87" s="133"/>
      <c r="W87" s="133"/>
      <c r="X87" s="133"/>
      <c r="Y87" s="133"/>
      <c r="Z87" s="133"/>
      <c r="AJ87" s="286"/>
      <c r="AK87" s="286"/>
      <c r="AL87" s="286"/>
      <c r="AM87" s="286"/>
      <c r="AN87" s="286"/>
    </row>
    <row r="88" spans="1:40">
      <c r="A88" s="287"/>
      <c r="B88" s="351" t="s">
        <v>1081</v>
      </c>
      <c r="C88" s="149">
        <f>'Inputs and eligible population'!G98</f>
        <v>15</v>
      </c>
      <c r="D88" s="128">
        <f>((D62+D67)*$C$88)/60</f>
        <v>16423.848120737101</v>
      </c>
      <c r="E88" s="128">
        <f t="shared" ref="E88:I88" si="51">((E62+E67)*$C$88)/60</f>
        <v>14604.814272782567</v>
      </c>
      <c r="F88" s="128">
        <f t="shared" si="51"/>
        <v>12195.730634937849</v>
      </c>
      <c r="G88" s="128">
        <f t="shared" si="51"/>
        <v>9972.6834332480557</v>
      </c>
      <c r="H88" s="128">
        <f t="shared" si="51"/>
        <v>8236.9108378455749</v>
      </c>
      <c r="I88" s="128">
        <f t="shared" si="51"/>
        <v>7498.4674730157731</v>
      </c>
      <c r="J88" s="287"/>
      <c r="K88" s="716">
        <f>'Inputs and eligible population'!$N$98</f>
        <v>38.99</v>
      </c>
      <c r="L88" s="293">
        <f>(D88*'Inputs and eligible population'!$N$98)/1000</f>
        <v>640.3658382275396</v>
      </c>
      <c r="M88" s="293">
        <f>(E88*'Inputs and eligible population'!$N$98)/1000</f>
        <v>569.44170849579234</v>
      </c>
      <c r="N88" s="293">
        <f>(F88*'Inputs and eligible population'!$N$98)/1000</f>
        <v>475.51153745622679</v>
      </c>
      <c r="O88" s="293">
        <f>(G88*'Inputs and eligible population'!$N$98)/1000</f>
        <v>388.83492706234171</v>
      </c>
      <c r="P88" s="293">
        <f>(H88*'Inputs and eligible population'!$N$98)/1000</f>
        <v>321.15715356759898</v>
      </c>
      <c r="Q88" s="293">
        <f>(I88*'Inputs and eligible population'!$N$98)/1000</f>
        <v>292.36524677288503</v>
      </c>
      <c r="S88" s="133"/>
      <c r="T88" s="133"/>
      <c r="U88" s="133"/>
      <c r="V88" s="133"/>
      <c r="W88" s="133"/>
      <c r="X88" s="133"/>
      <c r="Y88" s="133"/>
      <c r="Z88" s="133"/>
      <c r="AJ88" s="286"/>
      <c r="AK88" s="286"/>
      <c r="AL88" s="286"/>
      <c r="AM88" s="286"/>
      <c r="AN88" s="286"/>
    </row>
    <row r="89" spans="1:40">
      <c r="A89" s="287"/>
      <c r="B89" s="351" t="s">
        <v>1082</v>
      </c>
      <c r="C89" s="149">
        <f>'Inputs and eligible population'!H98</f>
        <v>15</v>
      </c>
      <c r="D89" s="128">
        <f>((D63+D68)*$C$89)/60</f>
        <v>93085.317656608458</v>
      </c>
      <c r="E89" s="128">
        <f t="shared" ref="E89:I89" si="52">((E63+E68)*$C$89)/60</f>
        <v>86686.689434498228</v>
      </c>
      <c r="F89" s="128">
        <f t="shared" si="52"/>
        <v>78076.597621676308</v>
      </c>
      <c r="G89" s="128">
        <f t="shared" si="52"/>
        <v>73064.409693301641</v>
      </c>
      <c r="H89" s="128">
        <f t="shared" si="52"/>
        <v>68337.172686086502</v>
      </c>
      <c r="I89" s="128">
        <f t="shared" si="52"/>
        <v>64951.021465814563</v>
      </c>
      <c r="J89" s="287"/>
      <c r="K89" s="716">
        <f>'Inputs and eligible population'!$N$98</f>
        <v>38.99</v>
      </c>
      <c r="L89" s="293">
        <f>(D89*'Inputs and eligible population'!$N$98)/1000</f>
        <v>3629.396535431164</v>
      </c>
      <c r="M89" s="293">
        <f>(E89*'Inputs and eligible population'!$N$98)/1000</f>
        <v>3379.9140210510859</v>
      </c>
      <c r="N89" s="293">
        <f>(F89*'Inputs and eligible population'!$N$98)/1000</f>
        <v>3044.2065412691595</v>
      </c>
      <c r="O89" s="293">
        <f>(G89*'Inputs and eligible population'!$N$98)/1000</f>
        <v>2848.7813339418312</v>
      </c>
      <c r="P89" s="293">
        <f>(H89*'Inputs and eligible population'!$N$98)/1000</f>
        <v>2664.4663630305126</v>
      </c>
      <c r="Q89" s="293">
        <f>(I89*'Inputs and eligible population'!$N$98)/1000</f>
        <v>2532.4403269521099</v>
      </c>
      <c r="S89" s="133"/>
      <c r="T89" s="133"/>
      <c r="U89" s="133"/>
      <c r="V89" s="133"/>
      <c r="W89" s="133"/>
      <c r="X89" s="133"/>
      <c r="Y89" s="133"/>
      <c r="Z89" s="133"/>
      <c r="AJ89" s="286"/>
      <c r="AK89" s="286"/>
      <c r="AL89" s="286"/>
      <c r="AM89" s="286"/>
      <c r="AN89" s="286"/>
    </row>
    <row r="90" spans="1:40">
      <c r="A90" s="287"/>
      <c r="B90" s="351" t="s">
        <v>1083</v>
      </c>
      <c r="C90" s="149">
        <f>'Inputs and eligible population'!I98</f>
        <v>15</v>
      </c>
      <c r="D90" s="128">
        <f>((D64+D69)*$C$90)/60</f>
        <v>44266.313478770069</v>
      </c>
      <c r="E90" s="128">
        <f t="shared" ref="E90:I90" si="53">((E64+E69)*$C$90)/60</f>
        <v>41920.003771538584</v>
      </c>
      <c r="F90" s="128">
        <f t="shared" si="53"/>
        <v>38786.043064997386</v>
      </c>
      <c r="G90" s="128">
        <f t="shared" si="53"/>
        <v>36375.907792099584</v>
      </c>
      <c r="H90" s="128">
        <f t="shared" si="53"/>
        <v>33444.686457074458</v>
      </c>
      <c r="I90" s="128">
        <f t="shared" si="53"/>
        <v>31497.670407917656</v>
      </c>
      <c r="J90" s="287"/>
      <c r="K90" s="716">
        <f>'Inputs and eligible population'!$N$98</f>
        <v>38.99</v>
      </c>
      <c r="L90" s="293">
        <f>(D90*'Inputs and eligible population'!$N$98)/1000</f>
        <v>1725.943562537245</v>
      </c>
      <c r="M90" s="293">
        <f>(E90*'Inputs and eligible population'!$N$98)/1000</f>
        <v>1634.4609470522896</v>
      </c>
      <c r="N90" s="293">
        <f>(F90*'Inputs and eligible population'!$N$98)/1000</f>
        <v>1512.2678191042482</v>
      </c>
      <c r="O90" s="293">
        <f>(G90*'Inputs and eligible population'!$N$98)/1000</f>
        <v>1418.2966448139628</v>
      </c>
      <c r="P90" s="293">
        <f>(H90*'Inputs and eligible population'!$N$98)/1000</f>
        <v>1304.0083249613333</v>
      </c>
      <c r="Q90" s="293">
        <f>(I90*'Inputs and eligible population'!$N$98)/1000</f>
        <v>1228.0941692047095</v>
      </c>
      <c r="S90" s="133"/>
      <c r="T90" s="133"/>
      <c r="U90" s="133"/>
      <c r="V90" s="133"/>
      <c r="W90" s="133"/>
      <c r="X90" s="133"/>
      <c r="Y90" s="133"/>
      <c r="Z90" s="133"/>
      <c r="AJ90" s="286"/>
      <c r="AK90" s="286"/>
      <c r="AL90" s="286"/>
      <c r="AM90" s="286"/>
      <c r="AN90" s="286"/>
    </row>
    <row r="91" spans="1:40">
      <c r="A91" s="287"/>
      <c r="B91" s="351" t="s">
        <v>1084</v>
      </c>
      <c r="C91" s="149">
        <f>'Inputs and eligible population'!J98</f>
        <v>15</v>
      </c>
      <c r="D91" s="128">
        <f>((D65+D70)*$C$91)/60</f>
        <v>18596.849564403856</v>
      </c>
      <c r="E91" s="128">
        <f t="shared" ref="E91:I91" si="54">((E65+E70)*$C$91)/60</f>
        <v>17739.602403098404</v>
      </c>
      <c r="F91" s="128">
        <f t="shared" si="54"/>
        <v>16941.811020179608</v>
      </c>
      <c r="G91" s="128">
        <f t="shared" si="54"/>
        <v>16876.208382838879</v>
      </c>
      <c r="H91" s="128">
        <f t="shared" si="54"/>
        <v>16824.594838168352</v>
      </c>
      <c r="I91" s="128">
        <f t="shared" si="54"/>
        <v>16787.105266306156</v>
      </c>
      <c r="J91" s="287"/>
      <c r="K91" s="716">
        <f>'Inputs and eligible population'!$N$98</f>
        <v>38.99</v>
      </c>
      <c r="L91" s="293">
        <f>(D91*'Inputs and eligible population'!$N$98)/1000</f>
        <v>725.09116451610635</v>
      </c>
      <c r="M91" s="293">
        <f>(E91*'Inputs and eligible population'!$N$98)/1000</f>
        <v>691.66709769680676</v>
      </c>
      <c r="N91" s="293">
        <f>(F91*'Inputs and eligible population'!$N$98)/1000</f>
        <v>660.56121167680294</v>
      </c>
      <c r="O91" s="293">
        <f>(G91*'Inputs and eligible population'!$N$98)/1000</f>
        <v>658.00336484688785</v>
      </c>
      <c r="P91" s="293">
        <f>(H91*'Inputs and eligible population'!$N$98)/1000</f>
        <v>655.99095274018407</v>
      </c>
      <c r="Q91" s="293">
        <f>(I91*'Inputs and eligible population'!$N$98)/1000</f>
        <v>654.52923433327715</v>
      </c>
      <c r="S91" s="133"/>
      <c r="T91" s="133"/>
      <c r="U91" s="133"/>
      <c r="V91" s="133"/>
      <c r="W91" s="133"/>
      <c r="X91" s="133"/>
      <c r="Y91" s="133"/>
      <c r="Z91" s="133"/>
      <c r="AJ91" s="286"/>
      <c r="AK91" s="286"/>
      <c r="AL91" s="286"/>
      <c r="AM91" s="286"/>
      <c r="AN91" s="286"/>
    </row>
    <row r="92" spans="1:40">
      <c r="A92" s="287"/>
      <c r="B92" s="283"/>
      <c r="C92" s="283"/>
      <c r="D92" s="187">
        <f t="shared" ref="D92:I92" si="55">SUM(D87:D91)</f>
        <v>172372.32882051947</v>
      </c>
      <c r="E92" s="187">
        <f t="shared" si="55"/>
        <v>160951.10988191777</v>
      </c>
      <c r="F92" s="187">
        <f t="shared" si="55"/>
        <v>146000.18234179117</v>
      </c>
      <c r="G92" s="187">
        <f t="shared" si="55"/>
        <v>136289.20930148815</v>
      </c>
      <c r="H92" s="187">
        <f t="shared" si="55"/>
        <v>126843.36481917489</v>
      </c>
      <c r="I92" s="187">
        <f t="shared" si="55"/>
        <v>120734.26461305415</v>
      </c>
      <c r="J92" s="287"/>
      <c r="K92" s="287"/>
      <c r="L92" s="294">
        <f t="shared" ref="L92:Q92" si="56">SUM(L87:L91)</f>
        <v>6720.7971007120559</v>
      </c>
      <c r="M92" s="294">
        <f t="shared" si="56"/>
        <v>6275.4837742959753</v>
      </c>
      <c r="N92" s="294">
        <f t="shared" si="56"/>
        <v>5692.5471095064368</v>
      </c>
      <c r="O92" s="294">
        <f t="shared" si="56"/>
        <v>5313.9162706650231</v>
      </c>
      <c r="P92" s="294">
        <f t="shared" si="56"/>
        <v>4945.6227942996293</v>
      </c>
      <c r="Q92" s="294">
        <f t="shared" si="56"/>
        <v>4707.4289772629818</v>
      </c>
      <c r="S92" s="133"/>
      <c r="T92" s="133"/>
      <c r="U92" s="133"/>
      <c r="V92" s="133"/>
      <c r="W92" s="133"/>
      <c r="X92" s="133"/>
      <c r="Y92" s="133"/>
      <c r="Z92" s="133"/>
      <c r="AJ92" s="286"/>
      <c r="AK92" s="286"/>
      <c r="AL92" s="286"/>
      <c r="AM92" s="286"/>
      <c r="AN92" s="286"/>
    </row>
    <row r="93" spans="1:40">
      <c r="A93" s="287"/>
      <c r="B93" s="283"/>
      <c r="C93" s="283"/>
      <c r="D93" s="285" t="s">
        <v>750</v>
      </c>
      <c r="E93" s="187">
        <f>E92-$D$92</f>
        <v>-11421.218938601698</v>
      </c>
      <c r="F93" s="187">
        <f>F92-$D$92</f>
        <v>-26372.146478728304</v>
      </c>
      <c r="G93" s="187">
        <f>G92-$D$92</f>
        <v>-36083.119519031316</v>
      </c>
      <c r="H93" s="187">
        <f>H92-$D$92</f>
        <v>-45528.964001344575</v>
      </c>
      <c r="I93" s="187">
        <f>I92-$D$92</f>
        <v>-51638.064207465315</v>
      </c>
      <c r="J93" s="287"/>
      <c r="K93" s="287"/>
      <c r="L93" s="570"/>
      <c r="M93" s="294">
        <f>M92-$L$92</f>
        <v>-445.3133264160806</v>
      </c>
      <c r="N93" s="294">
        <f>N92-$L$92</f>
        <v>-1028.2499912056192</v>
      </c>
      <c r="O93" s="294">
        <f>O92-$L$92</f>
        <v>-1406.8808300470328</v>
      </c>
      <c r="P93" s="294">
        <f>P92-$L$92</f>
        <v>-1775.1743064124266</v>
      </c>
      <c r="Q93" s="294">
        <f>Q92-$L$92</f>
        <v>-2013.3681234490741</v>
      </c>
      <c r="S93" s="133"/>
      <c r="T93" s="133"/>
      <c r="U93" s="133"/>
      <c r="V93" s="133"/>
      <c r="W93" s="133"/>
      <c r="X93" s="133"/>
      <c r="Y93" s="133"/>
      <c r="Z93" s="133"/>
      <c r="AJ93" s="286"/>
      <c r="AK93" s="286"/>
      <c r="AL93" s="286"/>
      <c r="AM93" s="286"/>
      <c r="AN93" s="286"/>
    </row>
    <row r="94" spans="1:40">
      <c r="A94" s="287"/>
      <c r="B94" s="325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S94" s="133"/>
      <c r="T94" s="133"/>
      <c r="U94" s="133"/>
      <c r="V94" s="133"/>
      <c r="W94" s="133"/>
      <c r="X94" s="133"/>
      <c r="Y94" s="133"/>
      <c r="Z94" s="133"/>
      <c r="AJ94" s="286"/>
      <c r="AK94" s="286"/>
      <c r="AL94" s="286"/>
      <c r="AM94" s="286"/>
      <c r="AN94" s="286"/>
    </row>
    <row r="95" spans="1:40">
      <c r="A95" s="287"/>
      <c r="B95" s="393" t="s">
        <v>169</v>
      </c>
      <c r="C95" s="392"/>
      <c r="D95" s="392"/>
      <c r="E95" s="392"/>
      <c r="F95" s="392"/>
      <c r="G95" s="392"/>
      <c r="H95" s="392"/>
      <c r="I95" s="218"/>
      <c r="J95" s="433"/>
      <c r="K95" s="219"/>
      <c r="L95" s="432"/>
      <c r="M95" s="432"/>
      <c r="N95" s="432"/>
      <c r="O95" s="432"/>
      <c r="P95" s="432"/>
      <c r="Q95" s="432"/>
      <c r="V95" s="133"/>
      <c r="AJ95" s="286"/>
      <c r="AK95" s="286"/>
      <c r="AL95" s="286"/>
      <c r="AM95" s="286"/>
      <c r="AN95" s="286"/>
    </row>
    <row r="96" spans="1:40" ht="58">
      <c r="A96" s="287"/>
      <c r="B96" s="282" t="s">
        <v>123</v>
      </c>
      <c r="C96" s="166" t="s">
        <v>88</v>
      </c>
      <c r="D96" s="425" t="s">
        <v>730</v>
      </c>
      <c r="E96" s="258" t="s">
        <v>50</v>
      </c>
      <c r="F96" s="258" t="s">
        <v>51</v>
      </c>
      <c r="G96" s="165" t="s">
        <v>731</v>
      </c>
      <c r="H96" s="165" t="s">
        <v>732</v>
      </c>
      <c r="I96" s="258" t="s">
        <v>733</v>
      </c>
      <c r="J96" s="287"/>
      <c r="K96" s="715" t="s">
        <v>1045</v>
      </c>
      <c r="L96" s="425" t="s">
        <v>730</v>
      </c>
      <c r="M96" s="258" t="s">
        <v>50</v>
      </c>
      <c r="N96" s="258" t="s">
        <v>51</v>
      </c>
      <c r="O96" s="165" t="s">
        <v>731</v>
      </c>
      <c r="P96" s="165" t="s">
        <v>732</v>
      </c>
      <c r="Q96" s="258" t="s">
        <v>733</v>
      </c>
      <c r="V96" s="133"/>
      <c r="AJ96" s="286"/>
      <c r="AK96" s="286"/>
      <c r="AL96" s="286"/>
      <c r="AM96" s="286"/>
      <c r="AN96" s="286"/>
    </row>
    <row r="97" spans="1:40">
      <c r="A97" s="287"/>
      <c r="B97" s="351" t="s">
        <v>1080</v>
      </c>
      <c r="C97" s="149">
        <f>'Inputs and eligible population'!F99</f>
        <v>0</v>
      </c>
      <c r="D97" s="128">
        <f>((D66+D61)*$C$97)/60</f>
        <v>0</v>
      </c>
      <c r="E97" s="128">
        <f t="shared" ref="E97:I97" si="57">((E66+E61)*$C$97)/60</f>
        <v>0</v>
      </c>
      <c r="F97" s="128">
        <f t="shared" si="57"/>
        <v>0</v>
      </c>
      <c r="G97" s="128">
        <f t="shared" si="57"/>
        <v>0</v>
      </c>
      <c r="H97" s="128">
        <f t="shared" si="57"/>
        <v>0</v>
      </c>
      <c r="I97" s="128">
        <f t="shared" si="57"/>
        <v>0</v>
      </c>
      <c r="J97" s="287"/>
      <c r="K97" s="716">
        <f>'Inputs and eligible population'!$N$99</f>
        <v>38.99</v>
      </c>
      <c r="L97" s="293">
        <f>(D97*'Inputs and eligible population'!$N$99)/1000</f>
        <v>0</v>
      </c>
      <c r="M97" s="293">
        <f>(E97*'Inputs and eligible population'!$N$99)/1000</f>
        <v>0</v>
      </c>
      <c r="N97" s="293">
        <f>(F97*'Inputs and eligible population'!$N$99)/1000</f>
        <v>0</v>
      </c>
      <c r="O97" s="293">
        <f>(G97*'Inputs and eligible population'!$N$99)/1000</f>
        <v>0</v>
      </c>
      <c r="P97" s="293">
        <f>(H97*'Inputs and eligible population'!$N$99)/1000</f>
        <v>0</v>
      </c>
      <c r="Q97" s="293">
        <f>(I97*'Inputs and eligible population'!$N$99)/1000</f>
        <v>0</v>
      </c>
      <c r="V97" s="133"/>
      <c r="AJ97" s="286"/>
      <c r="AK97" s="286"/>
      <c r="AL97" s="286"/>
      <c r="AM97" s="286"/>
      <c r="AN97" s="286"/>
    </row>
    <row r="98" spans="1:40">
      <c r="A98" s="287"/>
      <c r="B98" s="351" t="s">
        <v>1081</v>
      </c>
      <c r="C98" s="149">
        <f>'Inputs and eligible population'!G99</f>
        <v>15</v>
      </c>
      <c r="D98" s="128">
        <f>((D67+D62)*$C$98)/60</f>
        <v>16423.848120737101</v>
      </c>
      <c r="E98" s="128">
        <f t="shared" ref="E98:I98" si="58">((E67+E62)*$C$98)/60</f>
        <v>14604.814272782567</v>
      </c>
      <c r="F98" s="128">
        <f t="shared" si="58"/>
        <v>12195.730634937849</v>
      </c>
      <c r="G98" s="128">
        <f t="shared" si="58"/>
        <v>9972.6834332480557</v>
      </c>
      <c r="H98" s="128">
        <f t="shared" si="58"/>
        <v>8236.9108378455749</v>
      </c>
      <c r="I98" s="128">
        <f t="shared" si="58"/>
        <v>7498.4674730157731</v>
      </c>
      <c r="J98" s="287"/>
      <c r="K98" s="716">
        <f>'Inputs and eligible population'!$N$99</f>
        <v>38.99</v>
      </c>
      <c r="L98" s="293">
        <f>(D98*'Inputs and eligible population'!$N$99)/1000</f>
        <v>640.3658382275396</v>
      </c>
      <c r="M98" s="293">
        <f>(E98*'Inputs and eligible population'!$N$99)/1000</f>
        <v>569.44170849579234</v>
      </c>
      <c r="N98" s="293">
        <f>(F98*'Inputs and eligible population'!$N$99)/1000</f>
        <v>475.51153745622679</v>
      </c>
      <c r="O98" s="293">
        <f>(G98*'Inputs and eligible population'!$N$99)/1000</f>
        <v>388.83492706234171</v>
      </c>
      <c r="P98" s="293">
        <f>(H98*'Inputs and eligible population'!$N$99)/1000</f>
        <v>321.15715356759898</v>
      </c>
      <c r="Q98" s="293">
        <f>(I98*'Inputs and eligible population'!$N$99)/1000</f>
        <v>292.36524677288503</v>
      </c>
      <c r="V98" s="133"/>
      <c r="AJ98" s="286"/>
      <c r="AK98" s="286"/>
      <c r="AL98" s="286"/>
      <c r="AM98" s="286"/>
      <c r="AN98" s="286"/>
    </row>
    <row r="99" spans="1:40">
      <c r="A99" s="287"/>
      <c r="B99" s="351" t="s">
        <v>1082</v>
      </c>
      <c r="C99" s="149">
        <f>'Inputs and eligible population'!H99</f>
        <v>15</v>
      </c>
      <c r="D99" s="128">
        <f>((D68+D63)*$C$99)/60</f>
        <v>93085.317656608458</v>
      </c>
      <c r="E99" s="128">
        <f t="shared" ref="E99:I99" si="59">((E68+E63)*$C$99)/60</f>
        <v>86686.689434498228</v>
      </c>
      <c r="F99" s="128">
        <f t="shared" si="59"/>
        <v>78076.597621676308</v>
      </c>
      <c r="G99" s="128">
        <f t="shared" si="59"/>
        <v>73064.409693301641</v>
      </c>
      <c r="H99" s="128">
        <f t="shared" si="59"/>
        <v>68337.172686086502</v>
      </c>
      <c r="I99" s="128">
        <f t="shared" si="59"/>
        <v>64951.021465814563</v>
      </c>
      <c r="J99" s="287"/>
      <c r="K99" s="716">
        <f>'Inputs and eligible population'!$N$99</f>
        <v>38.99</v>
      </c>
      <c r="L99" s="293">
        <f>(D99*'Inputs and eligible population'!$N$99)/1000</f>
        <v>3629.396535431164</v>
      </c>
      <c r="M99" s="293">
        <f>(E99*'Inputs and eligible population'!$N$99)/1000</f>
        <v>3379.9140210510859</v>
      </c>
      <c r="N99" s="293">
        <f>(F99*'Inputs and eligible population'!$N$99)/1000</f>
        <v>3044.2065412691595</v>
      </c>
      <c r="O99" s="293">
        <f>(G99*'Inputs and eligible population'!$N$99)/1000</f>
        <v>2848.7813339418312</v>
      </c>
      <c r="P99" s="293">
        <f>(H99*'Inputs and eligible population'!$N$99)/1000</f>
        <v>2664.4663630305126</v>
      </c>
      <c r="Q99" s="293">
        <f>(I99*'Inputs and eligible population'!$N$99)/1000</f>
        <v>2532.4403269521099</v>
      </c>
      <c r="V99" s="133"/>
      <c r="AJ99" s="286"/>
      <c r="AK99" s="286"/>
      <c r="AL99" s="286"/>
      <c r="AM99" s="286"/>
      <c r="AN99" s="286"/>
    </row>
    <row r="100" spans="1:40">
      <c r="A100" s="287"/>
      <c r="B100" s="351" t="s">
        <v>1083</v>
      </c>
      <c r="C100" s="149">
        <f>'Inputs and eligible population'!I99</f>
        <v>15</v>
      </c>
      <c r="D100" s="128">
        <f>((D69+D64)*$C$100)/60</f>
        <v>44266.313478770069</v>
      </c>
      <c r="E100" s="128">
        <f t="shared" ref="E100:I100" si="60">((E69+E64)*$C$100)/60</f>
        <v>41920.003771538584</v>
      </c>
      <c r="F100" s="128">
        <f t="shared" si="60"/>
        <v>38786.043064997386</v>
      </c>
      <c r="G100" s="128">
        <f t="shared" si="60"/>
        <v>36375.907792099584</v>
      </c>
      <c r="H100" s="128">
        <f t="shared" si="60"/>
        <v>33444.686457074458</v>
      </c>
      <c r="I100" s="128">
        <f t="shared" si="60"/>
        <v>31497.670407917656</v>
      </c>
      <c r="J100" s="287"/>
      <c r="K100" s="716">
        <f>'Inputs and eligible population'!$N$99</f>
        <v>38.99</v>
      </c>
      <c r="L100" s="293">
        <f>(D100*'Inputs and eligible population'!$N$99)/1000</f>
        <v>1725.943562537245</v>
      </c>
      <c r="M100" s="293">
        <f>(E100*'Inputs and eligible population'!$N$99)/1000</f>
        <v>1634.4609470522896</v>
      </c>
      <c r="N100" s="293">
        <f>(F100*'Inputs and eligible population'!$N$99)/1000</f>
        <v>1512.2678191042482</v>
      </c>
      <c r="O100" s="293">
        <f>(G100*'Inputs and eligible population'!$N$99)/1000</f>
        <v>1418.2966448139628</v>
      </c>
      <c r="P100" s="293">
        <f>(H100*'Inputs and eligible population'!$N$99)/1000</f>
        <v>1304.0083249613333</v>
      </c>
      <c r="Q100" s="293">
        <f>(I100*'Inputs and eligible population'!$N$99)/1000</f>
        <v>1228.0941692047095</v>
      </c>
      <c r="V100" s="133"/>
      <c r="AJ100" s="286"/>
      <c r="AK100" s="286"/>
      <c r="AL100" s="286"/>
      <c r="AM100" s="286"/>
      <c r="AN100" s="286"/>
    </row>
    <row r="101" spans="1:40">
      <c r="A101" s="287"/>
      <c r="B101" s="351" t="s">
        <v>1084</v>
      </c>
      <c r="C101" s="149">
        <f>'Inputs and eligible population'!J99</f>
        <v>15</v>
      </c>
      <c r="D101" s="128">
        <f>((D70+D65)*$C$101)/60</f>
        <v>18596.849564403856</v>
      </c>
      <c r="E101" s="128">
        <f t="shared" ref="E101:I101" si="61">((E70+E65)*$C$101)/60</f>
        <v>17739.602403098404</v>
      </c>
      <c r="F101" s="128">
        <f t="shared" si="61"/>
        <v>16941.811020179608</v>
      </c>
      <c r="G101" s="128">
        <f t="shared" si="61"/>
        <v>16876.208382838879</v>
      </c>
      <c r="H101" s="128">
        <f t="shared" si="61"/>
        <v>16824.594838168352</v>
      </c>
      <c r="I101" s="128">
        <f t="shared" si="61"/>
        <v>16787.105266306156</v>
      </c>
      <c r="J101" s="287"/>
      <c r="K101" s="716">
        <f>'Inputs and eligible population'!$N$99</f>
        <v>38.99</v>
      </c>
      <c r="L101" s="293">
        <f>(D101*'Inputs and eligible population'!$N$99)/1000</f>
        <v>725.09116451610635</v>
      </c>
      <c r="M101" s="293">
        <f>(E101*'Inputs and eligible population'!$N$99)/1000</f>
        <v>691.66709769680676</v>
      </c>
      <c r="N101" s="293">
        <f>(F101*'Inputs and eligible population'!$N$99)/1000</f>
        <v>660.56121167680294</v>
      </c>
      <c r="O101" s="293">
        <f>(G101*'Inputs and eligible population'!$N$99)/1000</f>
        <v>658.00336484688785</v>
      </c>
      <c r="P101" s="293">
        <f>(H101*'Inputs and eligible population'!$N$99)/1000</f>
        <v>655.99095274018407</v>
      </c>
      <c r="Q101" s="293">
        <f>(I101*'Inputs and eligible population'!$N$99)/1000</f>
        <v>654.52923433327715</v>
      </c>
      <c r="V101" s="133"/>
      <c r="AJ101" s="286"/>
      <c r="AK101" s="286"/>
      <c r="AL101" s="286"/>
      <c r="AM101" s="286"/>
      <c r="AN101" s="286"/>
    </row>
    <row r="102" spans="1:40">
      <c r="A102" s="287"/>
      <c r="B102" s="283"/>
      <c r="C102" s="283"/>
      <c r="D102" s="187">
        <f t="shared" ref="D102:I102" si="62">SUM(D97:D101)</f>
        <v>172372.32882051947</v>
      </c>
      <c r="E102" s="187">
        <f t="shared" si="62"/>
        <v>160951.10988191777</v>
      </c>
      <c r="F102" s="187">
        <f t="shared" si="62"/>
        <v>146000.18234179117</v>
      </c>
      <c r="G102" s="187">
        <f t="shared" si="62"/>
        <v>136289.20930148815</v>
      </c>
      <c r="H102" s="187">
        <f t="shared" si="62"/>
        <v>126843.36481917489</v>
      </c>
      <c r="I102" s="187">
        <f t="shared" si="62"/>
        <v>120734.26461305415</v>
      </c>
      <c r="J102" s="287"/>
      <c r="K102" s="287"/>
      <c r="L102" s="294">
        <f t="shared" ref="L102:Q102" si="63">SUM(L97:L101)</f>
        <v>6720.7971007120559</v>
      </c>
      <c r="M102" s="294">
        <f t="shared" si="63"/>
        <v>6275.4837742959753</v>
      </c>
      <c r="N102" s="294">
        <f t="shared" si="63"/>
        <v>5692.5471095064368</v>
      </c>
      <c r="O102" s="294">
        <f t="shared" si="63"/>
        <v>5313.9162706650231</v>
      </c>
      <c r="P102" s="294">
        <f t="shared" si="63"/>
        <v>4945.6227942996293</v>
      </c>
      <c r="Q102" s="294">
        <f t="shared" si="63"/>
        <v>4707.4289772629818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286"/>
      <c r="AK102" s="286"/>
      <c r="AL102" s="286"/>
      <c r="AM102" s="286"/>
      <c r="AN102" s="286"/>
    </row>
    <row r="103" spans="1:40">
      <c r="A103" s="287"/>
      <c r="B103" s="306"/>
      <c r="C103" s="283"/>
      <c r="D103" s="285" t="s">
        <v>751</v>
      </c>
      <c r="E103" s="187">
        <f>E102-$D$102</f>
        <v>-11421.218938601698</v>
      </c>
      <c r="F103" s="187">
        <f>F102-$D$102</f>
        <v>-26372.146478728304</v>
      </c>
      <c r="G103" s="187">
        <f>G102-$D$102</f>
        <v>-36083.119519031316</v>
      </c>
      <c r="H103" s="187">
        <f>H102-$D$102</f>
        <v>-45528.964001344575</v>
      </c>
      <c r="I103" s="187">
        <f>I102-$D$102</f>
        <v>-51638.064207465315</v>
      </c>
      <c r="J103" s="287"/>
      <c r="K103" s="287"/>
      <c r="L103" s="570"/>
      <c r="M103" s="294">
        <f>M102-$L$102</f>
        <v>-445.3133264160806</v>
      </c>
      <c r="N103" s="294">
        <f>N102-$L$102</f>
        <v>-1028.2499912056192</v>
      </c>
      <c r="O103" s="294">
        <f>O102-$L$102</f>
        <v>-1406.8808300470328</v>
      </c>
      <c r="P103" s="294">
        <f>P102-$L$102</f>
        <v>-1775.1743064124266</v>
      </c>
      <c r="Q103" s="294">
        <f>Q102-$L$102</f>
        <v>-2013.3681234490741</v>
      </c>
      <c r="R103" s="133"/>
      <c r="S103" s="133"/>
      <c r="T103" s="133"/>
      <c r="U103" s="133"/>
      <c r="V103" s="133"/>
      <c r="W103" s="133"/>
      <c r="X103" s="133"/>
      <c r="Y103" s="133"/>
      <c r="Z103" s="133"/>
      <c r="AJ103" s="286"/>
      <c r="AK103" s="286"/>
      <c r="AL103" s="286"/>
      <c r="AM103" s="286"/>
      <c r="AN103" s="286"/>
    </row>
    <row r="104" spans="1:40">
      <c r="A104" s="287"/>
      <c r="B104" s="325"/>
      <c r="C104" s="219"/>
      <c r="D104" s="219"/>
      <c r="E104" s="219"/>
      <c r="F104" s="219"/>
      <c r="G104" s="219"/>
      <c r="H104" s="219"/>
      <c r="I104" s="219"/>
      <c r="J104" s="287"/>
      <c r="K104" s="287"/>
      <c r="L104" s="219"/>
      <c r="M104" s="219"/>
      <c r="N104" s="219"/>
      <c r="O104" s="219"/>
      <c r="P104" s="219"/>
      <c r="Q104" s="219"/>
      <c r="R104" s="133"/>
      <c r="S104" s="133"/>
      <c r="T104" s="133"/>
      <c r="U104" s="133"/>
      <c r="V104" s="133"/>
      <c r="W104" s="133"/>
      <c r="X104" s="133"/>
      <c r="Y104" s="133"/>
      <c r="Z104" s="133"/>
      <c r="AJ104" s="286"/>
      <c r="AK104" s="286"/>
      <c r="AL104" s="286"/>
      <c r="AM104" s="286"/>
      <c r="AN104" s="286"/>
    </row>
    <row r="105" spans="1:40" ht="13.5" customHeight="1">
      <c r="A105" s="289"/>
      <c r="B105" s="326" t="s">
        <v>752</v>
      </c>
      <c r="C105" s="309"/>
      <c r="D105" s="308"/>
      <c r="E105" s="309"/>
      <c r="F105" s="310"/>
      <c r="G105" s="311"/>
      <c r="H105" s="311"/>
      <c r="I105" s="364"/>
      <c r="J105" s="289"/>
      <c r="K105" s="289"/>
      <c r="L105" s="289"/>
      <c r="M105" s="289"/>
      <c r="N105" s="289"/>
      <c r="O105" s="289"/>
      <c r="P105" s="289"/>
      <c r="Q105" s="289"/>
      <c r="R105" s="133"/>
      <c r="S105" s="133"/>
      <c r="T105" s="133"/>
      <c r="U105" s="133"/>
      <c r="V105" s="133"/>
      <c r="W105" s="133"/>
      <c r="X105" s="133"/>
      <c r="Y105" s="133"/>
      <c r="Z105" s="133"/>
      <c r="AJ105" s="286"/>
      <c r="AK105" s="286"/>
      <c r="AL105" s="286"/>
      <c r="AM105" s="286"/>
      <c r="AN105" s="286"/>
    </row>
    <row r="106" spans="1:40" hidden="1">
      <c r="A106" s="289"/>
      <c r="B106" s="394" t="s">
        <v>753</v>
      </c>
      <c r="C106" s="395"/>
      <c r="D106" s="395"/>
      <c r="E106" s="395"/>
      <c r="F106" s="395"/>
      <c r="G106" s="395"/>
      <c r="H106" s="395"/>
      <c r="I106" s="222"/>
      <c r="J106" s="289"/>
      <c r="K106" s="289"/>
      <c r="L106" s="289"/>
      <c r="M106" s="289"/>
      <c r="N106" s="289"/>
      <c r="O106" s="289"/>
      <c r="P106" s="289"/>
      <c r="Q106" s="289"/>
      <c r="R106" s="133"/>
      <c r="S106" s="133"/>
      <c r="T106" s="133"/>
      <c r="U106" s="133"/>
      <c r="V106" s="133"/>
      <c r="W106" s="133"/>
      <c r="X106" s="133"/>
      <c r="Y106" s="133"/>
      <c r="Z106" s="133"/>
      <c r="AJ106" s="286"/>
      <c r="AK106" s="286"/>
      <c r="AL106" s="286"/>
      <c r="AM106" s="286"/>
      <c r="AN106" s="286"/>
    </row>
    <row r="107" spans="1:40" ht="72.5" hidden="1">
      <c r="A107" s="289"/>
      <c r="B107" s="279" t="s">
        <v>123</v>
      </c>
      <c r="C107" s="166" t="s">
        <v>754</v>
      </c>
      <c r="D107" s="425" t="s">
        <v>730</v>
      </c>
      <c r="E107" s="258" t="s">
        <v>50</v>
      </c>
      <c r="F107" s="258" t="s">
        <v>51</v>
      </c>
      <c r="G107" s="165" t="s">
        <v>731</v>
      </c>
      <c r="H107" s="165" t="s">
        <v>732</v>
      </c>
      <c r="I107" s="258" t="s">
        <v>733</v>
      </c>
      <c r="J107" s="289"/>
      <c r="K107" s="289"/>
      <c r="L107" s="289"/>
      <c r="M107" s="289"/>
      <c r="N107" s="289"/>
      <c r="O107" s="289"/>
      <c r="P107" s="289"/>
      <c r="Q107" s="289"/>
      <c r="R107" s="133"/>
      <c r="S107" s="133"/>
      <c r="T107" s="133"/>
      <c r="U107" s="133"/>
      <c r="V107" s="133"/>
      <c r="W107" s="133"/>
      <c r="X107" s="133"/>
      <c r="Y107" s="133"/>
      <c r="Z107" s="133"/>
      <c r="AJ107" s="286"/>
      <c r="AK107" s="286"/>
      <c r="AL107" s="286"/>
      <c r="AM107" s="286"/>
      <c r="AN107" s="286"/>
    </row>
    <row r="108" spans="1:40" hidden="1">
      <c r="A108" s="289"/>
      <c r="B108" s="351" t="s">
        <v>1024</v>
      </c>
      <c r="C108" s="149">
        <f>'Inputs and eligible population'!F100</f>
        <v>0</v>
      </c>
      <c r="D108" s="128" t="e">
        <f>D$7*'Inputs and eligible population'!#REF!*'Unit costs'!$O$9*'Capacity (local prices)'!$C108</f>
        <v>#REF!</v>
      </c>
      <c r="E108" s="128" t="e">
        <f>E$7*'Inputs and eligible population'!#REF!*'Unit costs'!$O$9*'Capacity (local prices)'!$C108</f>
        <v>#REF!</v>
      </c>
      <c r="F108" s="128" t="e">
        <f>F$7*'Inputs and eligible population'!#REF!*'Unit costs'!$O$9*'Capacity (local prices)'!$C108</f>
        <v>#REF!</v>
      </c>
      <c r="G108" s="128" t="e">
        <f>G$7*'Inputs and eligible population'!#REF!*'Unit costs'!$O$9*'Capacity (local prices)'!$C108</f>
        <v>#REF!</v>
      </c>
      <c r="H108" s="128" t="e">
        <f>H$7*'Inputs and eligible population'!#REF!*'Unit costs'!$O$9*'Capacity (local prices)'!$C108</f>
        <v>#REF!</v>
      </c>
      <c r="I108" s="128" t="e">
        <f>I$7*'Inputs and eligible population'!#REF!*'Unit costs'!$O$9*'Capacity (local prices)'!$C108</f>
        <v>#REF!</v>
      </c>
      <c r="J108" s="289"/>
      <c r="K108" s="289"/>
      <c r="L108" s="289"/>
      <c r="M108" s="289"/>
      <c r="N108" s="289"/>
      <c r="O108" s="289"/>
      <c r="P108" s="289"/>
      <c r="Q108" s="289"/>
      <c r="R108" s="133"/>
      <c r="S108" s="133"/>
      <c r="T108" s="133"/>
      <c r="U108" s="133"/>
      <c r="V108" s="133"/>
      <c r="W108" s="133"/>
      <c r="X108" s="133"/>
      <c r="Y108" s="133"/>
      <c r="Z108" s="133"/>
      <c r="AJ108" s="286"/>
      <c r="AK108" s="286"/>
      <c r="AL108" s="286"/>
      <c r="AM108" s="286"/>
      <c r="AN108" s="286"/>
    </row>
    <row r="109" spans="1:40" hidden="1">
      <c r="A109" s="289"/>
      <c r="B109" s="351" t="s">
        <v>1025</v>
      </c>
      <c r="C109" s="149">
        <f>'Inputs and eligible population'!H100</f>
        <v>0</v>
      </c>
      <c r="D109" s="128" t="e">
        <f>D$7*'Inputs and eligible population'!#REF!*'Unit costs'!#REF!*'Capacity (local prices)'!$C109</f>
        <v>#REF!</v>
      </c>
      <c r="E109" s="128" t="e">
        <f>E$7*'Inputs and eligible population'!#REF!*'Unit costs'!#REF!*'Capacity (local prices)'!$C109</f>
        <v>#REF!</v>
      </c>
      <c r="F109" s="128" t="e">
        <f>F$7*'Inputs and eligible population'!#REF!*'Unit costs'!#REF!*'Capacity (local prices)'!$C109</f>
        <v>#REF!</v>
      </c>
      <c r="G109" s="128" t="e">
        <f>G$7*'Inputs and eligible population'!#REF!*'Unit costs'!#REF!*'Capacity (local prices)'!$C109</f>
        <v>#REF!</v>
      </c>
      <c r="H109" s="128" t="e">
        <f>H$7*'Inputs and eligible population'!#REF!*'Unit costs'!#REF!*'Capacity (local prices)'!$C109</f>
        <v>#REF!</v>
      </c>
      <c r="I109" s="128" t="e">
        <f>I$7*'Inputs and eligible population'!#REF!*'Unit costs'!#REF!*'Capacity (local prices)'!$C109</f>
        <v>#REF!</v>
      </c>
      <c r="J109" s="289"/>
      <c r="K109" s="289"/>
      <c r="L109" s="289"/>
      <c r="M109" s="289"/>
      <c r="N109" s="289"/>
      <c r="O109" s="289"/>
      <c r="P109" s="289"/>
      <c r="Q109" s="289"/>
      <c r="R109" s="133"/>
      <c r="S109" s="133"/>
      <c r="T109" s="133"/>
      <c r="U109" s="133"/>
      <c r="V109" s="133"/>
      <c r="W109" s="133"/>
      <c r="X109" s="133"/>
      <c r="Y109" s="133"/>
      <c r="Z109" s="133"/>
      <c r="AJ109" s="286"/>
      <c r="AK109" s="286"/>
      <c r="AL109" s="286"/>
      <c r="AM109" s="286"/>
      <c r="AN109" s="286"/>
    </row>
    <row r="110" spans="1:40" hidden="1">
      <c r="A110" s="289"/>
      <c r="B110" s="351" t="s">
        <v>1026</v>
      </c>
      <c r="C110" s="149">
        <f>'Inputs and eligible population'!I100</f>
        <v>0</v>
      </c>
      <c r="D110" s="128" t="e">
        <f>D$7*'Inputs and eligible population'!#REF!*'Unit costs'!#REF!*'Capacity (local prices)'!$C110</f>
        <v>#REF!</v>
      </c>
      <c r="E110" s="128" t="e">
        <f>E$7*'Inputs and eligible population'!#REF!*'Unit costs'!#REF!*'Capacity (local prices)'!$C110</f>
        <v>#REF!</v>
      </c>
      <c r="F110" s="128" t="e">
        <f>F$7*'Inputs and eligible population'!#REF!*'Unit costs'!#REF!*'Capacity (local prices)'!$C110</f>
        <v>#REF!</v>
      </c>
      <c r="G110" s="128" t="e">
        <f>G$7*'Inputs and eligible population'!#REF!*'Unit costs'!#REF!*'Capacity (local prices)'!$C110</f>
        <v>#REF!</v>
      </c>
      <c r="H110" s="128" t="e">
        <f>H$7*'Inputs and eligible population'!#REF!*'Unit costs'!#REF!*'Capacity (local prices)'!$C110</f>
        <v>#REF!</v>
      </c>
      <c r="I110" s="128" t="e">
        <f>I$7*'Inputs and eligible population'!#REF!*'Unit costs'!#REF!*'Capacity (local prices)'!$C110</f>
        <v>#REF!</v>
      </c>
      <c r="J110" s="289"/>
      <c r="K110" s="289"/>
      <c r="L110" s="289"/>
      <c r="M110" s="289"/>
      <c r="N110" s="289"/>
      <c r="O110" s="289"/>
      <c r="P110" s="289"/>
      <c r="Q110" s="289"/>
      <c r="R110" s="133"/>
      <c r="S110" s="133"/>
      <c r="T110" s="133"/>
      <c r="U110" s="133"/>
      <c r="V110" s="133"/>
      <c r="W110" s="133"/>
      <c r="X110" s="133"/>
      <c r="Y110" s="133"/>
      <c r="Z110" s="133"/>
      <c r="AJ110" s="286"/>
      <c r="AK110" s="286"/>
      <c r="AL110" s="286"/>
      <c r="AM110" s="286"/>
      <c r="AN110" s="286"/>
    </row>
    <row r="111" spans="1:40" hidden="1">
      <c r="A111" s="289"/>
      <c r="B111" s="283"/>
      <c r="C111" s="209"/>
      <c r="D111" s="187" t="e">
        <f t="shared" ref="D111:I111" si="64">SUM(D108:D110)</f>
        <v>#REF!</v>
      </c>
      <c r="E111" s="187" t="e">
        <f>SUM(E108:E110)</f>
        <v>#REF!</v>
      </c>
      <c r="F111" s="187" t="e">
        <f t="shared" si="64"/>
        <v>#REF!</v>
      </c>
      <c r="G111" s="187" t="e">
        <f t="shared" si="64"/>
        <v>#REF!</v>
      </c>
      <c r="H111" s="187" t="e">
        <f t="shared" si="64"/>
        <v>#REF!</v>
      </c>
      <c r="I111" s="187" t="e">
        <f t="shared" si="64"/>
        <v>#REF!</v>
      </c>
      <c r="J111" s="289"/>
      <c r="K111" s="289"/>
      <c r="L111" s="289"/>
      <c r="M111" s="289"/>
      <c r="N111" s="289"/>
      <c r="O111" s="289"/>
      <c r="P111" s="289"/>
      <c r="Q111" s="289"/>
      <c r="R111" s="133"/>
      <c r="S111" s="133"/>
      <c r="T111" s="133"/>
      <c r="U111" s="133"/>
      <c r="V111" s="133"/>
      <c r="W111" s="133"/>
      <c r="X111" s="133"/>
      <c r="Y111" s="133"/>
      <c r="Z111" s="133"/>
      <c r="AJ111" s="286"/>
      <c r="AK111" s="286"/>
      <c r="AL111" s="286"/>
      <c r="AM111" s="286"/>
      <c r="AN111" s="286"/>
    </row>
    <row r="112" spans="1:40" hidden="1">
      <c r="A112" s="289"/>
      <c r="B112" s="306"/>
      <c r="C112" s="227"/>
      <c r="D112" s="285" t="s">
        <v>171</v>
      </c>
      <c r="E112" s="187" t="e">
        <f>E111-$D$111</f>
        <v>#REF!</v>
      </c>
      <c r="F112" s="187" t="e">
        <f>F111-$D$111</f>
        <v>#REF!</v>
      </c>
      <c r="G112" s="187" t="e">
        <f>G111-$D$111</f>
        <v>#REF!</v>
      </c>
      <c r="H112" s="187" t="e">
        <f>H111-$D$111</f>
        <v>#REF!</v>
      </c>
      <c r="I112" s="187" t="e">
        <f>I111-$D$111</f>
        <v>#REF!</v>
      </c>
      <c r="J112" s="289"/>
      <c r="K112" s="289"/>
      <c r="L112" s="289"/>
      <c r="M112" s="289"/>
      <c r="N112" s="289"/>
      <c r="O112" s="289"/>
      <c r="P112" s="289"/>
      <c r="Q112" s="289"/>
      <c r="R112" s="133"/>
      <c r="S112" s="133"/>
      <c r="T112" s="133"/>
      <c r="U112" s="133"/>
      <c r="V112" s="133"/>
      <c r="W112" s="133"/>
      <c r="X112" s="133"/>
      <c r="Y112" s="133"/>
      <c r="Z112" s="133"/>
      <c r="AJ112" s="286"/>
      <c r="AK112" s="286"/>
      <c r="AL112" s="286"/>
      <c r="AM112" s="286"/>
      <c r="AN112" s="286"/>
    </row>
    <row r="113" spans="1:40" hidden="1">
      <c r="A113" s="289"/>
      <c r="B113" s="327"/>
      <c r="C113" s="395"/>
      <c r="D113" s="223"/>
      <c r="E113" s="223"/>
      <c r="F113" s="223"/>
      <c r="G113" s="223"/>
      <c r="H113" s="311"/>
      <c r="I113" s="311"/>
      <c r="J113" s="289"/>
      <c r="K113" s="289"/>
      <c r="L113" s="289"/>
      <c r="M113" s="289"/>
      <c r="N113" s="289"/>
      <c r="O113" s="289"/>
      <c r="P113" s="289"/>
      <c r="Q113" s="289"/>
      <c r="R113" s="133"/>
      <c r="S113" s="133"/>
      <c r="T113" s="133"/>
      <c r="U113" s="133"/>
      <c r="V113" s="133"/>
      <c r="W113" s="133"/>
      <c r="X113" s="133"/>
      <c r="Y113" s="133"/>
      <c r="Z113" s="133"/>
      <c r="AJ113" s="286"/>
      <c r="AK113" s="286"/>
      <c r="AL113" s="286"/>
      <c r="AM113" s="286"/>
      <c r="AN113" s="286"/>
    </row>
    <row r="114" spans="1:40" hidden="1">
      <c r="A114" s="289"/>
      <c r="B114" s="394" t="s">
        <v>755</v>
      </c>
      <c r="C114" s="395"/>
      <c r="D114" s="395"/>
      <c r="E114" s="395"/>
      <c r="F114" s="395"/>
      <c r="G114" s="395"/>
      <c r="H114" s="395"/>
      <c r="I114" s="222"/>
      <c r="J114" s="289"/>
      <c r="K114" s="289"/>
      <c r="L114" s="289"/>
      <c r="M114" s="289"/>
      <c r="N114" s="289"/>
      <c r="O114" s="289"/>
      <c r="P114" s="289"/>
      <c r="Q114" s="289"/>
      <c r="R114" s="133"/>
      <c r="S114" s="133"/>
      <c r="T114" s="133"/>
      <c r="U114" s="133"/>
      <c r="V114" s="133"/>
      <c r="W114" s="133"/>
      <c r="X114" s="133"/>
      <c r="Y114" s="133"/>
      <c r="Z114" s="133"/>
      <c r="AJ114" s="286"/>
      <c r="AK114" s="286"/>
      <c r="AL114" s="286"/>
      <c r="AM114" s="286"/>
      <c r="AN114" s="286"/>
    </row>
    <row r="115" spans="1:40" ht="72.5" hidden="1">
      <c r="A115" s="289"/>
      <c r="B115" s="279" t="s">
        <v>123</v>
      </c>
      <c r="C115" s="166" t="s">
        <v>756</v>
      </c>
      <c r="D115" s="425" t="s">
        <v>730</v>
      </c>
      <c r="E115" s="258" t="s">
        <v>50</v>
      </c>
      <c r="F115" s="258" t="s">
        <v>51</v>
      </c>
      <c r="G115" s="165" t="s">
        <v>731</v>
      </c>
      <c r="H115" s="165" t="s">
        <v>732</v>
      </c>
      <c r="I115" s="258" t="s">
        <v>733</v>
      </c>
      <c r="J115" s="289"/>
      <c r="K115" s="289"/>
      <c r="L115" s="289"/>
      <c r="M115" s="289"/>
      <c r="N115" s="289"/>
      <c r="O115" s="289"/>
      <c r="P115" s="289"/>
      <c r="Q115" s="289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6"/>
      <c r="AK115" s="286"/>
      <c r="AL115" s="286"/>
      <c r="AM115" s="286"/>
      <c r="AN115" s="286"/>
    </row>
    <row r="116" spans="1:40" hidden="1">
      <c r="A116" s="289"/>
      <c r="B116" s="351" t="s">
        <v>1024</v>
      </c>
      <c r="C116" s="149">
        <f>'Inputs and eligible population'!F101</f>
        <v>0</v>
      </c>
      <c r="D116" s="128" t="e">
        <f>D$7*'Inputs and eligible population'!#REF!*'Unit costs'!$O$9*'Capacity (local prices)'!$C116</f>
        <v>#REF!</v>
      </c>
      <c r="E116" s="128" t="e">
        <f>E$7*'Inputs and eligible population'!#REF!*'Unit costs'!$O$9*'Capacity (local prices)'!$C116</f>
        <v>#REF!</v>
      </c>
      <c r="F116" s="128" t="e">
        <f>F$7*'Inputs and eligible population'!#REF!*'Unit costs'!$O$9*'Capacity (local prices)'!$C116</f>
        <v>#REF!</v>
      </c>
      <c r="G116" s="128" t="e">
        <f>G$7*'Inputs and eligible population'!#REF!*'Unit costs'!$O$9*'Capacity (local prices)'!$C116</f>
        <v>#REF!</v>
      </c>
      <c r="H116" s="128" t="e">
        <f>H$7*'Inputs and eligible population'!#REF!*'Unit costs'!$O$9*'Capacity (local prices)'!$C116</f>
        <v>#REF!</v>
      </c>
      <c r="I116" s="128" t="e">
        <f>I$7*'Inputs and eligible population'!#REF!*'Unit costs'!$O$9*'Capacity (local prices)'!$C116</f>
        <v>#REF!</v>
      </c>
      <c r="J116" s="289"/>
      <c r="K116" s="289"/>
      <c r="L116" s="223"/>
      <c r="M116" s="223"/>
      <c r="N116" s="289"/>
      <c r="O116" s="223"/>
      <c r="P116" s="223"/>
      <c r="Q116" s="223"/>
      <c r="R116" s="133"/>
      <c r="S116" s="133"/>
      <c r="T116" s="133"/>
      <c r="U116" s="133"/>
      <c r="V116" s="133"/>
      <c r="W116" s="133"/>
      <c r="X116" s="133"/>
      <c r="Y116" s="133"/>
      <c r="Z116" s="133"/>
      <c r="AJ116" s="286"/>
      <c r="AK116" s="286"/>
      <c r="AL116" s="286"/>
      <c r="AM116" s="286"/>
      <c r="AN116" s="286"/>
    </row>
    <row r="117" spans="1:40" hidden="1">
      <c r="A117" s="289"/>
      <c r="B117" s="351" t="s">
        <v>1025</v>
      </c>
      <c r="C117" s="149">
        <f>'Inputs and eligible population'!H101</f>
        <v>0</v>
      </c>
      <c r="D117" s="128" t="e">
        <f>D$7*'Inputs and eligible population'!#REF!*'Unit costs'!#REF!*'Capacity (local prices)'!$C117</f>
        <v>#REF!</v>
      </c>
      <c r="E117" s="128" t="e">
        <f>E$7*'Inputs and eligible population'!#REF!*'Unit costs'!#REF!*'Capacity (local prices)'!$C117</f>
        <v>#REF!</v>
      </c>
      <c r="F117" s="128" t="e">
        <f>F$7*'Inputs and eligible population'!#REF!*'Unit costs'!#REF!*'Capacity (local prices)'!$C117</f>
        <v>#REF!</v>
      </c>
      <c r="G117" s="128" t="e">
        <f>G$7*'Inputs and eligible population'!#REF!*'Unit costs'!#REF!*'Capacity (local prices)'!$C117</f>
        <v>#REF!</v>
      </c>
      <c r="H117" s="128" t="e">
        <f>H$7*'Inputs and eligible population'!#REF!*'Unit costs'!#REF!*'Capacity (local prices)'!$C117</f>
        <v>#REF!</v>
      </c>
      <c r="I117" s="128" t="e">
        <f>I$7*'Inputs and eligible population'!#REF!*'Unit costs'!#REF!*'Capacity (local prices)'!$C117</f>
        <v>#REF!</v>
      </c>
      <c r="J117" s="289"/>
      <c r="K117" s="289"/>
      <c r="L117" s="223"/>
      <c r="M117" s="223"/>
      <c r="N117" s="289"/>
      <c r="O117" s="223"/>
      <c r="P117" s="223"/>
      <c r="Q117" s="223"/>
      <c r="R117" s="133"/>
      <c r="S117" s="133"/>
      <c r="T117" s="133"/>
      <c r="U117" s="133"/>
      <c r="V117" s="133"/>
      <c r="W117" s="133"/>
      <c r="X117" s="133"/>
      <c r="Y117" s="133"/>
      <c r="Z117" s="133"/>
      <c r="AJ117" s="286"/>
      <c r="AK117" s="286"/>
      <c r="AL117" s="286"/>
      <c r="AM117" s="286"/>
      <c r="AN117" s="286"/>
    </row>
    <row r="118" spans="1:40" hidden="1">
      <c r="A118" s="289"/>
      <c r="B118" s="351" t="s">
        <v>1026</v>
      </c>
      <c r="C118" s="149">
        <f>'Inputs and eligible population'!I101</f>
        <v>0</v>
      </c>
      <c r="D118" s="128" t="e">
        <f>D$7*'Inputs and eligible population'!#REF!*'Unit costs'!#REF!*'Capacity (local prices)'!$C118</f>
        <v>#REF!</v>
      </c>
      <c r="E118" s="128" t="e">
        <f>E$7*'Inputs and eligible population'!#REF!*'Unit costs'!#REF!*'Capacity (local prices)'!$C118</f>
        <v>#REF!</v>
      </c>
      <c r="F118" s="128" t="e">
        <f>F$7*'Inputs and eligible population'!#REF!*'Unit costs'!#REF!*'Capacity (local prices)'!$C118</f>
        <v>#REF!</v>
      </c>
      <c r="G118" s="128" t="e">
        <f>G$7*'Inputs and eligible population'!#REF!*'Unit costs'!#REF!*'Capacity (local prices)'!$C118</f>
        <v>#REF!</v>
      </c>
      <c r="H118" s="128" t="e">
        <f>H$7*'Inputs and eligible population'!#REF!*'Unit costs'!#REF!*'Capacity (local prices)'!$C118</f>
        <v>#REF!</v>
      </c>
      <c r="I118" s="128" t="e">
        <f>I$7*'Inputs and eligible population'!#REF!*'Unit costs'!#REF!*'Capacity (local prices)'!$C118</f>
        <v>#REF!</v>
      </c>
      <c r="J118" s="289"/>
      <c r="K118" s="289"/>
      <c r="L118" s="223"/>
      <c r="M118" s="223"/>
      <c r="N118" s="289"/>
      <c r="O118" s="223"/>
      <c r="P118" s="223"/>
      <c r="Q118" s="223"/>
      <c r="R118" s="133"/>
      <c r="S118" s="133"/>
      <c r="T118" s="133"/>
      <c r="U118" s="133"/>
      <c r="V118" s="133"/>
      <c r="W118" s="133"/>
      <c r="X118" s="133"/>
      <c r="Y118" s="133"/>
      <c r="Z118" s="133"/>
      <c r="AJ118" s="286"/>
      <c r="AK118" s="286"/>
      <c r="AL118" s="286"/>
      <c r="AM118" s="286"/>
      <c r="AN118" s="286"/>
    </row>
    <row r="119" spans="1:40" hidden="1">
      <c r="A119" s="289"/>
      <c r="B119" s="283"/>
      <c r="C119" s="209"/>
      <c r="D119" s="187" t="e">
        <f t="shared" ref="D119:I119" si="65">SUM(D116:D118)</f>
        <v>#REF!</v>
      </c>
      <c r="E119" s="187" t="e">
        <f t="shared" si="65"/>
        <v>#REF!</v>
      </c>
      <c r="F119" s="187" t="e">
        <f t="shared" si="65"/>
        <v>#REF!</v>
      </c>
      <c r="G119" s="187" t="e">
        <f t="shared" si="65"/>
        <v>#REF!</v>
      </c>
      <c r="H119" s="187" t="e">
        <f t="shared" si="65"/>
        <v>#REF!</v>
      </c>
      <c r="I119" s="187" t="e">
        <f t="shared" si="65"/>
        <v>#REF!</v>
      </c>
      <c r="J119" s="289"/>
      <c r="K119" s="289"/>
      <c r="L119" s="223"/>
      <c r="M119" s="223"/>
      <c r="N119" s="289"/>
      <c r="O119" s="223"/>
      <c r="P119" s="223"/>
      <c r="Q119" s="223"/>
      <c r="V119" s="133"/>
    </row>
    <row r="120" spans="1:40" hidden="1">
      <c r="A120" s="289"/>
      <c r="B120" s="306"/>
      <c r="C120" s="227"/>
      <c r="D120" s="285" t="s">
        <v>172</v>
      </c>
      <c r="E120" s="187" t="e">
        <f>E119-$D$119</f>
        <v>#REF!</v>
      </c>
      <c r="F120" s="187" t="e">
        <f>F119-$D$119</f>
        <v>#REF!</v>
      </c>
      <c r="G120" s="187" t="e">
        <f>G119-$D$119</f>
        <v>#REF!</v>
      </c>
      <c r="H120" s="187" t="e">
        <f>H119-$D$119</f>
        <v>#REF!</v>
      </c>
      <c r="I120" s="187" t="e">
        <f>I119-$D$119</f>
        <v>#REF!</v>
      </c>
      <c r="J120" s="289"/>
      <c r="K120" s="289"/>
      <c r="L120" s="223"/>
      <c r="M120" s="223"/>
      <c r="N120" s="289"/>
      <c r="O120" s="223"/>
      <c r="P120" s="223"/>
      <c r="Q120" s="223"/>
      <c r="V120" s="133"/>
    </row>
    <row r="121" spans="1:40" hidden="1">
      <c r="A121" s="289"/>
      <c r="B121" s="327"/>
      <c r="C121" s="395"/>
      <c r="D121" s="223"/>
      <c r="E121" s="223"/>
      <c r="F121" s="223"/>
      <c r="G121" s="223"/>
      <c r="H121" s="311"/>
      <c r="I121" s="311"/>
      <c r="J121" s="289"/>
      <c r="K121" s="289"/>
      <c r="L121" s="223"/>
      <c r="M121" s="223"/>
      <c r="N121" s="289"/>
      <c r="O121" s="223"/>
      <c r="P121" s="223"/>
      <c r="Q121" s="223"/>
      <c r="V121" s="133"/>
    </row>
    <row r="122" spans="1:40" hidden="1">
      <c r="A122" s="289"/>
      <c r="B122" s="394" t="s">
        <v>757</v>
      </c>
      <c r="C122" s="395"/>
      <c r="D122" s="395"/>
      <c r="E122" s="395"/>
      <c r="F122" s="395"/>
      <c r="G122" s="395"/>
      <c r="H122" s="395"/>
      <c r="I122" s="222"/>
      <c r="J122" s="289"/>
      <c r="K122" s="289"/>
      <c r="L122" s="289"/>
      <c r="M122" s="289"/>
      <c r="N122" s="289"/>
      <c r="O122" s="289"/>
      <c r="P122" s="289"/>
      <c r="Q122" s="289"/>
      <c r="V122" s="133"/>
    </row>
    <row r="123" spans="1:40" ht="72.5" hidden="1">
      <c r="A123" s="289"/>
      <c r="B123" s="279" t="s">
        <v>123</v>
      </c>
      <c r="C123" s="166" t="s">
        <v>758</v>
      </c>
      <c r="D123" s="425" t="s">
        <v>730</v>
      </c>
      <c r="E123" s="258" t="s">
        <v>50</v>
      </c>
      <c r="F123" s="258" t="s">
        <v>51</v>
      </c>
      <c r="G123" s="165" t="s">
        <v>731</v>
      </c>
      <c r="H123" s="165" t="s">
        <v>732</v>
      </c>
      <c r="I123" s="258" t="s">
        <v>733</v>
      </c>
      <c r="J123" s="289"/>
      <c r="K123" s="289"/>
      <c r="L123" s="425" t="s">
        <v>730</v>
      </c>
      <c r="M123" s="258" t="s">
        <v>50</v>
      </c>
      <c r="N123" s="258" t="s">
        <v>51</v>
      </c>
      <c r="O123" s="165" t="s">
        <v>731</v>
      </c>
      <c r="P123" s="165" t="s">
        <v>732</v>
      </c>
      <c r="Q123" s="258" t="s">
        <v>733</v>
      </c>
      <c r="V123" s="133"/>
    </row>
    <row r="124" spans="1:40" hidden="1">
      <c r="A124" s="289"/>
      <c r="B124" s="351" t="s">
        <v>1024</v>
      </c>
      <c r="C124" s="149">
        <f>'Inputs and eligible population'!F102</f>
        <v>0</v>
      </c>
      <c r="D124" s="128" t="e">
        <f>(D$7*'Inputs and eligible population'!#REF!*'Unit costs'!$O$9*'Capacity (local prices)'!$C124)/60</f>
        <v>#REF!</v>
      </c>
      <c r="E124" s="128" t="e">
        <f>(E$7*'Inputs and eligible population'!#REF!*'Unit costs'!$O$9*'Capacity (local prices)'!$C124)/60</f>
        <v>#REF!</v>
      </c>
      <c r="F124" s="128" t="e">
        <f>(F$7*'Inputs and eligible population'!#REF!*'Unit costs'!$O$9*'Capacity (local prices)'!$C124)/60</f>
        <v>#REF!</v>
      </c>
      <c r="G124" s="128" t="e">
        <f>(G$7*'Inputs and eligible population'!#REF!*'Unit costs'!$O$9*'Capacity (local prices)'!$C124)/60</f>
        <v>#REF!</v>
      </c>
      <c r="H124" s="128" t="e">
        <f>(H$7*'Inputs and eligible population'!#REF!*'Unit costs'!$O$9*'Capacity (local prices)'!$C124)/60</f>
        <v>#REF!</v>
      </c>
      <c r="I124" s="128" t="e">
        <f>(I$7*'Inputs and eligible population'!#REF!*'Unit costs'!$O$9*'Capacity (local prices)'!$C124)/60</f>
        <v>#REF!</v>
      </c>
      <c r="J124" s="289"/>
      <c r="K124" s="289"/>
      <c r="L124" s="293" t="e">
        <f>(D124*'Inputs and eligible population'!$M$102)/1000</f>
        <v>#REF!</v>
      </c>
      <c r="M124" s="293" t="e">
        <f>(E124*'Inputs and eligible population'!$M$102)/1000</f>
        <v>#REF!</v>
      </c>
      <c r="N124" s="293" t="e">
        <f>(F124*'Inputs and eligible population'!$M$102)/1000</f>
        <v>#REF!</v>
      </c>
      <c r="O124" s="293" t="e">
        <f>(G124*'Inputs and eligible population'!$M$102)/1000</f>
        <v>#REF!</v>
      </c>
      <c r="P124" s="293" t="e">
        <f>(H124*'Inputs and eligible population'!$M$102)/1000</f>
        <v>#REF!</v>
      </c>
      <c r="Q124" s="293" t="e">
        <f>(I124*'Inputs and eligible population'!$M$102)/1000</f>
        <v>#REF!</v>
      </c>
      <c r="V124" s="133"/>
    </row>
    <row r="125" spans="1:40" hidden="1">
      <c r="A125" s="289"/>
      <c r="B125" s="351" t="s">
        <v>1025</v>
      </c>
      <c r="C125" s="149">
        <f>'Inputs and eligible population'!H102</f>
        <v>0</v>
      </c>
      <c r="D125" s="128" t="e">
        <f>(D$7*'Inputs and eligible population'!#REF!*'Unit costs'!#REF!*'Capacity (local prices)'!$C125)/60</f>
        <v>#REF!</v>
      </c>
      <c r="E125" s="128" t="e">
        <f>(E$7*'Inputs and eligible population'!#REF!*'Unit costs'!#REF!*'Capacity (local prices)'!$C125)/60</f>
        <v>#REF!</v>
      </c>
      <c r="F125" s="128" t="e">
        <f>(F$7*'Inputs and eligible population'!#REF!*'Unit costs'!#REF!*'Capacity (local prices)'!$C125)/60</f>
        <v>#REF!</v>
      </c>
      <c r="G125" s="128" t="e">
        <f>(G$7*'Inputs and eligible population'!#REF!*'Unit costs'!#REF!*'Capacity (local prices)'!$C125)/60</f>
        <v>#REF!</v>
      </c>
      <c r="H125" s="128" t="e">
        <f>(H$7*'Inputs and eligible population'!#REF!*'Unit costs'!#REF!*'Capacity (local prices)'!$C125)/60</f>
        <v>#REF!</v>
      </c>
      <c r="I125" s="128" t="e">
        <f>(I$7*'Inputs and eligible population'!#REF!*'Unit costs'!#REF!*'Capacity (local prices)'!$C125)/60</f>
        <v>#REF!</v>
      </c>
      <c r="J125" s="289"/>
      <c r="K125" s="289"/>
      <c r="L125" s="293" t="e">
        <f>(D125*'Inputs and eligible population'!$M$102)/1000</f>
        <v>#REF!</v>
      </c>
      <c r="M125" s="293" t="e">
        <f>(E125*'Inputs and eligible population'!$M$102)/1000</f>
        <v>#REF!</v>
      </c>
      <c r="N125" s="293" t="e">
        <f>(F125*'Inputs and eligible population'!$M$102)/1000</f>
        <v>#REF!</v>
      </c>
      <c r="O125" s="293" t="e">
        <f>(G125*'Inputs and eligible population'!$M$102)/1000</f>
        <v>#REF!</v>
      </c>
      <c r="P125" s="293" t="e">
        <f>(H125*'Inputs and eligible population'!$M$102)/1000</f>
        <v>#REF!</v>
      </c>
      <c r="Q125" s="293" t="e">
        <f>(I125*'Inputs and eligible population'!$M$102)/1000</f>
        <v>#REF!</v>
      </c>
      <c r="V125" s="133"/>
    </row>
    <row r="126" spans="1:40" hidden="1">
      <c r="A126" s="289"/>
      <c r="B126" s="351" t="s">
        <v>1026</v>
      </c>
      <c r="C126" s="149">
        <f>'Inputs and eligible population'!I102</f>
        <v>0</v>
      </c>
      <c r="D126" s="128" t="e">
        <f>(D$7*'Inputs and eligible population'!#REF!*'Unit costs'!#REF!*'Capacity (local prices)'!$C126)/60</f>
        <v>#REF!</v>
      </c>
      <c r="E126" s="128" t="e">
        <f>(E$7*'Inputs and eligible population'!#REF!*'Unit costs'!#REF!*'Capacity (local prices)'!$C126)/60</f>
        <v>#REF!</v>
      </c>
      <c r="F126" s="128" t="e">
        <f>(F$7*'Inputs and eligible population'!#REF!*'Unit costs'!#REF!*'Capacity (local prices)'!$C126)/60</f>
        <v>#REF!</v>
      </c>
      <c r="G126" s="128" t="e">
        <f>(G$7*'Inputs and eligible population'!#REF!*'Unit costs'!#REF!*'Capacity (local prices)'!$C126)/60</f>
        <v>#REF!</v>
      </c>
      <c r="H126" s="128" t="e">
        <f>(H$7*'Inputs and eligible population'!#REF!*'Unit costs'!#REF!*'Capacity (local prices)'!$C126)/60</f>
        <v>#REF!</v>
      </c>
      <c r="I126" s="128" t="e">
        <f>(I$7*'Inputs and eligible population'!#REF!*'Unit costs'!#REF!*'Capacity (local prices)'!$C126)/60</f>
        <v>#REF!</v>
      </c>
      <c r="J126" s="289"/>
      <c r="K126" s="289"/>
      <c r="L126" s="293" t="e">
        <f>(D126*'Inputs and eligible population'!$M$102)/1000</f>
        <v>#REF!</v>
      </c>
      <c r="M126" s="293" t="e">
        <f>(E126*'Inputs and eligible population'!$M$102)/1000</f>
        <v>#REF!</v>
      </c>
      <c r="N126" s="293" t="e">
        <f>(F126*'Inputs and eligible population'!$M$102)/1000</f>
        <v>#REF!</v>
      </c>
      <c r="O126" s="293" t="e">
        <f>(G126*'Inputs and eligible population'!$M$102)/1000</f>
        <v>#REF!</v>
      </c>
      <c r="P126" s="293" t="e">
        <f>(H126*'Inputs and eligible population'!$M$102)/1000</f>
        <v>#REF!</v>
      </c>
      <c r="Q126" s="293" t="e">
        <f>(I126*'Inputs and eligible population'!$M$102)/1000</f>
        <v>#REF!</v>
      </c>
      <c r="V126" s="133"/>
    </row>
    <row r="127" spans="1:40" hidden="1">
      <c r="A127" s="289"/>
      <c r="B127" s="283"/>
      <c r="C127" s="209"/>
      <c r="D127" s="187" t="e">
        <f t="shared" ref="D127:I127" si="66">SUM(D124:D126)</f>
        <v>#REF!</v>
      </c>
      <c r="E127" s="187" t="e">
        <f t="shared" si="66"/>
        <v>#REF!</v>
      </c>
      <c r="F127" s="187" t="e">
        <f t="shared" si="66"/>
        <v>#REF!</v>
      </c>
      <c r="G127" s="187" t="e">
        <f t="shared" si="66"/>
        <v>#REF!</v>
      </c>
      <c r="H127" s="187" t="e">
        <f t="shared" si="66"/>
        <v>#REF!</v>
      </c>
      <c r="I127" s="187" t="e">
        <f t="shared" si="66"/>
        <v>#REF!</v>
      </c>
      <c r="J127" s="289"/>
      <c r="K127" s="289"/>
      <c r="L127" s="294" t="e">
        <f t="shared" ref="L127:Q127" si="67">SUM(L124:L126)</f>
        <v>#REF!</v>
      </c>
      <c r="M127" s="294" t="e">
        <f t="shared" si="67"/>
        <v>#REF!</v>
      </c>
      <c r="N127" s="294" t="e">
        <f t="shared" si="67"/>
        <v>#REF!</v>
      </c>
      <c r="O127" s="294" t="e">
        <f t="shared" si="67"/>
        <v>#REF!</v>
      </c>
      <c r="P127" s="294" t="e">
        <f t="shared" si="67"/>
        <v>#REF!</v>
      </c>
      <c r="Q127" s="294" t="e">
        <f t="shared" si="67"/>
        <v>#REF!</v>
      </c>
      <c r="V127" s="133"/>
    </row>
    <row r="128" spans="1:40" hidden="1">
      <c r="A128" s="289"/>
      <c r="B128" s="306"/>
      <c r="C128" s="227"/>
      <c r="D128" s="285" t="s">
        <v>173</v>
      </c>
      <c r="E128" s="187" t="e">
        <f>E127-$D$127</f>
        <v>#REF!</v>
      </c>
      <c r="F128" s="187" t="e">
        <f>F127-$D$127</f>
        <v>#REF!</v>
      </c>
      <c r="G128" s="187" t="e">
        <f>G127-$D$127</f>
        <v>#REF!</v>
      </c>
      <c r="H128" s="187" t="e">
        <f>H127-$D$127</f>
        <v>#REF!</v>
      </c>
      <c r="I128" s="187" t="e">
        <f>I127-$D$127</f>
        <v>#REF!</v>
      </c>
      <c r="J128" s="289"/>
      <c r="K128" s="289"/>
      <c r="L128" s="571"/>
      <c r="M128" s="294" t="e">
        <f>M127-$L$127</f>
        <v>#REF!</v>
      </c>
      <c r="N128" s="294" t="e">
        <f>N127-$L$127</f>
        <v>#REF!</v>
      </c>
      <c r="O128" s="294" t="e">
        <f>O127-$L$127</f>
        <v>#REF!</v>
      </c>
      <c r="P128" s="294" t="e">
        <f>P127-$L$127</f>
        <v>#REF!</v>
      </c>
      <c r="Q128" s="294" t="e">
        <f>Q127-$L$127</f>
        <v>#REF!</v>
      </c>
      <c r="V128" s="133"/>
    </row>
    <row r="129" spans="1:22" hidden="1">
      <c r="A129" s="289"/>
      <c r="B129" s="327"/>
      <c r="C129" s="395"/>
      <c r="D129" s="223"/>
      <c r="E129" s="223"/>
      <c r="F129" s="223"/>
      <c r="G129" s="223"/>
      <c r="H129" s="311"/>
      <c r="I129" s="311"/>
      <c r="J129" s="289"/>
      <c r="K129" s="289"/>
      <c r="L129" s="223"/>
      <c r="M129" s="223"/>
      <c r="N129" s="289"/>
      <c r="O129" s="223"/>
      <c r="P129" s="223"/>
      <c r="Q129" s="223"/>
      <c r="V129" s="133"/>
    </row>
    <row r="130" spans="1:22" hidden="1">
      <c r="A130" s="289"/>
      <c r="B130" s="394" t="s">
        <v>759</v>
      </c>
      <c r="C130" s="395"/>
      <c r="D130" s="395"/>
      <c r="E130" s="395"/>
      <c r="F130" s="395"/>
      <c r="G130" s="395"/>
      <c r="H130" s="395"/>
      <c r="I130" s="222"/>
      <c r="J130" s="289"/>
      <c r="K130" s="289"/>
      <c r="L130" s="289"/>
      <c r="M130" s="289"/>
      <c r="N130" s="289"/>
      <c r="O130" s="289"/>
      <c r="P130" s="289"/>
      <c r="Q130" s="289"/>
      <c r="V130" s="133"/>
    </row>
    <row r="131" spans="1:22" ht="72.5" hidden="1">
      <c r="A131" s="289"/>
      <c r="B131" s="279" t="s">
        <v>123</v>
      </c>
      <c r="C131" s="166" t="s">
        <v>760</v>
      </c>
      <c r="D131" s="425" t="s">
        <v>730</v>
      </c>
      <c r="E131" s="258" t="s">
        <v>50</v>
      </c>
      <c r="F131" s="258" t="s">
        <v>51</v>
      </c>
      <c r="G131" s="165" t="s">
        <v>731</v>
      </c>
      <c r="H131" s="165" t="s">
        <v>732</v>
      </c>
      <c r="I131" s="258" t="s">
        <v>733</v>
      </c>
      <c r="J131" s="289"/>
      <c r="K131" s="289"/>
      <c r="L131" s="425" t="s">
        <v>730</v>
      </c>
      <c r="M131" s="258" t="s">
        <v>50</v>
      </c>
      <c r="N131" s="258" t="s">
        <v>51</v>
      </c>
      <c r="O131" s="165" t="s">
        <v>731</v>
      </c>
      <c r="P131" s="165" t="s">
        <v>732</v>
      </c>
      <c r="Q131" s="258" t="s">
        <v>733</v>
      </c>
      <c r="V131" s="133"/>
    </row>
    <row r="132" spans="1:22" hidden="1">
      <c r="A132" s="289"/>
      <c r="B132" s="351" t="s">
        <v>1024</v>
      </c>
      <c r="C132" s="149">
        <f>'Inputs and eligible population'!F103</f>
        <v>0</v>
      </c>
      <c r="D132" s="128" t="e">
        <f>(D$7*'Inputs and eligible population'!#REF!*'Unit costs'!$O$9*'Capacity (local prices)'!$C132)/60</f>
        <v>#REF!</v>
      </c>
      <c r="E132" s="128" t="e">
        <f>(E$7*'Inputs and eligible population'!#REF!*'Unit costs'!$O$9*'Capacity (local prices)'!$C132)/60</f>
        <v>#REF!</v>
      </c>
      <c r="F132" s="128" t="e">
        <f>(F$7*'Inputs and eligible population'!#REF!*'Unit costs'!$O$9*'Capacity (local prices)'!$C132)/60</f>
        <v>#REF!</v>
      </c>
      <c r="G132" s="128" t="e">
        <f>(G$7*'Inputs and eligible population'!#REF!*'Unit costs'!$O$9*'Capacity (local prices)'!$C132)/60</f>
        <v>#REF!</v>
      </c>
      <c r="H132" s="128" t="e">
        <f>(H$7*'Inputs and eligible population'!#REF!*'Unit costs'!$O$9*'Capacity (local prices)'!$C132)/60</f>
        <v>#REF!</v>
      </c>
      <c r="I132" s="128" t="e">
        <f>(I$7*'Inputs and eligible population'!#REF!*'Unit costs'!$O$9*'Capacity (local prices)'!$C132)/60</f>
        <v>#REF!</v>
      </c>
      <c r="J132" s="289"/>
      <c r="K132" s="289"/>
      <c r="L132" s="293" t="e">
        <f>(D132*'Inputs and eligible population'!$M$103)/1000</f>
        <v>#REF!</v>
      </c>
      <c r="M132" s="293" t="e">
        <f>(E132*'Inputs and eligible population'!$M$103)/1000</f>
        <v>#REF!</v>
      </c>
      <c r="N132" s="293" t="e">
        <f>(F132*'Inputs and eligible population'!$M$103)/1000</f>
        <v>#REF!</v>
      </c>
      <c r="O132" s="293" t="e">
        <f>(G132*'Inputs and eligible population'!$M$103)/1000</f>
        <v>#REF!</v>
      </c>
      <c r="P132" s="293" t="e">
        <f>(H132*'Inputs and eligible population'!$M$103)/1000</f>
        <v>#REF!</v>
      </c>
      <c r="Q132" s="293" t="e">
        <f>(I132*'Inputs and eligible population'!$M$103)/1000</f>
        <v>#REF!</v>
      </c>
      <c r="V132" s="133"/>
    </row>
    <row r="133" spans="1:22" hidden="1">
      <c r="A133" s="289"/>
      <c r="B133" s="351" t="s">
        <v>1025</v>
      </c>
      <c r="C133" s="149">
        <f>'Inputs and eligible population'!H103</f>
        <v>0</v>
      </c>
      <c r="D133" s="128" t="e">
        <f>(D$7*'Inputs and eligible population'!#REF!*'Unit costs'!#REF!*'Capacity (local prices)'!$C133)/60</f>
        <v>#REF!</v>
      </c>
      <c r="E133" s="128" t="e">
        <f>(E$7*'Inputs and eligible population'!#REF!*'Unit costs'!#REF!*'Capacity (local prices)'!$C133)/60</f>
        <v>#REF!</v>
      </c>
      <c r="F133" s="128" t="e">
        <f>(F$7*'Inputs and eligible population'!#REF!*'Unit costs'!#REF!*'Capacity (local prices)'!$C133)/60</f>
        <v>#REF!</v>
      </c>
      <c r="G133" s="128" t="e">
        <f>(G$7*'Inputs and eligible population'!#REF!*'Unit costs'!#REF!*'Capacity (local prices)'!$C133)/60</f>
        <v>#REF!</v>
      </c>
      <c r="H133" s="128" t="e">
        <f>(H$7*'Inputs and eligible population'!#REF!*'Unit costs'!#REF!*'Capacity (local prices)'!$C133)/60</f>
        <v>#REF!</v>
      </c>
      <c r="I133" s="128" t="e">
        <f>(I$7*'Inputs and eligible population'!#REF!*'Unit costs'!#REF!*'Capacity (local prices)'!$C133)/60</f>
        <v>#REF!</v>
      </c>
      <c r="J133" s="289"/>
      <c r="K133" s="289"/>
      <c r="L133" s="293" t="e">
        <f>(D133*'Inputs and eligible population'!$M$103)/1000</f>
        <v>#REF!</v>
      </c>
      <c r="M133" s="293" t="e">
        <f>(E133*'Inputs and eligible population'!$M$103)/1000</f>
        <v>#REF!</v>
      </c>
      <c r="N133" s="293" t="e">
        <f>(F133*'Inputs and eligible population'!$M$103)/1000</f>
        <v>#REF!</v>
      </c>
      <c r="O133" s="293" t="e">
        <f>(G133*'Inputs and eligible population'!$M$103)/1000</f>
        <v>#REF!</v>
      </c>
      <c r="P133" s="293" t="e">
        <f>(H133*'Inputs and eligible population'!$M$103)/1000</f>
        <v>#REF!</v>
      </c>
      <c r="Q133" s="293" t="e">
        <f>(I133*'Inputs and eligible population'!$M$103)/1000</f>
        <v>#REF!</v>
      </c>
      <c r="V133" s="133"/>
    </row>
    <row r="134" spans="1:22" hidden="1">
      <c r="A134" s="289"/>
      <c r="B134" s="351" t="s">
        <v>1026</v>
      </c>
      <c r="C134" s="149">
        <f>'Inputs and eligible population'!I103</f>
        <v>0</v>
      </c>
      <c r="D134" s="128" t="e">
        <f>(D$7*'Inputs and eligible population'!#REF!*'Unit costs'!#REF!*'Capacity (local prices)'!$C134)/60</f>
        <v>#REF!</v>
      </c>
      <c r="E134" s="128" t="e">
        <f>(E$7*'Inputs and eligible population'!#REF!*'Unit costs'!#REF!*'Capacity (local prices)'!$C134)/60</f>
        <v>#REF!</v>
      </c>
      <c r="F134" s="128" t="e">
        <f>(F$7*'Inputs and eligible population'!#REF!*'Unit costs'!#REF!*'Capacity (local prices)'!$C134)/60</f>
        <v>#REF!</v>
      </c>
      <c r="G134" s="128" t="e">
        <f>(G$7*'Inputs and eligible population'!#REF!*'Unit costs'!#REF!*'Capacity (local prices)'!$C134)/60</f>
        <v>#REF!</v>
      </c>
      <c r="H134" s="128" t="e">
        <f>(H$7*'Inputs and eligible population'!#REF!*'Unit costs'!#REF!*'Capacity (local prices)'!$C134)/60</f>
        <v>#REF!</v>
      </c>
      <c r="I134" s="128" t="e">
        <f>(I$7*'Inputs and eligible population'!#REF!*'Unit costs'!#REF!*'Capacity (local prices)'!$C134)/60</f>
        <v>#REF!</v>
      </c>
      <c r="J134" s="289"/>
      <c r="K134" s="289"/>
      <c r="L134" s="293" t="e">
        <f>(D134*'Inputs and eligible population'!$M$103)/1000</f>
        <v>#REF!</v>
      </c>
      <c r="M134" s="293" t="e">
        <f>(E134*'Inputs and eligible population'!$M$103)/1000</f>
        <v>#REF!</v>
      </c>
      <c r="N134" s="293" t="e">
        <f>(F134*'Inputs and eligible population'!$M$103)/1000</f>
        <v>#REF!</v>
      </c>
      <c r="O134" s="293" t="e">
        <f>(G134*'Inputs and eligible population'!$M$103)/1000</f>
        <v>#REF!</v>
      </c>
      <c r="P134" s="293" t="e">
        <f>(H134*'Inputs and eligible population'!$M$103)/1000</f>
        <v>#REF!</v>
      </c>
      <c r="Q134" s="293" t="e">
        <f>(I134*'Inputs and eligible population'!$M$103)/1000</f>
        <v>#REF!</v>
      </c>
      <c r="V134" s="133"/>
    </row>
    <row r="135" spans="1:22" hidden="1">
      <c r="A135" s="289"/>
      <c r="B135" s="283"/>
      <c r="C135" s="209"/>
      <c r="D135" s="187" t="e">
        <f t="shared" ref="D135:I135" si="68">SUM(D132:D134)</f>
        <v>#REF!</v>
      </c>
      <c r="E135" s="187" t="e">
        <f t="shared" si="68"/>
        <v>#REF!</v>
      </c>
      <c r="F135" s="187" t="e">
        <f t="shared" si="68"/>
        <v>#REF!</v>
      </c>
      <c r="G135" s="187" t="e">
        <f t="shared" si="68"/>
        <v>#REF!</v>
      </c>
      <c r="H135" s="187" t="e">
        <f t="shared" si="68"/>
        <v>#REF!</v>
      </c>
      <c r="I135" s="187" t="e">
        <f t="shared" si="68"/>
        <v>#REF!</v>
      </c>
      <c r="J135" s="289"/>
      <c r="K135" s="289"/>
      <c r="L135" s="294" t="e">
        <f t="shared" ref="L135:Q135" si="69">SUM(L132:L134)</f>
        <v>#REF!</v>
      </c>
      <c r="M135" s="294" t="e">
        <f t="shared" si="69"/>
        <v>#REF!</v>
      </c>
      <c r="N135" s="294" t="e">
        <f t="shared" si="69"/>
        <v>#REF!</v>
      </c>
      <c r="O135" s="294" t="e">
        <f t="shared" si="69"/>
        <v>#REF!</v>
      </c>
      <c r="P135" s="294" t="e">
        <f t="shared" si="69"/>
        <v>#REF!</v>
      </c>
      <c r="Q135" s="294" t="e">
        <f t="shared" si="69"/>
        <v>#REF!</v>
      </c>
      <c r="V135" s="133"/>
    </row>
    <row r="136" spans="1:22" hidden="1">
      <c r="A136" s="289"/>
      <c r="B136" s="306"/>
      <c r="C136" s="227"/>
      <c r="D136" s="285" t="s">
        <v>174</v>
      </c>
      <c r="E136" s="187" t="e">
        <f>E135-$D$135</f>
        <v>#REF!</v>
      </c>
      <c r="F136" s="187" t="e">
        <f>F135-$D$135</f>
        <v>#REF!</v>
      </c>
      <c r="G136" s="187" t="e">
        <f>G135-$D$135</f>
        <v>#REF!</v>
      </c>
      <c r="H136" s="187" t="e">
        <f>H135-$D$135</f>
        <v>#REF!</v>
      </c>
      <c r="I136" s="187" t="e">
        <f>I135-$D$135</f>
        <v>#REF!</v>
      </c>
      <c r="J136" s="289"/>
      <c r="K136" s="289"/>
      <c r="L136" s="571"/>
      <c r="M136" s="294" t="e">
        <f>M135-$L$135</f>
        <v>#REF!</v>
      </c>
      <c r="N136" s="294" t="e">
        <f>N135-$L$135</f>
        <v>#REF!</v>
      </c>
      <c r="O136" s="294" t="e">
        <f>O135-$L$135</f>
        <v>#REF!</v>
      </c>
      <c r="P136" s="294" t="e">
        <f>P135-$L$135</f>
        <v>#REF!</v>
      </c>
      <c r="Q136" s="294" t="e">
        <f>Q135-$L$135</f>
        <v>#REF!</v>
      </c>
      <c r="V136" s="133"/>
    </row>
    <row r="137" spans="1:22" hidden="1">
      <c r="A137" s="289"/>
      <c r="B137" s="327"/>
      <c r="C137" s="395"/>
      <c r="D137" s="223"/>
      <c r="E137" s="223"/>
      <c r="F137" s="223"/>
      <c r="G137" s="223"/>
      <c r="H137" s="311"/>
      <c r="I137" s="311"/>
      <c r="J137" s="289"/>
      <c r="K137" s="289"/>
      <c r="L137" s="223"/>
      <c r="M137" s="223"/>
      <c r="N137" s="289"/>
      <c r="O137" s="223"/>
      <c r="P137" s="223"/>
      <c r="Q137" s="223"/>
      <c r="V137" s="133"/>
    </row>
    <row r="138" spans="1:22">
      <c r="A138" s="289"/>
      <c r="B138" s="394" t="s">
        <v>761</v>
      </c>
      <c r="C138" s="395"/>
      <c r="D138" s="395"/>
      <c r="E138" s="395"/>
      <c r="F138" s="395"/>
      <c r="G138" s="395"/>
      <c r="H138" s="395"/>
      <c r="I138" s="222"/>
      <c r="J138" s="289"/>
      <c r="K138" s="289"/>
      <c r="L138" s="289"/>
      <c r="M138" s="289"/>
      <c r="N138" s="289"/>
      <c r="O138" s="289"/>
      <c r="P138" s="289"/>
      <c r="Q138" s="289"/>
      <c r="V138" s="133"/>
    </row>
    <row r="139" spans="1:22" ht="43.5">
      <c r="A139" s="289"/>
      <c r="B139" s="279" t="s">
        <v>123</v>
      </c>
      <c r="C139" s="166" t="s">
        <v>94</v>
      </c>
      <c r="D139" s="425" t="s">
        <v>730</v>
      </c>
      <c r="E139" s="258" t="s">
        <v>50</v>
      </c>
      <c r="F139" s="258" t="s">
        <v>51</v>
      </c>
      <c r="G139" s="165" t="s">
        <v>731</v>
      </c>
      <c r="H139" s="165" t="s">
        <v>732</v>
      </c>
      <c r="I139" s="258" t="s">
        <v>733</v>
      </c>
      <c r="J139" s="289"/>
      <c r="K139" s="715" t="s">
        <v>1045</v>
      </c>
      <c r="L139" s="425" t="s">
        <v>730</v>
      </c>
      <c r="M139" s="258" t="s">
        <v>50</v>
      </c>
      <c r="N139" s="258" t="s">
        <v>51</v>
      </c>
      <c r="O139" s="165" t="s">
        <v>731</v>
      </c>
      <c r="P139" s="165" t="s">
        <v>732</v>
      </c>
      <c r="Q139" s="258" t="s">
        <v>733</v>
      </c>
      <c r="V139" s="133"/>
    </row>
    <row r="140" spans="1:22">
      <c r="A140" s="289"/>
      <c r="B140" s="351" t="s">
        <v>1080</v>
      </c>
      <c r="C140" s="149">
        <f>'Inputs and eligible population'!F104</f>
        <v>0</v>
      </c>
      <c r="D140" s="128">
        <f>((D66+D61)*$C140)/60</f>
        <v>0</v>
      </c>
      <c r="E140" s="128">
        <f t="shared" ref="E140:I140" si="70">((E66+E61)*$C140)/60</f>
        <v>0</v>
      </c>
      <c r="F140" s="128">
        <f t="shared" si="70"/>
        <v>0</v>
      </c>
      <c r="G140" s="128">
        <f t="shared" si="70"/>
        <v>0</v>
      </c>
      <c r="H140" s="128">
        <f t="shared" si="70"/>
        <v>0</v>
      </c>
      <c r="I140" s="128">
        <f t="shared" si="70"/>
        <v>0</v>
      </c>
      <c r="J140" s="289"/>
      <c r="K140" s="716">
        <f>'Inputs and eligible population'!$N$104</f>
        <v>43.28</v>
      </c>
      <c r="L140" s="293">
        <f>$K140*D140</f>
        <v>0</v>
      </c>
      <c r="M140" s="293">
        <f t="shared" ref="M140:Q140" si="71">$K140*E140</f>
        <v>0</v>
      </c>
      <c r="N140" s="293">
        <f t="shared" si="71"/>
        <v>0</v>
      </c>
      <c r="O140" s="293">
        <f t="shared" si="71"/>
        <v>0</v>
      </c>
      <c r="P140" s="293">
        <f t="shared" si="71"/>
        <v>0</v>
      </c>
      <c r="Q140" s="293">
        <f t="shared" si="71"/>
        <v>0</v>
      </c>
      <c r="V140" s="133"/>
    </row>
    <row r="141" spans="1:22">
      <c r="A141" s="289"/>
      <c r="B141" s="351" t="s">
        <v>1081</v>
      </c>
      <c r="C141" s="149">
        <f>'Inputs and eligible population'!G104</f>
        <v>0</v>
      </c>
      <c r="D141" s="128">
        <f t="shared" ref="D141:I141" si="72">((D67+D62)*$C141)/60</f>
        <v>0</v>
      </c>
      <c r="E141" s="128">
        <f t="shared" si="72"/>
        <v>0</v>
      </c>
      <c r="F141" s="128">
        <f t="shared" si="72"/>
        <v>0</v>
      </c>
      <c r="G141" s="128">
        <f t="shared" si="72"/>
        <v>0</v>
      </c>
      <c r="H141" s="128">
        <f t="shared" si="72"/>
        <v>0</v>
      </c>
      <c r="I141" s="128">
        <f t="shared" si="72"/>
        <v>0</v>
      </c>
      <c r="J141" s="289"/>
      <c r="K141" s="716">
        <f>'Inputs and eligible population'!$N$104</f>
        <v>43.28</v>
      </c>
      <c r="L141" s="293">
        <f t="shared" ref="L141:L144" si="73">$K141*D141</f>
        <v>0</v>
      </c>
      <c r="M141" s="293">
        <f t="shared" ref="M141:M144" si="74">$K141*E141</f>
        <v>0</v>
      </c>
      <c r="N141" s="293">
        <f t="shared" ref="N141:N144" si="75">$K141*F141</f>
        <v>0</v>
      </c>
      <c r="O141" s="293">
        <f t="shared" ref="O141:O144" si="76">$K141*G141</f>
        <v>0</v>
      </c>
      <c r="P141" s="293">
        <f t="shared" ref="P141:P144" si="77">$K141*H141</f>
        <v>0</v>
      </c>
      <c r="Q141" s="293">
        <f t="shared" ref="Q141:Q144" si="78">$K141*I141</f>
        <v>0</v>
      </c>
      <c r="V141" s="133"/>
    </row>
    <row r="142" spans="1:22">
      <c r="A142" s="289"/>
      <c r="B142" s="351" t="s">
        <v>1082</v>
      </c>
      <c r="C142" s="149">
        <f>'Inputs and eligible population'!H104</f>
        <v>0</v>
      </c>
      <c r="D142" s="128">
        <f t="shared" ref="D142:I142" si="79">((D68+D63)*$C142)/60</f>
        <v>0</v>
      </c>
      <c r="E142" s="128">
        <f t="shared" si="79"/>
        <v>0</v>
      </c>
      <c r="F142" s="128">
        <f t="shared" si="79"/>
        <v>0</v>
      </c>
      <c r="G142" s="128">
        <f t="shared" si="79"/>
        <v>0</v>
      </c>
      <c r="H142" s="128">
        <f t="shared" si="79"/>
        <v>0</v>
      </c>
      <c r="I142" s="128">
        <f t="shared" si="79"/>
        <v>0</v>
      </c>
      <c r="J142" s="289"/>
      <c r="K142" s="716">
        <f>'Inputs and eligible population'!$N$104</f>
        <v>43.28</v>
      </c>
      <c r="L142" s="293">
        <f t="shared" si="73"/>
        <v>0</v>
      </c>
      <c r="M142" s="293">
        <f t="shared" si="74"/>
        <v>0</v>
      </c>
      <c r="N142" s="293">
        <f t="shared" si="75"/>
        <v>0</v>
      </c>
      <c r="O142" s="293">
        <f t="shared" si="76"/>
        <v>0</v>
      </c>
      <c r="P142" s="293">
        <f t="shared" si="77"/>
        <v>0</v>
      </c>
      <c r="Q142" s="293">
        <f t="shared" si="78"/>
        <v>0</v>
      </c>
      <c r="V142" s="133"/>
    </row>
    <row r="143" spans="1:22">
      <c r="A143" s="289"/>
      <c r="B143" s="351" t="s">
        <v>1083</v>
      </c>
      <c r="C143" s="149">
        <f>'Inputs and eligible population'!I104</f>
        <v>0</v>
      </c>
      <c r="D143" s="128">
        <f t="shared" ref="D143:I143" si="80">((D69+D64)*$C143)/60</f>
        <v>0</v>
      </c>
      <c r="E143" s="128">
        <f t="shared" si="80"/>
        <v>0</v>
      </c>
      <c r="F143" s="128">
        <f t="shared" si="80"/>
        <v>0</v>
      </c>
      <c r="G143" s="128">
        <f t="shared" si="80"/>
        <v>0</v>
      </c>
      <c r="H143" s="128">
        <f t="shared" si="80"/>
        <v>0</v>
      </c>
      <c r="I143" s="128">
        <f t="shared" si="80"/>
        <v>0</v>
      </c>
      <c r="J143" s="289"/>
      <c r="K143" s="716">
        <f>'Inputs and eligible population'!$N$104</f>
        <v>43.28</v>
      </c>
      <c r="L143" s="293">
        <f t="shared" si="73"/>
        <v>0</v>
      </c>
      <c r="M143" s="293">
        <f t="shared" si="74"/>
        <v>0</v>
      </c>
      <c r="N143" s="293">
        <f t="shared" si="75"/>
        <v>0</v>
      </c>
      <c r="O143" s="293">
        <f t="shared" si="76"/>
        <v>0</v>
      </c>
      <c r="P143" s="293">
        <f t="shared" si="77"/>
        <v>0</v>
      </c>
      <c r="Q143" s="293">
        <f t="shared" si="78"/>
        <v>0</v>
      </c>
      <c r="V143" s="133"/>
    </row>
    <row r="144" spans="1:22">
      <c r="A144" s="289"/>
      <c r="B144" s="351" t="s">
        <v>1084</v>
      </c>
      <c r="C144" s="149">
        <f>'Inputs and eligible population'!J104</f>
        <v>0</v>
      </c>
      <c r="D144" s="128">
        <f t="shared" ref="D144:I144" si="81">((D70+D65)*$C144)/60</f>
        <v>0</v>
      </c>
      <c r="E144" s="128">
        <f t="shared" si="81"/>
        <v>0</v>
      </c>
      <c r="F144" s="128">
        <f t="shared" si="81"/>
        <v>0</v>
      </c>
      <c r="G144" s="128">
        <f t="shared" si="81"/>
        <v>0</v>
      </c>
      <c r="H144" s="128">
        <f t="shared" si="81"/>
        <v>0</v>
      </c>
      <c r="I144" s="128">
        <f t="shared" si="81"/>
        <v>0</v>
      </c>
      <c r="J144" s="289"/>
      <c r="K144" s="716">
        <f>'Inputs and eligible population'!$N$104</f>
        <v>43.28</v>
      </c>
      <c r="L144" s="293">
        <f t="shared" si="73"/>
        <v>0</v>
      </c>
      <c r="M144" s="293">
        <f t="shared" si="74"/>
        <v>0</v>
      </c>
      <c r="N144" s="293">
        <f t="shared" si="75"/>
        <v>0</v>
      </c>
      <c r="O144" s="293">
        <f t="shared" si="76"/>
        <v>0</v>
      </c>
      <c r="P144" s="293">
        <f t="shared" si="77"/>
        <v>0</v>
      </c>
      <c r="Q144" s="293">
        <f t="shared" si="78"/>
        <v>0</v>
      </c>
      <c r="V144" s="133"/>
    </row>
    <row r="145" spans="1:40">
      <c r="A145" s="289"/>
      <c r="B145" s="283"/>
      <c r="C145" s="209"/>
      <c r="D145" s="187">
        <f>SUM(D140:D144)</f>
        <v>0</v>
      </c>
      <c r="E145" s="187">
        <f t="shared" ref="E145:I145" si="82">SUM(E140:E144)</f>
        <v>0</v>
      </c>
      <c r="F145" s="187">
        <f t="shared" si="82"/>
        <v>0</v>
      </c>
      <c r="G145" s="187">
        <f t="shared" si="82"/>
        <v>0</v>
      </c>
      <c r="H145" s="187">
        <f t="shared" si="82"/>
        <v>0</v>
      </c>
      <c r="I145" s="187">
        <f t="shared" si="82"/>
        <v>0</v>
      </c>
      <c r="J145" s="289"/>
      <c r="K145" s="289"/>
      <c r="L145" s="294">
        <f>SUM(L140:L144)</f>
        <v>0</v>
      </c>
      <c r="M145" s="294">
        <f t="shared" ref="M145:Q145" si="83">SUM(M140:M144)</f>
        <v>0</v>
      </c>
      <c r="N145" s="294">
        <f t="shared" si="83"/>
        <v>0</v>
      </c>
      <c r="O145" s="294">
        <f t="shared" si="83"/>
        <v>0</v>
      </c>
      <c r="P145" s="294">
        <f t="shared" si="83"/>
        <v>0</v>
      </c>
      <c r="Q145" s="294">
        <f t="shared" si="83"/>
        <v>0</v>
      </c>
      <c r="V145" s="133"/>
    </row>
    <row r="146" spans="1:40">
      <c r="A146" s="289"/>
      <c r="B146" s="306"/>
      <c r="C146" s="227"/>
      <c r="D146" s="285" t="s">
        <v>175</v>
      </c>
      <c r="E146" s="187">
        <f>E145-$D$145</f>
        <v>0</v>
      </c>
      <c r="F146" s="187">
        <f>F145-$D$145</f>
        <v>0</v>
      </c>
      <c r="G146" s="187">
        <f>G145-$D$145</f>
        <v>0</v>
      </c>
      <c r="H146" s="187">
        <f>H145-$D$145</f>
        <v>0</v>
      </c>
      <c r="I146" s="187">
        <f>I145-$D$145</f>
        <v>0</v>
      </c>
      <c r="J146" s="289"/>
      <c r="K146" s="289"/>
      <c r="L146" s="571"/>
      <c r="M146" s="294">
        <f>M145-$L$145</f>
        <v>0</v>
      </c>
      <c r="N146" s="294">
        <f>N145-$L$145</f>
        <v>0</v>
      </c>
      <c r="O146" s="294">
        <f>O145-$L$145</f>
        <v>0</v>
      </c>
      <c r="P146" s="294">
        <f>P145-$L$145</f>
        <v>0</v>
      </c>
      <c r="Q146" s="294">
        <f>Q145-$L$145</f>
        <v>0</v>
      </c>
      <c r="V146" s="133"/>
    </row>
    <row r="147" spans="1:40">
      <c r="A147" s="289"/>
      <c r="B147" s="327"/>
      <c r="C147" s="395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133"/>
      <c r="S147" s="133"/>
      <c r="T147" s="133"/>
      <c r="U147" s="133"/>
      <c r="V147" s="133"/>
      <c r="W147" s="133"/>
      <c r="X147" s="133"/>
      <c r="Y147" s="133"/>
      <c r="Z147" s="133"/>
      <c r="AJ147" s="286"/>
      <c r="AK147" s="286"/>
      <c r="AL147" s="286"/>
      <c r="AM147" s="286"/>
      <c r="AN147" s="286"/>
    </row>
    <row r="148" spans="1:40">
      <c r="A148" s="332"/>
      <c r="B148" s="333" t="s">
        <v>762</v>
      </c>
      <c r="C148" s="334"/>
      <c r="D148" s="334"/>
      <c r="E148" s="335"/>
      <c r="F148" s="336"/>
      <c r="G148" s="337"/>
      <c r="H148" s="337"/>
      <c r="I148" s="388"/>
      <c r="J148" s="332"/>
      <c r="K148" s="332"/>
      <c r="L148" s="332"/>
      <c r="M148" s="332"/>
      <c r="N148" s="332"/>
      <c r="O148" s="332"/>
      <c r="P148" s="332"/>
      <c r="Q148" s="409"/>
      <c r="R148" s="133"/>
      <c r="S148" s="133"/>
      <c r="T148" s="133"/>
      <c r="U148" s="133"/>
      <c r="V148" s="133"/>
      <c r="W148" s="133"/>
      <c r="X148" s="133"/>
      <c r="Y148" s="133"/>
      <c r="Z148" s="133"/>
      <c r="AJ148" s="286"/>
      <c r="AK148" s="286"/>
      <c r="AL148" s="286"/>
      <c r="AM148" s="286"/>
      <c r="AN148" s="286"/>
    </row>
    <row r="149" spans="1:40">
      <c r="A149" s="332"/>
      <c r="B149" s="398" t="s">
        <v>1183</v>
      </c>
      <c r="C149" s="399"/>
      <c r="D149" s="399"/>
      <c r="E149" s="399"/>
      <c r="F149" s="399"/>
      <c r="G149" s="399"/>
      <c r="H149" s="399"/>
      <c r="I149" s="338"/>
      <c r="J149" s="409"/>
      <c r="K149" s="409"/>
      <c r="L149" s="437"/>
      <c r="M149" s="437"/>
      <c r="N149" s="437"/>
      <c r="O149" s="437"/>
      <c r="P149" s="437"/>
      <c r="Q149" s="437"/>
      <c r="R149" s="133"/>
      <c r="S149" s="133"/>
      <c r="T149" s="133"/>
      <c r="U149" s="133"/>
      <c r="V149" s="133"/>
      <c r="W149" s="133"/>
      <c r="X149" s="133"/>
      <c r="Y149" s="133"/>
      <c r="Z149" s="133"/>
      <c r="AJ149" s="286"/>
      <c r="AK149" s="286"/>
      <c r="AL149" s="286"/>
      <c r="AM149" s="286"/>
      <c r="AN149" s="286"/>
    </row>
    <row r="150" spans="1:40" ht="43.5">
      <c r="A150" s="332"/>
      <c r="B150" s="279" t="s">
        <v>123</v>
      </c>
      <c r="C150" s="166" t="s">
        <v>98</v>
      </c>
      <c r="D150" s="425" t="s">
        <v>730</v>
      </c>
      <c r="E150" s="258" t="s">
        <v>50</v>
      </c>
      <c r="F150" s="258" t="s">
        <v>51</v>
      </c>
      <c r="G150" s="165" t="s">
        <v>731</v>
      </c>
      <c r="H150" s="165" t="s">
        <v>732</v>
      </c>
      <c r="I150" s="258" t="s">
        <v>733</v>
      </c>
      <c r="J150" s="332"/>
      <c r="K150" s="715" t="s">
        <v>1045</v>
      </c>
      <c r="L150" s="425" t="s">
        <v>730</v>
      </c>
      <c r="M150" s="258" t="s">
        <v>50</v>
      </c>
      <c r="N150" s="258" t="s">
        <v>51</v>
      </c>
      <c r="O150" s="165" t="s">
        <v>731</v>
      </c>
      <c r="P150" s="165" t="s">
        <v>732</v>
      </c>
      <c r="Q150" s="258" t="s">
        <v>733</v>
      </c>
      <c r="R150" s="133"/>
      <c r="S150" s="133"/>
      <c r="T150" s="133"/>
      <c r="U150" s="133"/>
      <c r="V150" s="133"/>
      <c r="W150" s="133"/>
      <c r="X150" s="133"/>
      <c r="Y150" s="133"/>
      <c r="Z150" s="133"/>
      <c r="AJ150" s="286"/>
      <c r="AK150" s="286"/>
      <c r="AL150" s="286"/>
      <c r="AM150" s="286"/>
      <c r="AN150" s="286"/>
    </row>
    <row r="151" spans="1:40">
      <c r="A151" s="332"/>
      <c r="B151" s="351" t="s">
        <v>1080</v>
      </c>
      <c r="C151" s="149">
        <f>'Inputs and eligible population'!F105</f>
        <v>0</v>
      </c>
      <c r="D151" s="128">
        <f>('Financial impact (cash)'!D15+'Financial impact (cash)'!D24)*'Capacity (local prices)'!$C151*'Inputs and eligible population'!$F106/60</f>
        <v>0</v>
      </c>
      <c r="E151" s="128">
        <f>('Financial impact (cash)'!E15+'Financial impact (cash)'!E24)*'Capacity (local prices)'!$C151*'Inputs and eligible population'!$F106/60</f>
        <v>0</v>
      </c>
      <c r="F151" s="128">
        <f>('Financial impact (cash)'!F15+'Financial impact (cash)'!F24)*'Capacity (local prices)'!$C151*'Inputs and eligible population'!$F106/60</f>
        <v>0</v>
      </c>
      <c r="G151" s="128">
        <f>('Financial impact (cash)'!G15+'Financial impact (cash)'!G24)*'Capacity (local prices)'!$C151*'Inputs and eligible population'!$F106/60</f>
        <v>0</v>
      </c>
      <c r="H151" s="128">
        <f>('Financial impact (cash)'!H15+'Financial impact (cash)'!H24)*'Capacity (local prices)'!$C151*'Inputs and eligible population'!$F106/60</f>
        <v>0</v>
      </c>
      <c r="I151" s="128">
        <f>('Financial impact (cash)'!I15+'Financial impact (cash)'!I24)*'Capacity (local prices)'!$C151*'Inputs and eligible population'!$F106/60</f>
        <v>0</v>
      </c>
      <c r="J151" s="332"/>
      <c r="K151" s="716">
        <f>'Inputs and eligible population'!$N$106</f>
        <v>103.07</v>
      </c>
      <c r="L151" s="293">
        <f>$K$151*D151</f>
        <v>0</v>
      </c>
      <c r="M151" s="293">
        <f t="shared" ref="M151:Q151" si="84">$K$151*E151</f>
        <v>0</v>
      </c>
      <c r="N151" s="293">
        <f t="shared" si="84"/>
        <v>0</v>
      </c>
      <c r="O151" s="293">
        <f t="shared" si="84"/>
        <v>0</v>
      </c>
      <c r="P151" s="293">
        <f t="shared" si="84"/>
        <v>0</v>
      </c>
      <c r="Q151" s="293">
        <f t="shared" si="84"/>
        <v>0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286"/>
      <c r="AK151" s="286"/>
      <c r="AL151" s="286"/>
      <c r="AM151" s="286"/>
      <c r="AN151" s="286"/>
    </row>
    <row r="152" spans="1:40">
      <c r="A152" s="332"/>
      <c r="B152" s="351" t="s">
        <v>1081</v>
      </c>
      <c r="C152" s="149">
        <f>'Inputs and eligible population'!G105</f>
        <v>0</v>
      </c>
      <c r="D152" s="128">
        <f>('Financial impact (cash)'!D16+'Financial impact (cash)'!D25)*'Capacity (local prices)'!$C152*'Inputs and eligible population'!$F107/60</f>
        <v>0</v>
      </c>
      <c r="E152" s="128">
        <f>('Financial impact (cash)'!E16+'Financial impact (cash)'!E25)*'Capacity (local prices)'!$C152*'Inputs and eligible population'!$F107/60</f>
        <v>0</v>
      </c>
      <c r="F152" s="128">
        <f>('Financial impact (cash)'!F16+'Financial impact (cash)'!F25)*'Capacity (local prices)'!$C152*'Inputs and eligible population'!$F107/60</f>
        <v>0</v>
      </c>
      <c r="G152" s="128">
        <f>('Financial impact (cash)'!G16+'Financial impact (cash)'!G25)*'Capacity (local prices)'!$C152*'Inputs and eligible population'!$F107/60</f>
        <v>0</v>
      </c>
      <c r="H152" s="128">
        <f>('Financial impact (cash)'!H16+'Financial impact (cash)'!H25)*'Capacity (local prices)'!$C152*'Inputs and eligible population'!$F107/60</f>
        <v>0</v>
      </c>
      <c r="I152" s="128">
        <f>('Financial impact (cash)'!I16+'Financial impact (cash)'!I25)*'Capacity (local prices)'!$C152*'Inputs and eligible population'!$F107/60</f>
        <v>0</v>
      </c>
      <c r="J152" s="332"/>
      <c r="K152" s="716">
        <f>'Inputs and eligible population'!$N$106</f>
        <v>103.07</v>
      </c>
      <c r="L152" s="293">
        <f t="shared" ref="L152:L156" si="85">$K$151*D152</f>
        <v>0</v>
      </c>
      <c r="M152" s="293">
        <f t="shared" ref="M152:M156" si="86">$K$151*E152</f>
        <v>0</v>
      </c>
      <c r="N152" s="293">
        <f t="shared" ref="N152:N156" si="87">$K$151*F152</f>
        <v>0</v>
      </c>
      <c r="O152" s="293">
        <f t="shared" ref="O152:O156" si="88">$K$151*G152</f>
        <v>0</v>
      </c>
      <c r="P152" s="293">
        <f t="shared" ref="P152:P156" si="89">$K$151*H152</f>
        <v>0</v>
      </c>
      <c r="Q152" s="293">
        <f t="shared" ref="Q152:Q156" si="90">$K$151*I152</f>
        <v>0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286"/>
      <c r="AK152" s="286"/>
      <c r="AL152" s="286"/>
      <c r="AM152" s="286"/>
      <c r="AN152" s="286"/>
    </row>
    <row r="153" spans="1:40">
      <c r="A153" s="332"/>
      <c r="B153" s="351" t="s">
        <v>1082</v>
      </c>
      <c r="C153" s="149">
        <f>'Inputs and eligible population'!H105</f>
        <v>0</v>
      </c>
      <c r="D153" s="128">
        <f>('Financial impact (cash)'!D17+'Financial impact (cash)'!D26)*'Capacity (local prices)'!$C153*'Inputs and eligible population'!$F108/60</f>
        <v>0</v>
      </c>
      <c r="E153" s="128">
        <f>('Financial impact (cash)'!E17+'Financial impact (cash)'!E26)*'Capacity (local prices)'!$C153*'Inputs and eligible population'!$F108/60</f>
        <v>0</v>
      </c>
      <c r="F153" s="128">
        <f>('Financial impact (cash)'!F17+'Financial impact (cash)'!F26)*'Capacity (local prices)'!$C153*'Inputs and eligible population'!$F108/60</f>
        <v>0</v>
      </c>
      <c r="G153" s="128">
        <f>('Financial impact (cash)'!G17+'Financial impact (cash)'!G26)*'Capacity (local prices)'!$C153*'Inputs and eligible population'!$F108/60</f>
        <v>0</v>
      </c>
      <c r="H153" s="128">
        <f>('Financial impact (cash)'!H17+'Financial impact (cash)'!H26)*'Capacity (local prices)'!$C153*'Inputs and eligible population'!$F108/60</f>
        <v>0</v>
      </c>
      <c r="I153" s="128">
        <f>('Financial impact (cash)'!I17+'Financial impact (cash)'!I26)*'Capacity (local prices)'!$C153*'Inputs and eligible population'!$F108/60</f>
        <v>0</v>
      </c>
      <c r="J153" s="332"/>
      <c r="K153" s="716">
        <f>'Inputs and eligible population'!$N$106</f>
        <v>103.07</v>
      </c>
      <c r="L153" s="293">
        <f t="shared" si="85"/>
        <v>0</v>
      </c>
      <c r="M153" s="293">
        <f t="shared" si="86"/>
        <v>0</v>
      </c>
      <c r="N153" s="293">
        <f t="shared" si="87"/>
        <v>0</v>
      </c>
      <c r="O153" s="293">
        <f t="shared" si="88"/>
        <v>0</v>
      </c>
      <c r="P153" s="293">
        <f t="shared" si="89"/>
        <v>0</v>
      </c>
      <c r="Q153" s="293">
        <f t="shared" si="90"/>
        <v>0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286"/>
      <c r="AK153" s="286"/>
      <c r="AL153" s="286"/>
      <c r="AM153" s="286"/>
      <c r="AN153" s="286"/>
    </row>
    <row r="154" spans="1:40">
      <c r="A154" s="332"/>
      <c r="B154" s="351" t="s">
        <v>1083</v>
      </c>
      <c r="C154" s="149">
        <f>'Inputs and eligible population'!I105</f>
        <v>0</v>
      </c>
      <c r="D154" s="128">
        <f>('Financial impact (cash)'!D18+'Financial impact (cash)'!D27)*'Capacity (local prices)'!$C154*'Inputs and eligible population'!$F109/60</f>
        <v>0</v>
      </c>
      <c r="E154" s="128">
        <f>('Financial impact (cash)'!E18+'Financial impact (cash)'!E27)*'Capacity (local prices)'!$C154*'Inputs and eligible population'!$F109/60</f>
        <v>0</v>
      </c>
      <c r="F154" s="128">
        <f>('Financial impact (cash)'!F18+'Financial impact (cash)'!F27)*'Capacity (local prices)'!$C154*'Inputs and eligible population'!$F109/60</f>
        <v>0</v>
      </c>
      <c r="G154" s="128">
        <f>('Financial impact (cash)'!G18+'Financial impact (cash)'!G27)*'Capacity (local prices)'!$C154*'Inputs and eligible population'!$F109/60</f>
        <v>0</v>
      </c>
      <c r="H154" s="128">
        <f>('Financial impact (cash)'!H18+'Financial impact (cash)'!H27)*'Capacity (local prices)'!$C154*'Inputs and eligible population'!$F109/60</f>
        <v>0</v>
      </c>
      <c r="I154" s="128">
        <f>('Financial impact (cash)'!I18+'Financial impact (cash)'!I27)*'Capacity (local prices)'!$C154*'Inputs and eligible population'!$F109/60</f>
        <v>0</v>
      </c>
      <c r="J154" s="332"/>
      <c r="K154" s="716">
        <f>'Inputs and eligible population'!$N$106</f>
        <v>103.07</v>
      </c>
      <c r="L154" s="293">
        <f t="shared" si="85"/>
        <v>0</v>
      </c>
      <c r="M154" s="293">
        <f t="shared" si="86"/>
        <v>0</v>
      </c>
      <c r="N154" s="293">
        <f t="shared" si="87"/>
        <v>0</v>
      </c>
      <c r="O154" s="293">
        <f t="shared" si="88"/>
        <v>0</v>
      </c>
      <c r="P154" s="293">
        <f t="shared" si="89"/>
        <v>0</v>
      </c>
      <c r="Q154" s="293">
        <f t="shared" si="90"/>
        <v>0</v>
      </c>
      <c r="R154" s="133"/>
      <c r="S154" s="133"/>
      <c r="T154" s="133"/>
      <c r="U154" s="133"/>
      <c r="V154" s="133"/>
      <c r="W154" s="133"/>
      <c r="X154" s="133"/>
      <c r="Y154" s="133"/>
      <c r="Z154" s="133"/>
      <c r="AJ154" s="286"/>
      <c r="AK154" s="286"/>
      <c r="AL154" s="286"/>
      <c r="AM154" s="286"/>
      <c r="AN154" s="286"/>
    </row>
    <row r="155" spans="1:40">
      <c r="A155" s="332"/>
      <c r="B155" s="351" t="s">
        <v>1084</v>
      </c>
      <c r="C155" s="149">
        <f>'Inputs and eligible population'!J105</f>
        <v>0</v>
      </c>
      <c r="D155" s="128">
        <f>('Financial impact (cash)'!D19+'Financial impact (cash)'!D28)*'Capacity (local prices)'!$C155*'Inputs and eligible population'!$F110/60</f>
        <v>0</v>
      </c>
      <c r="E155" s="128">
        <f>('Financial impact (cash)'!E19+'Financial impact (cash)'!E28)*'Capacity (local prices)'!$C155*'Inputs and eligible population'!$F110/60</f>
        <v>0</v>
      </c>
      <c r="F155" s="128">
        <f>('Financial impact (cash)'!F19+'Financial impact (cash)'!F28)*'Capacity (local prices)'!$C155*'Inputs and eligible population'!$F110/60</f>
        <v>0</v>
      </c>
      <c r="G155" s="128">
        <f>('Financial impact (cash)'!G19+'Financial impact (cash)'!G28)*'Capacity (local prices)'!$C155*'Inputs and eligible population'!$F110/60</f>
        <v>0</v>
      </c>
      <c r="H155" s="128">
        <f>('Financial impact (cash)'!H19+'Financial impact (cash)'!H28)*'Capacity (local prices)'!$C155*'Inputs and eligible population'!$F110/60</f>
        <v>0</v>
      </c>
      <c r="I155" s="128">
        <f>('Financial impact (cash)'!I19+'Financial impact (cash)'!I28)*'Capacity (local prices)'!$C155*'Inputs and eligible population'!$F110/60</f>
        <v>0</v>
      </c>
      <c r="J155" s="332"/>
      <c r="K155" s="716">
        <f>'Inputs and eligible population'!$N$106</f>
        <v>103.07</v>
      </c>
      <c r="L155" s="293">
        <f t="shared" si="85"/>
        <v>0</v>
      </c>
      <c r="M155" s="293">
        <f t="shared" si="86"/>
        <v>0</v>
      </c>
      <c r="N155" s="293">
        <f t="shared" si="87"/>
        <v>0</v>
      </c>
      <c r="O155" s="293">
        <f t="shared" si="88"/>
        <v>0</v>
      </c>
      <c r="P155" s="293">
        <f t="shared" si="89"/>
        <v>0</v>
      </c>
      <c r="Q155" s="293">
        <f t="shared" si="90"/>
        <v>0</v>
      </c>
      <c r="R155" s="133"/>
      <c r="S155" s="133"/>
      <c r="T155" s="133"/>
      <c r="U155" s="133"/>
      <c r="V155" s="133"/>
      <c r="W155" s="133"/>
      <c r="X155" s="133"/>
      <c r="Y155" s="133"/>
      <c r="Z155" s="133"/>
      <c r="AJ155" s="286"/>
      <c r="AK155" s="286"/>
      <c r="AL155" s="286"/>
      <c r="AM155" s="286"/>
      <c r="AN155" s="286"/>
    </row>
    <row r="156" spans="1:40">
      <c r="A156" s="332"/>
      <c r="B156" s="351" t="s">
        <v>1085</v>
      </c>
      <c r="C156" s="149">
        <f>'Inputs and eligible population'!K105</f>
        <v>0</v>
      </c>
      <c r="D156" s="128">
        <f>('Financial impact (cash)'!D20+'Financial impact (cash)'!D29)*'Capacity (local prices)'!$C156*'Inputs and eligible population'!$F111/60</f>
        <v>0</v>
      </c>
      <c r="E156" s="128">
        <f>('Financial impact (cash)'!E20+'Financial impact (cash)'!E29)*'Capacity (local prices)'!$C156*'Inputs and eligible population'!$F111/60</f>
        <v>0</v>
      </c>
      <c r="F156" s="128">
        <f>('Financial impact (cash)'!F20+'Financial impact (cash)'!F29)*'Capacity (local prices)'!$C156*'Inputs and eligible population'!$F111/60</f>
        <v>0</v>
      </c>
      <c r="G156" s="128">
        <f>('Financial impact (cash)'!G20+'Financial impact (cash)'!G29)*'Capacity (local prices)'!$C156*'Inputs and eligible population'!$F111/60</f>
        <v>0</v>
      </c>
      <c r="H156" s="128">
        <f>('Financial impact (cash)'!H20+'Financial impact (cash)'!H29)*'Capacity (local prices)'!$C156*'Inputs and eligible population'!$F111/60</f>
        <v>0</v>
      </c>
      <c r="I156" s="128">
        <f>('Financial impact (cash)'!I20+'Financial impact (cash)'!I29)*'Capacity (local prices)'!$C156*'Inputs and eligible population'!$F111/60</f>
        <v>0</v>
      </c>
      <c r="J156" s="332"/>
      <c r="K156" s="716">
        <f>'Inputs and eligible population'!$N$106</f>
        <v>103.07</v>
      </c>
      <c r="L156" s="293">
        <f t="shared" si="85"/>
        <v>0</v>
      </c>
      <c r="M156" s="293">
        <f t="shared" si="86"/>
        <v>0</v>
      </c>
      <c r="N156" s="293">
        <f t="shared" si="87"/>
        <v>0</v>
      </c>
      <c r="O156" s="293">
        <f t="shared" si="88"/>
        <v>0</v>
      </c>
      <c r="P156" s="293">
        <f t="shared" si="89"/>
        <v>0</v>
      </c>
      <c r="Q156" s="293">
        <f t="shared" si="90"/>
        <v>0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286"/>
      <c r="AK156" s="286"/>
      <c r="AL156" s="286"/>
      <c r="AM156" s="286"/>
      <c r="AN156" s="286"/>
    </row>
    <row r="157" spans="1:40">
      <c r="A157" s="332"/>
      <c r="B157" s="283"/>
      <c r="C157" s="209"/>
      <c r="D157" s="187">
        <f>SUM(D151:D156)</f>
        <v>0</v>
      </c>
      <c r="E157" s="187">
        <f t="shared" ref="E157:I157" si="91">SUM(E151:E156)</f>
        <v>0</v>
      </c>
      <c r="F157" s="187">
        <f t="shared" si="91"/>
        <v>0</v>
      </c>
      <c r="G157" s="187">
        <f t="shared" si="91"/>
        <v>0</v>
      </c>
      <c r="H157" s="187">
        <f t="shared" si="91"/>
        <v>0</v>
      </c>
      <c r="I157" s="187">
        <f t="shared" si="91"/>
        <v>0</v>
      </c>
      <c r="J157" s="332"/>
      <c r="K157" s="332"/>
      <c r="L157" s="294">
        <f>SUM(L151:L156)</f>
        <v>0</v>
      </c>
      <c r="M157" s="294">
        <f t="shared" ref="M157:Q157" si="92">SUM(M151:M156)</f>
        <v>0</v>
      </c>
      <c r="N157" s="294">
        <f t="shared" si="92"/>
        <v>0</v>
      </c>
      <c r="O157" s="294">
        <f t="shared" si="92"/>
        <v>0</v>
      </c>
      <c r="P157" s="294">
        <f t="shared" si="92"/>
        <v>0</v>
      </c>
      <c r="Q157" s="294">
        <f t="shared" si="92"/>
        <v>0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286"/>
      <c r="AK157" s="286"/>
      <c r="AL157" s="286"/>
      <c r="AM157" s="286"/>
      <c r="AN157" s="286"/>
    </row>
    <row r="158" spans="1:40">
      <c r="A158" s="332"/>
      <c r="B158" s="306"/>
      <c r="C158" s="259"/>
      <c r="D158" s="285" t="s">
        <v>763</v>
      </c>
      <c r="E158" s="187">
        <f>E157-$D$157</f>
        <v>0</v>
      </c>
      <c r="F158" s="187">
        <f>F157-$D$157</f>
        <v>0</v>
      </c>
      <c r="G158" s="187">
        <f>G157-$D$157</f>
        <v>0</v>
      </c>
      <c r="H158" s="187">
        <f>H157-$D$157</f>
        <v>0</v>
      </c>
      <c r="I158" s="187">
        <f>I157-$D$157</f>
        <v>0</v>
      </c>
      <c r="J158" s="332"/>
      <c r="K158" s="332"/>
      <c r="L158" s="572"/>
      <c r="M158" s="294">
        <f>M157-$L$157</f>
        <v>0</v>
      </c>
      <c r="N158" s="294">
        <f t="shared" ref="N158:Q158" si="93">N157-$L$157</f>
        <v>0</v>
      </c>
      <c r="O158" s="294">
        <f t="shared" si="93"/>
        <v>0</v>
      </c>
      <c r="P158" s="294">
        <f t="shared" si="93"/>
        <v>0</v>
      </c>
      <c r="Q158" s="294">
        <f t="shared" si="93"/>
        <v>0</v>
      </c>
      <c r="V158" s="133"/>
    </row>
    <row r="159" spans="1:40">
      <c r="A159" s="332"/>
      <c r="B159" s="332"/>
      <c r="C159" s="332"/>
      <c r="D159" s="332"/>
      <c r="E159" s="332"/>
      <c r="F159" s="332"/>
      <c r="G159" s="332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V159" s="133"/>
    </row>
    <row r="160" spans="1:40">
      <c r="A160" s="290"/>
      <c r="B160" s="328" t="s">
        <v>764</v>
      </c>
      <c r="C160" s="312"/>
      <c r="D160" s="313"/>
      <c r="E160" s="314"/>
      <c r="F160" s="315"/>
      <c r="G160" s="315"/>
      <c r="H160" s="315"/>
      <c r="I160" s="438"/>
      <c r="J160" s="290"/>
      <c r="K160" s="290"/>
      <c r="L160" s="290"/>
      <c r="M160" s="290"/>
      <c r="N160" s="290"/>
      <c r="O160" s="290"/>
      <c r="P160" s="290"/>
      <c r="Q160" s="225"/>
      <c r="R160" s="133"/>
      <c r="S160" s="133"/>
      <c r="T160" s="133"/>
      <c r="U160" s="133"/>
      <c r="V160" s="133"/>
      <c r="W160" s="133"/>
      <c r="X160" s="133"/>
      <c r="Y160" s="133"/>
      <c r="Z160" s="133"/>
      <c r="AJ160" s="286"/>
      <c r="AK160" s="286"/>
      <c r="AL160" s="286"/>
      <c r="AM160" s="286"/>
      <c r="AN160" s="286"/>
    </row>
    <row r="161" spans="1:40">
      <c r="A161" s="290"/>
      <c r="B161" s="400" t="s">
        <v>1184</v>
      </c>
      <c r="C161" s="401"/>
      <c r="D161" s="401"/>
      <c r="E161" s="401"/>
      <c r="F161" s="401"/>
      <c r="G161" s="401"/>
      <c r="H161" s="401"/>
      <c r="I161" s="224"/>
      <c r="J161" s="225"/>
      <c r="K161" s="225"/>
      <c r="L161" s="434"/>
      <c r="M161" s="434"/>
      <c r="N161" s="434"/>
      <c r="O161" s="434"/>
      <c r="P161" s="434"/>
      <c r="Q161" s="434"/>
      <c r="R161" s="133"/>
      <c r="S161" s="133"/>
      <c r="T161" s="133"/>
      <c r="U161" s="133"/>
      <c r="V161" s="133"/>
      <c r="W161" s="133"/>
      <c r="X161" s="133"/>
      <c r="Y161" s="133"/>
      <c r="Z161" s="133"/>
      <c r="AJ161" s="286"/>
      <c r="AK161" s="286"/>
      <c r="AL161" s="286"/>
      <c r="AM161" s="286"/>
      <c r="AN161" s="286"/>
    </row>
    <row r="162" spans="1:40" ht="43.5">
      <c r="A162" s="290"/>
      <c r="B162" s="279" t="s">
        <v>123</v>
      </c>
      <c r="C162" s="166" t="s">
        <v>1022</v>
      </c>
      <c r="D162" s="425" t="s">
        <v>730</v>
      </c>
      <c r="E162" s="258" t="s">
        <v>50</v>
      </c>
      <c r="F162" s="258" t="s">
        <v>51</v>
      </c>
      <c r="G162" s="165" t="s">
        <v>731</v>
      </c>
      <c r="H162" s="165" t="s">
        <v>732</v>
      </c>
      <c r="I162" s="258" t="s">
        <v>733</v>
      </c>
      <c r="J162" s="290"/>
      <c r="K162" s="715" t="s">
        <v>1045</v>
      </c>
      <c r="L162" s="425" t="s">
        <v>730</v>
      </c>
      <c r="M162" s="258" t="s">
        <v>50</v>
      </c>
      <c r="N162" s="258" t="s">
        <v>51</v>
      </c>
      <c r="O162" s="165" t="s">
        <v>731</v>
      </c>
      <c r="P162" s="165" t="s">
        <v>732</v>
      </c>
      <c r="Q162" s="258" t="s">
        <v>733</v>
      </c>
      <c r="R162" s="133"/>
      <c r="S162" s="133"/>
      <c r="T162" s="133"/>
      <c r="U162" s="133"/>
      <c r="V162" s="133"/>
      <c r="W162" s="133"/>
      <c r="X162" s="133"/>
      <c r="Y162" s="133"/>
      <c r="Z162" s="133"/>
      <c r="AJ162" s="286"/>
      <c r="AK162" s="286"/>
      <c r="AL162" s="286"/>
      <c r="AM162" s="286"/>
      <c r="AN162" s="286"/>
    </row>
    <row r="163" spans="1:40">
      <c r="A163" s="290"/>
      <c r="B163" s="351" t="s">
        <v>1080</v>
      </c>
      <c r="C163" s="677">
        <f>'Inputs and eligible population'!F107</f>
        <v>7.5</v>
      </c>
      <c r="D163" s="128">
        <f>('Financial impact (cash)'!D15+'Financial impact (cash)'!D24)*$C163*'Inputs and eligible population'!$F$108/60</f>
        <v>0</v>
      </c>
      <c r="E163" s="128">
        <f>('Financial impact (cash)'!E15+'Financial impact (cash)'!E24)*$C163*'Inputs and eligible population'!$F$108/60</f>
        <v>0</v>
      </c>
      <c r="F163" s="128">
        <f>('Financial impact (cash)'!F15+'Financial impact (cash)'!F24)*$C163*'Inputs and eligible population'!$F$108/60</f>
        <v>0</v>
      </c>
      <c r="G163" s="128">
        <f>('Financial impact (cash)'!G15+'Financial impact (cash)'!G24)*$C163*'Inputs and eligible population'!$F$108/60</f>
        <v>0</v>
      </c>
      <c r="H163" s="128">
        <f>('Financial impact (cash)'!H15+'Financial impact (cash)'!H24)*$C163*'Inputs and eligible population'!$F$108/60</f>
        <v>0</v>
      </c>
      <c r="I163" s="128">
        <f>('Financial impact (cash)'!I15+'Financial impact (cash)'!I24)*$C163*'Inputs and eligible population'!$F$108/60</f>
        <v>0</v>
      </c>
      <c r="J163" s="290"/>
      <c r="K163" s="716">
        <f>'Inputs and eligible population'!$N$108</f>
        <v>38.99</v>
      </c>
      <c r="L163" s="293">
        <f>$K163*D163</f>
        <v>0</v>
      </c>
      <c r="M163" s="293">
        <f t="shared" ref="M163:Q163" si="94">$K163*E163</f>
        <v>0</v>
      </c>
      <c r="N163" s="293">
        <f t="shared" si="94"/>
        <v>0</v>
      </c>
      <c r="O163" s="293">
        <f t="shared" si="94"/>
        <v>0</v>
      </c>
      <c r="P163" s="293">
        <f t="shared" si="94"/>
        <v>0</v>
      </c>
      <c r="Q163" s="293">
        <f t="shared" si="94"/>
        <v>0</v>
      </c>
      <c r="R163" s="133"/>
      <c r="S163" s="133"/>
      <c r="T163" s="133"/>
      <c r="U163" s="133"/>
      <c r="V163" s="133"/>
      <c r="W163" s="133"/>
      <c r="X163" s="133"/>
      <c r="Y163" s="133"/>
      <c r="Z163" s="133"/>
      <c r="AJ163" s="286"/>
      <c r="AK163" s="286"/>
      <c r="AL163" s="286"/>
      <c r="AM163" s="286"/>
      <c r="AN163" s="286"/>
    </row>
    <row r="164" spans="1:40">
      <c r="A164" s="290"/>
      <c r="B164" s="351" t="s">
        <v>1081</v>
      </c>
      <c r="C164" s="677">
        <f>'Inputs and eligible population'!G107</f>
        <v>7.5</v>
      </c>
      <c r="D164" s="128">
        <f>('Financial impact (cash)'!D16+'Financial impact (cash)'!D25)*$C164*'Inputs and eligible population'!$G$108/60</f>
        <v>0</v>
      </c>
      <c r="E164" s="128">
        <f>('Financial impact (cash)'!E16+'Financial impact (cash)'!E25)*$C164*'Inputs and eligible population'!$G$108/60</f>
        <v>0</v>
      </c>
      <c r="F164" s="128">
        <f>('Financial impact (cash)'!F16+'Financial impact (cash)'!F25)*$C164*'Inputs and eligible population'!$G$108/60</f>
        <v>0</v>
      </c>
      <c r="G164" s="128">
        <f>('Financial impact (cash)'!G16+'Financial impact (cash)'!G25)*$C164*'Inputs and eligible population'!$G$108/60</f>
        <v>0</v>
      </c>
      <c r="H164" s="128">
        <f>('Financial impact (cash)'!H16+'Financial impact (cash)'!H25)*$C164*'Inputs and eligible population'!$G$108/60</f>
        <v>0</v>
      </c>
      <c r="I164" s="128">
        <f>('Financial impact (cash)'!I16+'Financial impact (cash)'!I25)*$C164*'Inputs and eligible population'!$G$108/60</f>
        <v>0</v>
      </c>
      <c r="J164" s="290"/>
      <c r="K164" s="716">
        <f>'Inputs and eligible population'!$N$108</f>
        <v>38.99</v>
      </c>
      <c r="L164" s="293">
        <f t="shared" ref="L164:L168" si="95">$K164*D164</f>
        <v>0</v>
      </c>
      <c r="M164" s="293">
        <f t="shared" ref="M164:M168" si="96">$K164*E164</f>
        <v>0</v>
      </c>
      <c r="N164" s="293">
        <f t="shared" ref="N164:N168" si="97">$K164*F164</f>
        <v>0</v>
      </c>
      <c r="O164" s="293">
        <f t="shared" ref="O164:O168" si="98">$K164*G164</f>
        <v>0</v>
      </c>
      <c r="P164" s="293">
        <f t="shared" ref="P164:P168" si="99">$K164*H164</f>
        <v>0</v>
      </c>
      <c r="Q164" s="293">
        <f t="shared" ref="Q164:Q168" si="100">$K164*I164</f>
        <v>0</v>
      </c>
      <c r="R164" s="133"/>
      <c r="S164" s="133"/>
      <c r="T164" s="133"/>
      <c r="U164" s="133"/>
      <c r="V164" s="133"/>
      <c r="W164" s="133"/>
      <c r="X164" s="133"/>
      <c r="Y164" s="133"/>
      <c r="Z164" s="133"/>
      <c r="AJ164" s="286"/>
      <c r="AK164" s="286"/>
      <c r="AL164" s="286"/>
      <c r="AM164" s="286"/>
      <c r="AN164" s="286"/>
    </row>
    <row r="165" spans="1:40">
      <c r="A165" s="290"/>
      <c r="B165" s="351" t="s">
        <v>1082</v>
      </c>
      <c r="C165" s="677">
        <f>'Inputs and eligible population'!H107</f>
        <v>7.5</v>
      </c>
      <c r="D165" s="128">
        <f>('Financial impact (cash)'!D17+'Financial impact (cash)'!D26)*$C165*'Inputs and eligible population'!$H$108/60</f>
        <v>0</v>
      </c>
      <c r="E165" s="128">
        <f>('Financial impact (cash)'!E17+'Financial impact (cash)'!E26)*$C165*'Inputs and eligible population'!$H$108/60</f>
        <v>0</v>
      </c>
      <c r="F165" s="128">
        <f>('Financial impact (cash)'!F17+'Financial impact (cash)'!F26)*$C165*'Inputs and eligible population'!$H$108/60</f>
        <v>0</v>
      </c>
      <c r="G165" s="128">
        <f>('Financial impact (cash)'!G17+'Financial impact (cash)'!G26)*$C165*'Inputs and eligible population'!$H$108/60</f>
        <v>0</v>
      </c>
      <c r="H165" s="128">
        <f>('Financial impact (cash)'!H17+'Financial impact (cash)'!H26)*$C165*'Inputs and eligible population'!$H$108/60</f>
        <v>0</v>
      </c>
      <c r="I165" s="128">
        <f>('Financial impact (cash)'!I17+'Financial impact (cash)'!I26)*$C165*'Inputs and eligible population'!$H$108/60</f>
        <v>0</v>
      </c>
      <c r="J165" s="290"/>
      <c r="K165" s="716">
        <f>'Inputs and eligible population'!$N$108</f>
        <v>38.99</v>
      </c>
      <c r="L165" s="293">
        <f t="shared" si="95"/>
        <v>0</v>
      </c>
      <c r="M165" s="293">
        <f t="shared" si="96"/>
        <v>0</v>
      </c>
      <c r="N165" s="293">
        <f t="shared" si="97"/>
        <v>0</v>
      </c>
      <c r="O165" s="293">
        <f t="shared" si="98"/>
        <v>0</v>
      </c>
      <c r="P165" s="293">
        <f t="shared" si="99"/>
        <v>0</v>
      </c>
      <c r="Q165" s="293">
        <f t="shared" si="100"/>
        <v>0</v>
      </c>
      <c r="R165" s="133"/>
      <c r="S165" s="133"/>
      <c r="T165" s="133"/>
      <c r="U165" s="133"/>
      <c r="V165" s="133"/>
      <c r="W165" s="133"/>
      <c r="X165" s="133"/>
      <c r="Y165" s="133"/>
      <c r="Z165" s="133"/>
      <c r="AJ165" s="286"/>
      <c r="AK165" s="286"/>
      <c r="AL165" s="286"/>
      <c r="AM165" s="286"/>
      <c r="AN165" s="286"/>
    </row>
    <row r="166" spans="1:40">
      <c r="A166" s="290"/>
      <c r="B166" s="351" t="s">
        <v>1083</v>
      </c>
      <c r="C166" s="677">
        <f>'Inputs and eligible population'!I107</f>
        <v>7.5</v>
      </c>
      <c r="D166" s="128">
        <f>('Financial impact (cash)'!D18+'Financial impact (cash)'!D27)*$C166*'Inputs and eligible population'!$I$108/60</f>
        <v>0</v>
      </c>
      <c r="E166" s="128">
        <f>('Financial impact (cash)'!E18+'Financial impact (cash)'!E27)*$C166*'Inputs and eligible population'!$I$108/60</f>
        <v>0</v>
      </c>
      <c r="F166" s="128">
        <f>('Financial impact (cash)'!F18+'Financial impact (cash)'!F27)*$C166*'Inputs and eligible population'!$I$108/60</f>
        <v>0</v>
      </c>
      <c r="G166" s="128">
        <f>('Financial impact (cash)'!G18+'Financial impact (cash)'!G27)*$C166*'Inputs and eligible population'!$I$108/60</f>
        <v>0</v>
      </c>
      <c r="H166" s="128">
        <f>('Financial impact (cash)'!H18+'Financial impact (cash)'!H27)*$C166*'Inputs and eligible population'!$I$108/60</f>
        <v>0</v>
      </c>
      <c r="I166" s="128">
        <f>('Financial impact (cash)'!I18+'Financial impact (cash)'!I27)*$C166*'Inputs and eligible population'!$I$108/60</f>
        <v>0</v>
      </c>
      <c r="J166" s="290"/>
      <c r="K166" s="716">
        <f>'Inputs and eligible population'!$N$108</f>
        <v>38.99</v>
      </c>
      <c r="L166" s="293">
        <f t="shared" si="95"/>
        <v>0</v>
      </c>
      <c r="M166" s="293">
        <f t="shared" si="96"/>
        <v>0</v>
      </c>
      <c r="N166" s="293">
        <f t="shared" si="97"/>
        <v>0</v>
      </c>
      <c r="O166" s="293">
        <f t="shared" si="98"/>
        <v>0</v>
      </c>
      <c r="P166" s="293">
        <f t="shared" si="99"/>
        <v>0</v>
      </c>
      <c r="Q166" s="293">
        <f t="shared" si="100"/>
        <v>0</v>
      </c>
      <c r="R166" s="133"/>
      <c r="S166" s="133"/>
      <c r="T166" s="133"/>
      <c r="U166" s="133"/>
      <c r="V166" s="133"/>
      <c r="W166" s="133"/>
      <c r="X166" s="133"/>
      <c r="Y166" s="133"/>
      <c r="Z166" s="133"/>
      <c r="AJ166" s="286"/>
      <c r="AK166" s="286"/>
      <c r="AL166" s="286"/>
      <c r="AM166" s="286"/>
      <c r="AN166" s="286"/>
    </row>
    <row r="167" spans="1:40">
      <c r="A167" s="290"/>
      <c r="B167" s="351" t="s">
        <v>1084</v>
      </c>
      <c r="C167" s="677">
        <f>'Inputs and eligible population'!J107</f>
        <v>7.5</v>
      </c>
      <c r="D167" s="128">
        <f>('Financial impact (cash)'!D19+'Financial impact (cash)'!D28)*$C167*'Inputs and eligible population'!$J$108/60</f>
        <v>0</v>
      </c>
      <c r="E167" s="128">
        <f>('Financial impact (cash)'!E19+'Financial impact (cash)'!E28)*$C167*'Inputs and eligible population'!$J$108/60</f>
        <v>0</v>
      </c>
      <c r="F167" s="128">
        <f>('Financial impact (cash)'!F19+'Financial impact (cash)'!F28)*$C167*'Inputs and eligible population'!$J$108/60</f>
        <v>0</v>
      </c>
      <c r="G167" s="128">
        <f>('Financial impact (cash)'!G19+'Financial impact (cash)'!G28)*$C167*'Inputs and eligible population'!$J$108/60</f>
        <v>0</v>
      </c>
      <c r="H167" s="128">
        <f>('Financial impact (cash)'!H19+'Financial impact (cash)'!H28)*$C167*'Inputs and eligible population'!$J$108/60</f>
        <v>0</v>
      </c>
      <c r="I167" s="128">
        <f>('Financial impact (cash)'!I19+'Financial impact (cash)'!I28)*$C167*'Inputs and eligible population'!$J$108/60</f>
        <v>0</v>
      </c>
      <c r="J167" s="290"/>
      <c r="K167" s="716">
        <f>'Inputs and eligible population'!$N$108</f>
        <v>38.99</v>
      </c>
      <c r="L167" s="293">
        <f t="shared" si="95"/>
        <v>0</v>
      </c>
      <c r="M167" s="293">
        <f t="shared" si="96"/>
        <v>0</v>
      </c>
      <c r="N167" s="293">
        <f t="shared" si="97"/>
        <v>0</v>
      </c>
      <c r="O167" s="293">
        <f t="shared" si="98"/>
        <v>0</v>
      </c>
      <c r="P167" s="293">
        <f t="shared" si="99"/>
        <v>0</v>
      </c>
      <c r="Q167" s="293">
        <f t="shared" si="100"/>
        <v>0</v>
      </c>
      <c r="R167" s="133"/>
      <c r="S167" s="133"/>
      <c r="T167" s="133"/>
      <c r="U167" s="133"/>
      <c r="V167" s="133"/>
      <c r="W167" s="133"/>
      <c r="X167" s="133"/>
      <c r="Y167" s="133"/>
      <c r="Z167" s="133"/>
      <c r="AJ167" s="286"/>
      <c r="AK167" s="286"/>
      <c r="AL167" s="286"/>
      <c r="AM167" s="286"/>
      <c r="AN167" s="286"/>
    </row>
    <row r="168" spans="1:40">
      <c r="A168" s="290"/>
      <c r="B168" s="351" t="s">
        <v>1085</v>
      </c>
      <c r="C168" s="677">
        <f>'Inputs and eligible population'!K107</f>
        <v>7.5</v>
      </c>
      <c r="D168" s="128">
        <f>('Financial impact (cash)'!D20+'Financial impact (cash)'!D29)*$C168*'Inputs and eligible population'!$K$108/60</f>
        <v>0</v>
      </c>
      <c r="E168" s="128">
        <f>('Financial impact (cash)'!E20+'Financial impact (cash)'!E29)*$C168*'Inputs and eligible population'!$K$108/60</f>
        <v>0</v>
      </c>
      <c r="F168" s="128">
        <f>('Financial impact (cash)'!F20+'Financial impact (cash)'!F29)*$C168*'Inputs and eligible population'!$K$108/60</f>
        <v>0</v>
      </c>
      <c r="G168" s="128">
        <f>('Financial impact (cash)'!G20+'Financial impact (cash)'!G29)*$C168*'Inputs and eligible population'!$K$108/60</f>
        <v>0</v>
      </c>
      <c r="H168" s="128">
        <f>('Financial impact (cash)'!H20+'Financial impact (cash)'!H29)*$C168*'Inputs and eligible population'!$K$108/60</f>
        <v>0</v>
      </c>
      <c r="I168" s="128">
        <f>('Financial impact (cash)'!I20+'Financial impact (cash)'!I29)*$C168*'Inputs and eligible population'!$K$108/60</f>
        <v>0</v>
      </c>
      <c r="J168" s="290"/>
      <c r="K168" s="716">
        <f>'Inputs and eligible population'!$N$108</f>
        <v>38.99</v>
      </c>
      <c r="L168" s="293">
        <f t="shared" si="95"/>
        <v>0</v>
      </c>
      <c r="M168" s="293">
        <f t="shared" si="96"/>
        <v>0</v>
      </c>
      <c r="N168" s="293">
        <f t="shared" si="97"/>
        <v>0</v>
      </c>
      <c r="O168" s="293">
        <f t="shared" si="98"/>
        <v>0</v>
      </c>
      <c r="P168" s="293">
        <f t="shared" si="99"/>
        <v>0</v>
      </c>
      <c r="Q168" s="293">
        <f t="shared" si="100"/>
        <v>0</v>
      </c>
      <c r="R168" s="133"/>
      <c r="S168" s="133"/>
      <c r="T168" s="133"/>
      <c r="U168" s="133"/>
      <c r="V168" s="133"/>
      <c r="W168" s="133"/>
      <c r="X168" s="133"/>
      <c r="Y168" s="133"/>
      <c r="Z168" s="133"/>
      <c r="AJ168" s="286"/>
      <c r="AK168" s="286"/>
      <c r="AL168" s="286"/>
      <c r="AM168" s="286"/>
      <c r="AN168" s="286"/>
    </row>
    <row r="169" spans="1:40">
      <c r="A169" s="290"/>
      <c r="B169" s="283"/>
      <c r="C169" s="209"/>
      <c r="D169" s="187">
        <f>SUM(D163:D168)</f>
        <v>0</v>
      </c>
      <c r="E169" s="187">
        <f t="shared" ref="E169:I169" si="101">SUM(E163:E168)</f>
        <v>0</v>
      </c>
      <c r="F169" s="187">
        <f t="shared" si="101"/>
        <v>0</v>
      </c>
      <c r="G169" s="187">
        <f t="shared" si="101"/>
        <v>0</v>
      </c>
      <c r="H169" s="187">
        <f t="shared" si="101"/>
        <v>0</v>
      </c>
      <c r="I169" s="187">
        <f t="shared" si="101"/>
        <v>0</v>
      </c>
      <c r="J169" s="290"/>
      <c r="K169" s="290"/>
      <c r="L169" s="294">
        <f>SUM(L163:L168)</f>
        <v>0</v>
      </c>
      <c r="M169" s="294">
        <f t="shared" ref="M169:Q169" si="102">SUM(M163:M168)</f>
        <v>0</v>
      </c>
      <c r="N169" s="294">
        <f t="shared" si="102"/>
        <v>0</v>
      </c>
      <c r="O169" s="294">
        <f t="shared" si="102"/>
        <v>0</v>
      </c>
      <c r="P169" s="294">
        <f t="shared" si="102"/>
        <v>0</v>
      </c>
      <c r="Q169" s="294">
        <f t="shared" si="102"/>
        <v>0</v>
      </c>
      <c r="R169" s="133"/>
      <c r="S169" s="133"/>
      <c r="T169" s="133"/>
      <c r="U169" s="133"/>
      <c r="V169" s="133"/>
      <c r="W169" s="133"/>
      <c r="X169" s="133"/>
      <c r="Y169" s="133"/>
      <c r="Z169" s="133"/>
      <c r="AJ169" s="286"/>
      <c r="AK169" s="286"/>
      <c r="AL169" s="286"/>
      <c r="AM169" s="286"/>
      <c r="AN169" s="286"/>
    </row>
    <row r="170" spans="1:40">
      <c r="A170" s="290"/>
      <c r="B170" s="306"/>
      <c r="C170" s="259"/>
      <c r="D170" s="285" t="s">
        <v>1027</v>
      </c>
      <c r="E170" s="187">
        <f>E169-$D$169</f>
        <v>0</v>
      </c>
      <c r="F170" s="187">
        <f>F169-$D$169</f>
        <v>0</v>
      </c>
      <c r="G170" s="187">
        <f>G169-$D$169</f>
        <v>0</v>
      </c>
      <c r="H170" s="187">
        <f>H169-$D$169</f>
        <v>0</v>
      </c>
      <c r="I170" s="187">
        <f>I169-$D$169</f>
        <v>0</v>
      </c>
      <c r="J170" s="290"/>
      <c r="K170" s="290"/>
      <c r="L170" s="573"/>
      <c r="M170" s="294">
        <f>M169-$L$169</f>
        <v>0</v>
      </c>
      <c r="N170" s="294">
        <f>N169-$L$169</f>
        <v>0</v>
      </c>
      <c r="O170" s="294">
        <f>O169-$L$169</f>
        <v>0</v>
      </c>
      <c r="P170" s="294">
        <f>P169-$L$169</f>
        <v>0</v>
      </c>
      <c r="Q170" s="294">
        <f>Q169-$L$169</f>
        <v>0</v>
      </c>
      <c r="V170" s="133"/>
    </row>
    <row r="171" spans="1:40">
      <c r="A171" s="290"/>
      <c r="B171" s="329"/>
      <c r="C171" s="225"/>
      <c r="D171" s="225"/>
      <c r="E171" s="225"/>
      <c r="F171" s="225"/>
      <c r="G171" s="225"/>
      <c r="H171" s="225"/>
      <c r="I171" s="225"/>
      <c r="J171" s="290"/>
      <c r="K171" s="290"/>
      <c r="L171" s="225"/>
      <c r="M171" s="225"/>
      <c r="N171" s="225"/>
      <c r="O171" s="225"/>
      <c r="P171" s="225"/>
      <c r="Q171" s="225"/>
      <c r="V171" s="133"/>
    </row>
    <row r="172" spans="1:40">
      <c r="A172" s="290"/>
      <c r="B172" s="400" t="s">
        <v>1185</v>
      </c>
      <c r="C172" s="401"/>
      <c r="D172" s="401"/>
      <c r="E172" s="401"/>
      <c r="F172" s="401"/>
      <c r="G172" s="401"/>
      <c r="H172" s="401"/>
      <c r="I172" s="224"/>
      <c r="J172" s="225"/>
      <c r="K172" s="225"/>
      <c r="L172" s="434"/>
      <c r="M172" s="434"/>
      <c r="N172" s="434"/>
      <c r="O172" s="434"/>
      <c r="P172" s="434"/>
      <c r="Q172" s="434"/>
      <c r="V172" s="133"/>
    </row>
    <row r="173" spans="1:40" ht="43.5">
      <c r="A173" s="290"/>
      <c r="B173" s="279" t="s">
        <v>123</v>
      </c>
      <c r="C173" s="166" t="s">
        <v>1126</v>
      </c>
      <c r="D173" s="425" t="s">
        <v>730</v>
      </c>
      <c r="E173" s="258" t="s">
        <v>50</v>
      </c>
      <c r="F173" s="258" t="s">
        <v>51</v>
      </c>
      <c r="G173" s="165" t="s">
        <v>731</v>
      </c>
      <c r="H173" s="165" t="s">
        <v>732</v>
      </c>
      <c r="I173" s="258" t="s">
        <v>733</v>
      </c>
      <c r="J173" s="290"/>
      <c r="K173" s="715" t="s">
        <v>1045</v>
      </c>
      <c r="L173" s="425" t="s">
        <v>730</v>
      </c>
      <c r="M173" s="258" t="s">
        <v>50</v>
      </c>
      <c r="N173" s="258" t="s">
        <v>51</v>
      </c>
      <c r="O173" s="165" t="s">
        <v>731</v>
      </c>
      <c r="P173" s="165" t="s">
        <v>732</v>
      </c>
      <c r="Q173" s="258" t="s">
        <v>733</v>
      </c>
      <c r="V173" s="133"/>
    </row>
    <row r="174" spans="1:40">
      <c r="A174" s="290"/>
      <c r="B174" s="351" t="s">
        <v>1080</v>
      </c>
      <c r="C174" s="677">
        <f>'Inputs and eligible population'!F109</f>
        <v>2</v>
      </c>
      <c r="D174" s="128">
        <f>('Financial impact (cash)'!D15+'Financial impact (cash)'!D24)*$C174*'Inputs and eligible population'!$F$110/60</f>
        <v>0</v>
      </c>
      <c r="E174" s="128">
        <f>('Financial impact (cash)'!E15+'Financial impact (cash)'!E24)*$C174*'Inputs and eligible population'!$F$110/60</f>
        <v>0</v>
      </c>
      <c r="F174" s="128">
        <f>('Financial impact (cash)'!F15+'Financial impact (cash)'!F24)*$C174*'Inputs and eligible population'!$F$110/60</f>
        <v>0</v>
      </c>
      <c r="G174" s="128">
        <f>('Financial impact (cash)'!G15+'Financial impact (cash)'!G24)*$C174*'Inputs and eligible population'!$F$110/60</f>
        <v>0</v>
      </c>
      <c r="H174" s="128">
        <f>('Financial impact (cash)'!H15+'Financial impact (cash)'!H24)*$C174*'Inputs and eligible population'!$F$110/60</f>
        <v>0</v>
      </c>
      <c r="I174" s="128">
        <f>('Financial impact (cash)'!I15+'Financial impact (cash)'!I24)*$C174*'Inputs and eligible population'!$F$110/60</f>
        <v>0</v>
      </c>
      <c r="J174" s="290"/>
      <c r="K174" s="716">
        <f>'Inputs and eligible population'!$N$108</f>
        <v>38.99</v>
      </c>
      <c r="L174" s="293">
        <f>$K174*D174</f>
        <v>0</v>
      </c>
      <c r="M174" s="293">
        <f t="shared" ref="M174:M179" si="103">$K174*E174</f>
        <v>0</v>
      </c>
      <c r="N174" s="293">
        <f t="shared" ref="N174:N179" si="104">$K174*F174</f>
        <v>0</v>
      </c>
      <c r="O174" s="293">
        <f t="shared" ref="O174:O179" si="105">$K174*G174</f>
        <v>0</v>
      </c>
      <c r="P174" s="293">
        <f t="shared" ref="P174:P179" si="106">$K174*H174</f>
        <v>0</v>
      </c>
      <c r="Q174" s="293">
        <f t="shared" ref="Q174:Q179" si="107">$K174*I174</f>
        <v>0</v>
      </c>
      <c r="V174" s="133"/>
    </row>
    <row r="175" spans="1:40">
      <c r="A175" s="290"/>
      <c r="B175" s="351" t="s">
        <v>1081</v>
      </c>
      <c r="C175" s="677">
        <f>'Inputs and eligible population'!G109</f>
        <v>2</v>
      </c>
      <c r="D175" s="128">
        <f>('Financial impact (cash)'!D16+'Financial impact (cash)'!D25)*$C175*'Inputs and eligible population'!$G$110/60</f>
        <v>0</v>
      </c>
      <c r="E175" s="128">
        <f>('Financial impact (cash)'!E16+'Financial impact (cash)'!E25)*$C175*'Inputs and eligible population'!$G$110/60</f>
        <v>0</v>
      </c>
      <c r="F175" s="128">
        <f>('Financial impact (cash)'!F16+'Financial impact (cash)'!F25)*$C175*'Inputs and eligible population'!$G$110/60</f>
        <v>0</v>
      </c>
      <c r="G175" s="128">
        <f>('Financial impact (cash)'!G16+'Financial impact (cash)'!G25)*$C175*'Inputs and eligible population'!$G$110/60</f>
        <v>0</v>
      </c>
      <c r="H175" s="128">
        <f>('Financial impact (cash)'!H16+'Financial impact (cash)'!H25)*$C175*'Inputs and eligible population'!$G$110/60</f>
        <v>0</v>
      </c>
      <c r="I175" s="128">
        <f>('Financial impact (cash)'!I16+'Financial impact (cash)'!I25)*$C175*'Inputs and eligible population'!$G$110/60</f>
        <v>0</v>
      </c>
      <c r="J175" s="290"/>
      <c r="K175" s="716">
        <f>'Inputs and eligible population'!$N$108</f>
        <v>38.99</v>
      </c>
      <c r="L175" s="293">
        <f t="shared" ref="L175:L179" si="108">$K175*D175</f>
        <v>0</v>
      </c>
      <c r="M175" s="293">
        <f t="shared" si="103"/>
        <v>0</v>
      </c>
      <c r="N175" s="293">
        <f t="shared" si="104"/>
        <v>0</v>
      </c>
      <c r="O175" s="293">
        <f t="shared" si="105"/>
        <v>0</v>
      </c>
      <c r="P175" s="293">
        <f t="shared" si="106"/>
        <v>0</v>
      </c>
      <c r="Q175" s="293">
        <f t="shared" si="107"/>
        <v>0</v>
      </c>
      <c r="V175" s="133"/>
    </row>
    <row r="176" spans="1:40">
      <c r="A176" s="290"/>
      <c r="B176" s="351" t="s">
        <v>1082</v>
      </c>
      <c r="C176" s="677">
        <f>'Inputs and eligible population'!H109</f>
        <v>2</v>
      </c>
      <c r="D176" s="128">
        <f>('Financial impact (cash)'!D17+'Financial impact (cash)'!D26)*$C176*'Inputs and eligible population'!$H$110/60</f>
        <v>0</v>
      </c>
      <c r="E176" s="128">
        <f>('Financial impact (cash)'!E17+'Financial impact (cash)'!E26)*$C176*'Inputs and eligible population'!$H$110/60</f>
        <v>0</v>
      </c>
      <c r="F176" s="128">
        <f>('Financial impact (cash)'!F17+'Financial impact (cash)'!F26)*$C176*'Inputs and eligible population'!$H$110/60</f>
        <v>0</v>
      </c>
      <c r="G176" s="128">
        <f>('Financial impact (cash)'!G17+'Financial impact (cash)'!G26)*$C176*'Inputs and eligible population'!$H$110/60</f>
        <v>0</v>
      </c>
      <c r="H176" s="128">
        <f>('Financial impact (cash)'!H17+'Financial impact (cash)'!H26)*$C176*'Inputs and eligible population'!$H$110/60</f>
        <v>0</v>
      </c>
      <c r="I176" s="128">
        <f>('Financial impact (cash)'!I17+'Financial impact (cash)'!I26)*$C176*'Inputs and eligible population'!$H$110/60</f>
        <v>0</v>
      </c>
      <c r="J176" s="290"/>
      <c r="K176" s="716">
        <f>'Inputs and eligible population'!$N$108</f>
        <v>38.99</v>
      </c>
      <c r="L176" s="293">
        <f t="shared" si="108"/>
        <v>0</v>
      </c>
      <c r="M176" s="293">
        <f t="shared" si="103"/>
        <v>0</v>
      </c>
      <c r="N176" s="293">
        <f t="shared" si="104"/>
        <v>0</v>
      </c>
      <c r="O176" s="293">
        <f t="shared" si="105"/>
        <v>0</v>
      </c>
      <c r="P176" s="293">
        <f t="shared" si="106"/>
        <v>0</v>
      </c>
      <c r="Q176" s="293">
        <f t="shared" si="107"/>
        <v>0</v>
      </c>
      <c r="V176" s="133"/>
    </row>
    <row r="177" spans="1:22">
      <c r="A177" s="290"/>
      <c r="B177" s="351" t="s">
        <v>1083</v>
      </c>
      <c r="C177" s="677">
        <f>'Inputs and eligible population'!I109</f>
        <v>2</v>
      </c>
      <c r="D177" s="128">
        <f>('Financial impact (cash)'!D18+'Financial impact (cash)'!D27)*$C177*'Inputs and eligible population'!$I$110/60</f>
        <v>0</v>
      </c>
      <c r="E177" s="128">
        <f>('Financial impact (cash)'!E18+'Financial impact (cash)'!E27)*$C177*'Inputs and eligible population'!$I$110/60</f>
        <v>0</v>
      </c>
      <c r="F177" s="128">
        <f>('Financial impact (cash)'!F18+'Financial impact (cash)'!F27)*$C177*'Inputs and eligible population'!$I$110/60</f>
        <v>0</v>
      </c>
      <c r="G177" s="128">
        <f>('Financial impact (cash)'!G18+'Financial impact (cash)'!G27)*$C177*'Inputs and eligible population'!$I$110/60</f>
        <v>0</v>
      </c>
      <c r="H177" s="128">
        <f>('Financial impact (cash)'!H18+'Financial impact (cash)'!H27)*$C177*'Inputs and eligible population'!$I$110/60</f>
        <v>0</v>
      </c>
      <c r="I177" s="128">
        <f>('Financial impact (cash)'!I18+'Financial impact (cash)'!I27)*$C177*'Inputs and eligible population'!$I$110/60</f>
        <v>0</v>
      </c>
      <c r="J177" s="290"/>
      <c r="K177" s="716">
        <f>'Inputs and eligible population'!$N$108</f>
        <v>38.99</v>
      </c>
      <c r="L177" s="293">
        <f t="shared" si="108"/>
        <v>0</v>
      </c>
      <c r="M177" s="293">
        <f t="shared" si="103"/>
        <v>0</v>
      </c>
      <c r="N177" s="293">
        <f t="shared" si="104"/>
        <v>0</v>
      </c>
      <c r="O177" s="293">
        <f t="shared" si="105"/>
        <v>0</v>
      </c>
      <c r="P177" s="293">
        <f t="shared" si="106"/>
        <v>0</v>
      </c>
      <c r="Q177" s="293">
        <f t="shared" si="107"/>
        <v>0</v>
      </c>
      <c r="V177" s="133"/>
    </row>
    <row r="178" spans="1:22">
      <c r="A178" s="290"/>
      <c r="B178" s="351" t="s">
        <v>1084</v>
      </c>
      <c r="C178" s="677">
        <f>'Inputs and eligible population'!J109</f>
        <v>2</v>
      </c>
      <c r="D178" s="128">
        <f>('Financial impact (cash)'!D19+'Financial impact (cash)'!D28)*$C178*'Inputs and eligible population'!$J$110/60</f>
        <v>0</v>
      </c>
      <c r="E178" s="128">
        <f>('Financial impact (cash)'!E19+'Financial impact (cash)'!E28)*$C178*'Inputs and eligible population'!$J$110/60</f>
        <v>0</v>
      </c>
      <c r="F178" s="128">
        <f>('Financial impact (cash)'!F19+'Financial impact (cash)'!F28)*$C178*'Inputs and eligible population'!$J$110/60</f>
        <v>0</v>
      </c>
      <c r="G178" s="128">
        <f>('Financial impact (cash)'!G19+'Financial impact (cash)'!G28)*$C178*'Inputs and eligible population'!$J$110/60</f>
        <v>0</v>
      </c>
      <c r="H178" s="128">
        <f>('Financial impact (cash)'!H19+'Financial impact (cash)'!H28)*$C178*'Inputs and eligible population'!$J$110/60</f>
        <v>0</v>
      </c>
      <c r="I178" s="128">
        <f>('Financial impact (cash)'!I19+'Financial impact (cash)'!I28)*$C178*'Inputs and eligible population'!$J$110/60</f>
        <v>0</v>
      </c>
      <c r="J178" s="290"/>
      <c r="K178" s="716">
        <f>'Inputs and eligible population'!$N$108</f>
        <v>38.99</v>
      </c>
      <c r="L178" s="293">
        <f t="shared" si="108"/>
        <v>0</v>
      </c>
      <c r="M178" s="293">
        <f t="shared" si="103"/>
        <v>0</v>
      </c>
      <c r="N178" s="293">
        <f t="shared" si="104"/>
        <v>0</v>
      </c>
      <c r="O178" s="293">
        <f t="shared" si="105"/>
        <v>0</v>
      </c>
      <c r="P178" s="293">
        <f t="shared" si="106"/>
        <v>0</v>
      </c>
      <c r="Q178" s="293">
        <f t="shared" si="107"/>
        <v>0</v>
      </c>
      <c r="V178" s="133"/>
    </row>
    <row r="179" spans="1:22">
      <c r="A179" s="290"/>
      <c r="B179" s="351" t="s">
        <v>1085</v>
      </c>
      <c r="C179" s="677">
        <f>'Inputs and eligible population'!K109</f>
        <v>2</v>
      </c>
      <c r="D179" s="128">
        <f>('Financial impact (cash)'!D20+'Financial impact (cash)'!D29)*$C179*'Inputs and eligible population'!$K$110/60</f>
        <v>0</v>
      </c>
      <c r="E179" s="128">
        <f>('Financial impact (cash)'!E20+'Financial impact (cash)'!E29)*$C179*'Inputs and eligible population'!$K$110/60</f>
        <v>0</v>
      </c>
      <c r="F179" s="128">
        <f>('Financial impact (cash)'!F20+'Financial impact (cash)'!F29)*$C179*'Inputs and eligible population'!$K$110/60</f>
        <v>0</v>
      </c>
      <c r="G179" s="128">
        <f>('Financial impact (cash)'!G20+'Financial impact (cash)'!G29)*$C179*'Inputs and eligible population'!$K$110/60</f>
        <v>0</v>
      </c>
      <c r="H179" s="128">
        <f>('Financial impact (cash)'!H20+'Financial impact (cash)'!H29)*$C179*'Inputs and eligible population'!$K$110/60</f>
        <v>0</v>
      </c>
      <c r="I179" s="128">
        <f>('Financial impact (cash)'!I20+'Financial impact (cash)'!I29)*$C179*'Inputs and eligible population'!$K$110/60</f>
        <v>0</v>
      </c>
      <c r="J179" s="290"/>
      <c r="K179" s="716">
        <f>'Inputs and eligible population'!$N$108</f>
        <v>38.99</v>
      </c>
      <c r="L179" s="293">
        <f t="shared" si="108"/>
        <v>0</v>
      </c>
      <c r="M179" s="293">
        <f t="shared" si="103"/>
        <v>0</v>
      </c>
      <c r="N179" s="293">
        <f t="shared" si="104"/>
        <v>0</v>
      </c>
      <c r="O179" s="293">
        <f t="shared" si="105"/>
        <v>0</v>
      </c>
      <c r="P179" s="293">
        <f t="shared" si="106"/>
        <v>0</v>
      </c>
      <c r="Q179" s="293">
        <f t="shared" si="107"/>
        <v>0</v>
      </c>
      <c r="V179" s="133"/>
    </row>
    <row r="180" spans="1:22">
      <c r="A180" s="290"/>
      <c r="B180" s="283"/>
      <c r="C180" s="209"/>
      <c r="D180" s="187">
        <f>SUM(D174:D179)</f>
        <v>0</v>
      </c>
      <c r="E180" s="187">
        <f t="shared" ref="E180:I180" si="109">SUM(E174:E179)</f>
        <v>0</v>
      </c>
      <c r="F180" s="187">
        <f t="shared" si="109"/>
        <v>0</v>
      </c>
      <c r="G180" s="187">
        <f t="shared" si="109"/>
        <v>0</v>
      </c>
      <c r="H180" s="187">
        <f t="shared" si="109"/>
        <v>0</v>
      </c>
      <c r="I180" s="187">
        <f t="shared" si="109"/>
        <v>0</v>
      </c>
      <c r="J180" s="290"/>
      <c r="K180" s="290"/>
      <c r="L180" s="294">
        <f>SUM(L174:L179)</f>
        <v>0</v>
      </c>
      <c r="M180" s="294">
        <f t="shared" ref="M180:Q180" si="110">SUM(M174:M179)</f>
        <v>0</v>
      </c>
      <c r="N180" s="294">
        <f t="shared" si="110"/>
        <v>0</v>
      </c>
      <c r="O180" s="294">
        <f t="shared" si="110"/>
        <v>0</v>
      </c>
      <c r="P180" s="294">
        <f t="shared" si="110"/>
        <v>0</v>
      </c>
      <c r="Q180" s="294">
        <f t="shared" si="110"/>
        <v>0</v>
      </c>
      <c r="V180" s="133"/>
    </row>
    <row r="181" spans="1:22">
      <c r="A181" s="290"/>
      <c r="B181" s="306"/>
      <c r="C181" s="259"/>
      <c r="D181" s="285" t="s">
        <v>1127</v>
      </c>
      <c r="E181" s="187">
        <f>E180-$D$180</f>
        <v>0</v>
      </c>
      <c r="F181" s="187">
        <f t="shared" ref="F181:I181" si="111">F180-$D$180</f>
        <v>0</v>
      </c>
      <c r="G181" s="187">
        <f t="shared" si="111"/>
        <v>0</v>
      </c>
      <c r="H181" s="187">
        <f t="shared" si="111"/>
        <v>0</v>
      </c>
      <c r="I181" s="187">
        <f t="shared" si="111"/>
        <v>0</v>
      </c>
      <c r="J181" s="290"/>
      <c r="K181" s="290"/>
      <c r="L181" s="573"/>
      <c r="M181" s="294">
        <f>M180-$L$180</f>
        <v>0</v>
      </c>
      <c r="N181" s="294">
        <f t="shared" ref="N181:Q181" si="112">N180-$L$180</f>
        <v>0</v>
      </c>
      <c r="O181" s="294">
        <f t="shared" si="112"/>
        <v>0</v>
      </c>
      <c r="P181" s="294">
        <f t="shared" si="112"/>
        <v>0</v>
      </c>
      <c r="Q181" s="294">
        <f t="shared" si="112"/>
        <v>0</v>
      </c>
      <c r="V181" s="133"/>
    </row>
    <row r="182" spans="1:22">
      <c r="A182" s="290"/>
      <c r="B182" s="329"/>
      <c r="C182" s="225"/>
      <c r="D182" s="225"/>
      <c r="E182" s="225"/>
      <c r="F182" s="225"/>
      <c r="G182" s="225"/>
      <c r="H182" s="225"/>
      <c r="I182" s="225"/>
      <c r="J182" s="290"/>
      <c r="K182" s="290"/>
      <c r="L182" s="225"/>
      <c r="M182" s="225"/>
      <c r="N182" s="225"/>
      <c r="O182" s="225"/>
      <c r="P182" s="225"/>
      <c r="Q182" s="225"/>
      <c r="V182" s="133"/>
    </row>
    <row r="183" spans="1:22">
      <c r="A183" s="290"/>
      <c r="B183" s="400" t="s">
        <v>1186</v>
      </c>
      <c r="C183" s="401"/>
      <c r="D183" s="401"/>
      <c r="E183" s="401"/>
      <c r="F183" s="401"/>
      <c r="G183" s="401"/>
      <c r="H183" s="401"/>
      <c r="I183" s="224"/>
      <c r="J183" s="225"/>
      <c r="K183" s="225"/>
      <c r="L183" s="434"/>
      <c r="M183" s="434"/>
      <c r="N183" s="434"/>
      <c r="O183" s="434"/>
      <c r="P183" s="434"/>
      <c r="Q183" s="434"/>
      <c r="V183" s="133"/>
    </row>
    <row r="184" spans="1:22" ht="43.5">
      <c r="A184" s="290"/>
      <c r="B184" s="279" t="s">
        <v>123</v>
      </c>
      <c r="C184" s="166" t="s">
        <v>1128</v>
      </c>
      <c r="D184" s="425" t="s">
        <v>730</v>
      </c>
      <c r="E184" s="258" t="s">
        <v>50</v>
      </c>
      <c r="F184" s="258" t="s">
        <v>51</v>
      </c>
      <c r="G184" s="165" t="s">
        <v>731</v>
      </c>
      <c r="H184" s="165" t="s">
        <v>732</v>
      </c>
      <c r="I184" s="258" t="s">
        <v>733</v>
      </c>
      <c r="J184" s="290"/>
      <c r="K184" s="715" t="s">
        <v>1045</v>
      </c>
      <c r="L184" s="425" t="s">
        <v>730</v>
      </c>
      <c r="M184" s="258" t="s">
        <v>50</v>
      </c>
      <c r="N184" s="258" t="s">
        <v>51</v>
      </c>
      <c r="O184" s="165" t="s">
        <v>731</v>
      </c>
      <c r="P184" s="165" t="s">
        <v>732</v>
      </c>
      <c r="Q184" s="258" t="s">
        <v>733</v>
      </c>
      <c r="V184" s="133"/>
    </row>
    <row r="185" spans="1:22">
      <c r="A185" s="290"/>
      <c r="B185" s="351" t="s">
        <v>1080</v>
      </c>
      <c r="C185" s="677">
        <f>'Inputs and eligible population'!F111</f>
        <v>7.5</v>
      </c>
      <c r="D185" s="128">
        <f>('Financial impact (cash)'!D15+'Financial impact (cash)'!D24)*$C185*'Inputs and eligible population'!$F$112/60</f>
        <v>0</v>
      </c>
      <c r="E185" s="128">
        <f>('Financial impact (cash)'!E15+'Financial impact (cash)'!E24)*$C185*'Inputs and eligible population'!$F$112/60</f>
        <v>0</v>
      </c>
      <c r="F185" s="128">
        <f>('Financial impact (cash)'!F15+'Financial impact (cash)'!F24)*$C185*'Inputs and eligible population'!$F$112/60</f>
        <v>0</v>
      </c>
      <c r="G185" s="128">
        <f>('Financial impact (cash)'!G15+'Financial impact (cash)'!G24)*$C185*'Inputs and eligible population'!$F$112/60</f>
        <v>0</v>
      </c>
      <c r="H185" s="128">
        <f>('Financial impact (cash)'!H15+'Financial impact (cash)'!H24)*$C185*'Inputs and eligible population'!$F$112/60</f>
        <v>0</v>
      </c>
      <c r="I185" s="128">
        <f>('Financial impact (cash)'!I15+'Financial impact (cash)'!I24)*$C185*'Inputs and eligible population'!$F$112/60</f>
        <v>0</v>
      </c>
      <c r="J185" s="290"/>
      <c r="K185" s="716">
        <f>'Inputs and eligible population'!$N$108</f>
        <v>38.99</v>
      </c>
      <c r="L185" s="293">
        <f>$K185*D185</f>
        <v>0</v>
      </c>
      <c r="M185" s="293">
        <f t="shared" ref="M185:M190" si="113">$K185*E185</f>
        <v>0</v>
      </c>
      <c r="N185" s="293">
        <f t="shared" ref="N185:N190" si="114">$K185*F185</f>
        <v>0</v>
      </c>
      <c r="O185" s="293">
        <f t="shared" ref="O185:O190" si="115">$K185*G185</f>
        <v>0</v>
      </c>
      <c r="P185" s="293">
        <f t="shared" ref="P185:P190" si="116">$K185*H185</f>
        <v>0</v>
      </c>
      <c r="Q185" s="293">
        <f t="shared" ref="Q185:Q190" si="117">$K185*I185</f>
        <v>0</v>
      </c>
      <c r="V185" s="133"/>
    </row>
    <row r="186" spans="1:22">
      <c r="A186" s="290"/>
      <c r="B186" s="351" t="s">
        <v>1081</v>
      </c>
      <c r="C186" s="677">
        <f>'Inputs and eligible population'!G111</f>
        <v>7.5</v>
      </c>
      <c r="D186" s="128">
        <f>('Financial impact (cash)'!D16+'Financial impact (cash)'!D25)*$C186*'Inputs and eligible population'!$G$112/60</f>
        <v>0</v>
      </c>
      <c r="E186" s="128">
        <f>('Financial impact (cash)'!E16+'Financial impact (cash)'!E25)*$C186*'Inputs and eligible population'!$G$112/60</f>
        <v>0</v>
      </c>
      <c r="F186" s="128">
        <f>('Financial impact (cash)'!F16+'Financial impact (cash)'!F25)*$C186*'Inputs and eligible population'!$G$112/60</f>
        <v>0</v>
      </c>
      <c r="G186" s="128">
        <f>('Financial impact (cash)'!G16+'Financial impact (cash)'!G25)*$C186*'Inputs and eligible population'!$G$112/60</f>
        <v>0</v>
      </c>
      <c r="H186" s="128">
        <f>('Financial impact (cash)'!H16+'Financial impact (cash)'!H25)*$C186*'Inputs and eligible population'!$G$112/60</f>
        <v>0</v>
      </c>
      <c r="I186" s="128">
        <f>('Financial impact (cash)'!I16+'Financial impact (cash)'!I25)*$C186*'Inputs and eligible population'!$G$112/60</f>
        <v>0</v>
      </c>
      <c r="J186" s="290"/>
      <c r="K186" s="716">
        <f>'Inputs and eligible population'!$N$108</f>
        <v>38.99</v>
      </c>
      <c r="L186" s="293">
        <f t="shared" ref="L186:L190" si="118">$K186*D186</f>
        <v>0</v>
      </c>
      <c r="M186" s="293">
        <f t="shared" si="113"/>
        <v>0</v>
      </c>
      <c r="N186" s="293">
        <f t="shared" si="114"/>
        <v>0</v>
      </c>
      <c r="O186" s="293">
        <f t="shared" si="115"/>
        <v>0</v>
      </c>
      <c r="P186" s="293">
        <f t="shared" si="116"/>
        <v>0</v>
      </c>
      <c r="Q186" s="293">
        <f t="shared" si="117"/>
        <v>0</v>
      </c>
      <c r="V186" s="133"/>
    </row>
    <row r="187" spans="1:22">
      <c r="A187" s="290"/>
      <c r="B187" s="351" t="s">
        <v>1082</v>
      </c>
      <c r="C187" s="677">
        <f>'Inputs and eligible population'!H111</f>
        <v>7.5</v>
      </c>
      <c r="D187" s="128">
        <f>('Financial impact (cash)'!D17+'Financial impact (cash)'!D26)*$C187*'Inputs and eligible population'!$H$112/60</f>
        <v>0</v>
      </c>
      <c r="E187" s="128">
        <f>('Financial impact (cash)'!E17+'Financial impact (cash)'!E26)*$C187*'Inputs and eligible population'!$H$112/60</f>
        <v>0</v>
      </c>
      <c r="F187" s="128">
        <f>('Financial impact (cash)'!F17+'Financial impact (cash)'!F26)*$C187*'Inputs and eligible population'!$H$112/60</f>
        <v>0</v>
      </c>
      <c r="G187" s="128">
        <f>('Financial impact (cash)'!G17+'Financial impact (cash)'!G26)*$C187*'Inputs and eligible population'!$H$112/60</f>
        <v>0</v>
      </c>
      <c r="H187" s="128">
        <f>('Financial impact (cash)'!H17+'Financial impact (cash)'!H26)*$C187*'Inputs and eligible population'!$H$112/60</f>
        <v>0</v>
      </c>
      <c r="I187" s="128">
        <f>('Financial impact (cash)'!I17+'Financial impact (cash)'!I26)*$C187*'Inputs and eligible population'!$H$112/60</f>
        <v>0</v>
      </c>
      <c r="J187" s="290"/>
      <c r="K187" s="716">
        <f>'Inputs and eligible population'!$N$108</f>
        <v>38.99</v>
      </c>
      <c r="L187" s="293">
        <f t="shared" si="118"/>
        <v>0</v>
      </c>
      <c r="M187" s="293">
        <f t="shared" si="113"/>
        <v>0</v>
      </c>
      <c r="N187" s="293">
        <f t="shared" si="114"/>
        <v>0</v>
      </c>
      <c r="O187" s="293">
        <f t="shared" si="115"/>
        <v>0</v>
      </c>
      <c r="P187" s="293">
        <f t="shared" si="116"/>
        <v>0</v>
      </c>
      <c r="Q187" s="293">
        <f t="shared" si="117"/>
        <v>0</v>
      </c>
      <c r="V187" s="133"/>
    </row>
    <row r="188" spans="1:22">
      <c r="A188" s="290"/>
      <c r="B188" s="351" t="s">
        <v>1083</v>
      </c>
      <c r="C188" s="677">
        <f>'Inputs and eligible population'!I111</f>
        <v>7.5</v>
      </c>
      <c r="D188" s="128">
        <f>('Financial impact (cash)'!D18+'Financial impact (cash)'!D27)*$C188*'Inputs and eligible population'!$I$112/60</f>
        <v>0</v>
      </c>
      <c r="E188" s="128">
        <f>('Financial impact (cash)'!E18+'Financial impact (cash)'!E27)*$C188*'Inputs and eligible population'!$I$112/60</f>
        <v>0</v>
      </c>
      <c r="F188" s="128">
        <f>('Financial impact (cash)'!F18+'Financial impact (cash)'!F27)*$C188*'Inputs and eligible population'!$I$112/60</f>
        <v>0</v>
      </c>
      <c r="G188" s="128">
        <f>('Financial impact (cash)'!G18+'Financial impact (cash)'!G27)*$C188*'Inputs and eligible population'!$I$112/60</f>
        <v>0</v>
      </c>
      <c r="H188" s="128">
        <f>('Financial impact (cash)'!H18+'Financial impact (cash)'!H27)*$C188*'Inputs and eligible population'!$I$112/60</f>
        <v>0</v>
      </c>
      <c r="I188" s="128">
        <f>('Financial impact (cash)'!I18+'Financial impact (cash)'!I27)*$C188*'Inputs and eligible population'!$I$112/60</f>
        <v>0</v>
      </c>
      <c r="J188" s="290"/>
      <c r="K188" s="716">
        <f>'Inputs and eligible population'!$N$108</f>
        <v>38.99</v>
      </c>
      <c r="L188" s="293">
        <f t="shared" si="118"/>
        <v>0</v>
      </c>
      <c r="M188" s="293">
        <f t="shared" si="113"/>
        <v>0</v>
      </c>
      <c r="N188" s="293">
        <f t="shared" si="114"/>
        <v>0</v>
      </c>
      <c r="O188" s="293">
        <f t="shared" si="115"/>
        <v>0</v>
      </c>
      <c r="P188" s="293">
        <f t="shared" si="116"/>
        <v>0</v>
      </c>
      <c r="Q188" s="293">
        <f t="shared" si="117"/>
        <v>0</v>
      </c>
      <c r="V188" s="133"/>
    </row>
    <row r="189" spans="1:22">
      <c r="A189" s="290"/>
      <c r="B189" s="351" t="s">
        <v>1084</v>
      </c>
      <c r="C189" s="677">
        <f>'Inputs and eligible population'!J111</f>
        <v>7.5</v>
      </c>
      <c r="D189" s="128">
        <f>('Financial impact (cash)'!D19+'Financial impact (cash)'!D28)*$C189*'Inputs and eligible population'!$J$112/60</f>
        <v>0</v>
      </c>
      <c r="E189" s="128">
        <f>('Financial impact (cash)'!E19+'Financial impact (cash)'!E28)*$C189*'Inputs and eligible population'!$J$112/60</f>
        <v>0</v>
      </c>
      <c r="F189" s="128">
        <f>('Financial impact (cash)'!F19+'Financial impact (cash)'!F28)*$C189*'Inputs and eligible population'!$J$112/60</f>
        <v>0</v>
      </c>
      <c r="G189" s="128">
        <f>('Financial impact (cash)'!G19+'Financial impact (cash)'!G28)*$C189*'Inputs and eligible population'!$J$112/60</f>
        <v>0</v>
      </c>
      <c r="H189" s="128">
        <f>('Financial impact (cash)'!H19+'Financial impact (cash)'!H28)*$C189*'Inputs and eligible population'!$J$112/60</f>
        <v>0</v>
      </c>
      <c r="I189" s="128">
        <f>('Financial impact (cash)'!I19+'Financial impact (cash)'!I28)*$C189*'Inputs and eligible population'!$J$112/60</f>
        <v>0</v>
      </c>
      <c r="J189" s="290"/>
      <c r="K189" s="716">
        <f>'Inputs and eligible population'!$N$108</f>
        <v>38.99</v>
      </c>
      <c r="L189" s="293">
        <f t="shared" si="118"/>
        <v>0</v>
      </c>
      <c r="M189" s="293">
        <f t="shared" si="113"/>
        <v>0</v>
      </c>
      <c r="N189" s="293">
        <f t="shared" si="114"/>
        <v>0</v>
      </c>
      <c r="O189" s="293">
        <f t="shared" si="115"/>
        <v>0</v>
      </c>
      <c r="P189" s="293">
        <f t="shared" si="116"/>
        <v>0</v>
      </c>
      <c r="Q189" s="293">
        <f t="shared" si="117"/>
        <v>0</v>
      </c>
      <c r="V189" s="133"/>
    </row>
    <row r="190" spans="1:22">
      <c r="A190" s="290"/>
      <c r="B190" s="351" t="s">
        <v>1085</v>
      </c>
      <c r="C190" s="677">
        <f>'Inputs and eligible population'!K111</f>
        <v>7.5</v>
      </c>
      <c r="D190" s="128">
        <f>('Financial impact (cash)'!D20+'Financial impact (cash)'!D29)*$C190*'Inputs and eligible population'!$K$112/60</f>
        <v>0</v>
      </c>
      <c r="E190" s="128">
        <f>('Financial impact (cash)'!E20+'Financial impact (cash)'!E29)*$C190*'Inputs and eligible population'!$K$112/60</f>
        <v>0</v>
      </c>
      <c r="F190" s="128">
        <f>('Financial impact (cash)'!F20+'Financial impact (cash)'!F29)*$C190*'Inputs and eligible population'!$K$112/60</f>
        <v>0</v>
      </c>
      <c r="G190" s="128">
        <f>('Financial impact (cash)'!G20+'Financial impact (cash)'!G29)*$C190*'Inputs and eligible population'!$K$112/60</f>
        <v>0</v>
      </c>
      <c r="H190" s="128">
        <f>('Financial impact (cash)'!H20+'Financial impact (cash)'!H29)*$C190*'Inputs and eligible population'!$K$112/60</f>
        <v>0</v>
      </c>
      <c r="I190" s="128">
        <f>('Financial impact (cash)'!I20+'Financial impact (cash)'!I29)*$C190*'Inputs and eligible population'!$K$112/60</f>
        <v>0</v>
      </c>
      <c r="J190" s="290"/>
      <c r="K190" s="716">
        <f>'Inputs and eligible population'!$N$108</f>
        <v>38.99</v>
      </c>
      <c r="L190" s="293">
        <f t="shared" si="118"/>
        <v>0</v>
      </c>
      <c r="M190" s="293">
        <f t="shared" si="113"/>
        <v>0</v>
      </c>
      <c r="N190" s="293">
        <f t="shared" si="114"/>
        <v>0</v>
      </c>
      <c r="O190" s="293">
        <f t="shared" si="115"/>
        <v>0</v>
      </c>
      <c r="P190" s="293">
        <f t="shared" si="116"/>
        <v>0</v>
      </c>
      <c r="Q190" s="293">
        <f t="shared" si="117"/>
        <v>0</v>
      </c>
      <c r="V190" s="133"/>
    </row>
    <row r="191" spans="1:22">
      <c r="A191" s="290"/>
      <c r="B191" s="283"/>
      <c r="C191" s="209"/>
      <c r="D191" s="187">
        <f>SUM(D185:D190)</f>
        <v>0</v>
      </c>
      <c r="E191" s="187">
        <f t="shared" ref="E191:I191" si="119">SUM(E185:E190)</f>
        <v>0</v>
      </c>
      <c r="F191" s="187">
        <f t="shared" si="119"/>
        <v>0</v>
      </c>
      <c r="G191" s="187">
        <f t="shared" si="119"/>
        <v>0</v>
      </c>
      <c r="H191" s="187">
        <f t="shared" si="119"/>
        <v>0</v>
      </c>
      <c r="I191" s="187">
        <f t="shared" si="119"/>
        <v>0</v>
      </c>
      <c r="J191" s="290"/>
      <c r="K191" s="290"/>
      <c r="L191" s="294">
        <f>SUM(L185:L190)</f>
        <v>0</v>
      </c>
      <c r="M191" s="294">
        <f t="shared" ref="M191:Q191" si="120">SUM(M185:M190)</f>
        <v>0</v>
      </c>
      <c r="N191" s="294">
        <f t="shared" si="120"/>
        <v>0</v>
      </c>
      <c r="O191" s="294">
        <f t="shared" si="120"/>
        <v>0</v>
      </c>
      <c r="P191" s="294">
        <f t="shared" si="120"/>
        <v>0</v>
      </c>
      <c r="Q191" s="294">
        <f t="shared" si="120"/>
        <v>0</v>
      </c>
      <c r="V191" s="133"/>
    </row>
    <row r="192" spans="1:22">
      <c r="A192" s="290"/>
      <c r="B192" s="306"/>
      <c r="C192" s="259"/>
      <c r="D192" s="285" t="s">
        <v>1129</v>
      </c>
      <c r="E192" s="187">
        <f>E191-$D$169</f>
        <v>0</v>
      </c>
      <c r="F192" s="187">
        <f>F191-$D$169</f>
        <v>0</v>
      </c>
      <c r="G192" s="187">
        <f>G191-$D$169</f>
        <v>0</v>
      </c>
      <c r="H192" s="187">
        <f>H191-$D$169</f>
        <v>0</v>
      </c>
      <c r="I192" s="187">
        <f>I191-$D$169</f>
        <v>0</v>
      </c>
      <c r="J192" s="290"/>
      <c r="K192" s="290"/>
      <c r="L192" s="573"/>
      <c r="M192" s="294">
        <f>M191-$L$191</f>
        <v>0</v>
      </c>
      <c r="N192" s="294">
        <f t="shared" ref="N192:Q192" si="121">N191-$L$191</f>
        <v>0</v>
      </c>
      <c r="O192" s="294">
        <f t="shared" si="121"/>
        <v>0</v>
      </c>
      <c r="P192" s="294">
        <f t="shared" si="121"/>
        <v>0</v>
      </c>
      <c r="Q192" s="294">
        <f t="shared" si="121"/>
        <v>0</v>
      </c>
      <c r="V192" s="133"/>
    </row>
    <row r="193" spans="1:40">
      <c r="A193" s="290"/>
      <c r="B193" s="329"/>
      <c r="C193" s="225"/>
      <c r="D193" s="225"/>
      <c r="E193" s="225"/>
      <c r="F193" s="225"/>
      <c r="G193" s="225"/>
      <c r="H193" s="225"/>
      <c r="I193" s="225"/>
      <c r="J193" s="290"/>
      <c r="K193" s="290"/>
      <c r="L193" s="225"/>
      <c r="M193" s="225"/>
      <c r="N193" s="225"/>
      <c r="O193" s="225"/>
      <c r="P193" s="225"/>
      <c r="Q193" s="225"/>
      <c r="V193" s="133"/>
    </row>
    <row r="194" spans="1:40">
      <c r="A194" s="290"/>
      <c r="B194" s="400" t="s">
        <v>1187</v>
      </c>
      <c r="C194" s="401"/>
      <c r="D194" s="401"/>
      <c r="E194" s="401"/>
      <c r="F194" s="401"/>
      <c r="G194" s="401"/>
      <c r="H194" s="401"/>
      <c r="I194" s="224"/>
      <c r="J194" s="225"/>
      <c r="K194" s="225"/>
      <c r="L194" s="434"/>
      <c r="M194" s="434"/>
      <c r="N194" s="434"/>
      <c r="O194" s="434"/>
      <c r="P194" s="434"/>
      <c r="Q194" s="434"/>
      <c r="V194" s="133"/>
    </row>
    <row r="195" spans="1:40" ht="43.5">
      <c r="A195" s="290"/>
      <c r="B195" s="279" t="s">
        <v>123</v>
      </c>
      <c r="C195" s="166" t="s">
        <v>1131</v>
      </c>
      <c r="D195" s="425" t="s">
        <v>730</v>
      </c>
      <c r="E195" s="258" t="s">
        <v>50</v>
      </c>
      <c r="F195" s="258" t="s">
        <v>51</v>
      </c>
      <c r="G195" s="165" t="s">
        <v>731</v>
      </c>
      <c r="H195" s="165" t="s">
        <v>732</v>
      </c>
      <c r="I195" s="258" t="s">
        <v>733</v>
      </c>
      <c r="J195" s="290"/>
      <c r="K195" s="715" t="s">
        <v>1045</v>
      </c>
      <c r="L195" s="425" t="s">
        <v>730</v>
      </c>
      <c r="M195" s="258" t="s">
        <v>50</v>
      </c>
      <c r="N195" s="258" t="s">
        <v>51</v>
      </c>
      <c r="O195" s="165" t="s">
        <v>731</v>
      </c>
      <c r="P195" s="165" t="s">
        <v>732</v>
      </c>
      <c r="Q195" s="258" t="s">
        <v>733</v>
      </c>
      <c r="V195" s="133"/>
    </row>
    <row r="196" spans="1:40">
      <c r="A196" s="290"/>
      <c r="B196" s="351" t="s">
        <v>1080</v>
      </c>
      <c r="C196" s="677">
        <f>'Inputs and eligible population'!F113</f>
        <v>7.5</v>
      </c>
      <c r="D196" s="128">
        <f>('Financial impact (cash)'!D15+'Financial impact (cash)'!D24)*$C196*'Inputs and eligible population'!$F$114/60</f>
        <v>0</v>
      </c>
      <c r="E196" s="128">
        <f>('Financial impact (cash)'!E15+'Financial impact (cash)'!E24)*$C196*'Inputs and eligible population'!$F$114/60</f>
        <v>0</v>
      </c>
      <c r="F196" s="128">
        <f>('Financial impact (cash)'!F15+'Financial impact (cash)'!F24)*$C196*'Inputs and eligible population'!$F$114/60</f>
        <v>0</v>
      </c>
      <c r="G196" s="128">
        <f>('Financial impact (cash)'!G15+'Financial impact (cash)'!G24)*$C196*'Inputs and eligible population'!$F$114/60</f>
        <v>0</v>
      </c>
      <c r="H196" s="128">
        <f>('Financial impact (cash)'!H15+'Financial impact (cash)'!H24)*$C196*'Inputs and eligible population'!$F$114/60</f>
        <v>0</v>
      </c>
      <c r="I196" s="128">
        <f>('Financial impact (cash)'!I15+'Financial impact (cash)'!I24)*$C196*'Inputs and eligible population'!$F$114/60</f>
        <v>0</v>
      </c>
      <c r="J196" s="290"/>
      <c r="K196" s="716">
        <f>'Inputs and eligible population'!$N$108</f>
        <v>38.99</v>
      </c>
      <c r="L196" s="293">
        <f>$K196*D196</f>
        <v>0</v>
      </c>
      <c r="M196" s="293">
        <f t="shared" ref="M196:M201" si="122">$K196*E196</f>
        <v>0</v>
      </c>
      <c r="N196" s="293">
        <f t="shared" ref="N196:N201" si="123">$K196*F196</f>
        <v>0</v>
      </c>
      <c r="O196" s="293">
        <f t="shared" ref="O196:O201" si="124">$K196*G196</f>
        <v>0</v>
      </c>
      <c r="P196" s="293">
        <f t="shared" ref="P196:P201" si="125">$K196*H196</f>
        <v>0</v>
      </c>
      <c r="Q196" s="293">
        <f t="shared" ref="Q196:Q201" si="126">$K196*I196</f>
        <v>0</v>
      </c>
      <c r="V196" s="133"/>
    </row>
    <row r="197" spans="1:40">
      <c r="A197" s="290"/>
      <c r="B197" s="351" t="s">
        <v>1081</v>
      </c>
      <c r="C197" s="677">
        <f>'Inputs and eligible population'!G113</f>
        <v>7.5</v>
      </c>
      <c r="D197" s="128">
        <f>('Financial impact (cash)'!D16+'Financial impact (cash)'!D25)*$C197*'Inputs and eligible population'!$G$114/60</f>
        <v>0</v>
      </c>
      <c r="E197" s="128">
        <f>('Financial impact (cash)'!E16+'Financial impact (cash)'!E25)*$C197*'Inputs and eligible population'!$G$114/60</f>
        <v>0</v>
      </c>
      <c r="F197" s="128">
        <f>('Financial impact (cash)'!F16+'Financial impact (cash)'!F25)*$C197*'Inputs and eligible population'!$G$114/60</f>
        <v>0</v>
      </c>
      <c r="G197" s="128">
        <f>('Financial impact (cash)'!G16+'Financial impact (cash)'!G25)*$C197*'Inputs and eligible population'!$G$114/60</f>
        <v>0</v>
      </c>
      <c r="H197" s="128">
        <f>('Financial impact (cash)'!H16+'Financial impact (cash)'!H25)*$C197*'Inputs and eligible population'!$G$114/60</f>
        <v>0</v>
      </c>
      <c r="I197" s="128">
        <f>('Financial impact (cash)'!I16+'Financial impact (cash)'!I25)*$C197*'Inputs and eligible population'!$G$114/60</f>
        <v>0</v>
      </c>
      <c r="J197" s="290"/>
      <c r="K197" s="716">
        <f>'Inputs and eligible population'!$N$108</f>
        <v>38.99</v>
      </c>
      <c r="L197" s="293">
        <f t="shared" ref="L197:L201" si="127">$K197*D197</f>
        <v>0</v>
      </c>
      <c r="M197" s="293">
        <f t="shared" si="122"/>
        <v>0</v>
      </c>
      <c r="N197" s="293">
        <f t="shared" si="123"/>
        <v>0</v>
      </c>
      <c r="O197" s="293">
        <f t="shared" si="124"/>
        <v>0</v>
      </c>
      <c r="P197" s="293">
        <f t="shared" si="125"/>
        <v>0</v>
      </c>
      <c r="Q197" s="293">
        <f t="shared" si="126"/>
        <v>0</v>
      </c>
      <c r="V197" s="133"/>
    </row>
    <row r="198" spans="1:40">
      <c r="A198" s="290"/>
      <c r="B198" s="351" t="s">
        <v>1082</v>
      </c>
      <c r="C198" s="677">
        <f>'Inputs and eligible population'!H113</f>
        <v>7.5</v>
      </c>
      <c r="D198" s="128">
        <f>('Financial impact (cash)'!D17+'Financial impact (cash)'!D26)*$C198*'Inputs and eligible population'!$H$114/60</f>
        <v>0</v>
      </c>
      <c r="E198" s="128">
        <f>('Financial impact (cash)'!E17+'Financial impact (cash)'!E26)*$C198*'Inputs and eligible population'!$H$114/60</f>
        <v>0</v>
      </c>
      <c r="F198" s="128">
        <f>('Financial impact (cash)'!F17+'Financial impact (cash)'!F26)*$C198*'Inputs and eligible population'!$H$114/60</f>
        <v>0</v>
      </c>
      <c r="G198" s="128">
        <f>('Financial impact (cash)'!G17+'Financial impact (cash)'!G26)*$C198*'Inputs and eligible population'!$H$114/60</f>
        <v>0</v>
      </c>
      <c r="H198" s="128">
        <f>('Financial impact (cash)'!H17+'Financial impact (cash)'!H26)*$C198*'Inputs and eligible population'!$H$114/60</f>
        <v>0</v>
      </c>
      <c r="I198" s="128">
        <f>('Financial impact (cash)'!I17+'Financial impact (cash)'!I26)*$C198*'Inputs and eligible population'!$H$114/60</f>
        <v>0</v>
      </c>
      <c r="J198" s="290"/>
      <c r="K198" s="716">
        <f>'Inputs and eligible population'!$N$108</f>
        <v>38.99</v>
      </c>
      <c r="L198" s="293">
        <f t="shared" si="127"/>
        <v>0</v>
      </c>
      <c r="M198" s="293">
        <f t="shared" si="122"/>
        <v>0</v>
      </c>
      <c r="N198" s="293">
        <f t="shared" si="123"/>
        <v>0</v>
      </c>
      <c r="O198" s="293">
        <f t="shared" si="124"/>
        <v>0</v>
      </c>
      <c r="P198" s="293">
        <f t="shared" si="125"/>
        <v>0</v>
      </c>
      <c r="Q198" s="293">
        <f t="shared" si="126"/>
        <v>0</v>
      </c>
      <c r="V198" s="133"/>
    </row>
    <row r="199" spans="1:40">
      <c r="A199" s="290"/>
      <c r="B199" s="351" t="s">
        <v>1083</v>
      </c>
      <c r="C199" s="677">
        <f>'Inputs and eligible population'!I113</f>
        <v>7.5</v>
      </c>
      <c r="D199" s="128">
        <f>('Financial impact (cash)'!D18+'Financial impact (cash)'!D27)*$C199*'Inputs and eligible population'!$I$114/60</f>
        <v>0</v>
      </c>
      <c r="E199" s="128">
        <f>('Financial impact (cash)'!E18+'Financial impact (cash)'!E27)*$C199*'Inputs and eligible population'!$I$114/60</f>
        <v>0</v>
      </c>
      <c r="F199" s="128">
        <f>('Financial impact (cash)'!F18+'Financial impact (cash)'!F27)*$C199*'Inputs and eligible population'!$I$114/60</f>
        <v>0</v>
      </c>
      <c r="G199" s="128">
        <f>('Financial impact (cash)'!G18+'Financial impact (cash)'!G27)*$C199*'Inputs and eligible population'!$I$114/60</f>
        <v>0</v>
      </c>
      <c r="H199" s="128">
        <f>('Financial impact (cash)'!H18+'Financial impact (cash)'!H27)*$C199*'Inputs and eligible population'!$I$114/60</f>
        <v>0</v>
      </c>
      <c r="I199" s="128">
        <f>('Financial impact (cash)'!I18+'Financial impact (cash)'!I27)*$C199*'Inputs and eligible population'!$I$114/60</f>
        <v>0</v>
      </c>
      <c r="J199" s="290"/>
      <c r="K199" s="716">
        <f>'Inputs and eligible population'!$N$108</f>
        <v>38.99</v>
      </c>
      <c r="L199" s="293">
        <f t="shared" si="127"/>
        <v>0</v>
      </c>
      <c r="M199" s="293">
        <f t="shared" si="122"/>
        <v>0</v>
      </c>
      <c r="N199" s="293">
        <f t="shared" si="123"/>
        <v>0</v>
      </c>
      <c r="O199" s="293">
        <f t="shared" si="124"/>
        <v>0</v>
      </c>
      <c r="P199" s="293">
        <f t="shared" si="125"/>
        <v>0</v>
      </c>
      <c r="Q199" s="293">
        <f t="shared" si="126"/>
        <v>0</v>
      </c>
      <c r="V199" s="133"/>
    </row>
    <row r="200" spans="1:40">
      <c r="A200" s="290"/>
      <c r="B200" s="351" t="s">
        <v>1084</v>
      </c>
      <c r="C200" s="677">
        <f>'Inputs and eligible population'!J113</f>
        <v>7.5</v>
      </c>
      <c r="D200" s="128">
        <f>('Financial impact (cash)'!D19+'Financial impact (cash)'!D28)*$C200*'Inputs and eligible population'!$J$114/60</f>
        <v>0</v>
      </c>
      <c r="E200" s="128">
        <f>('Financial impact (cash)'!E19+'Financial impact (cash)'!E28)*$C200*'Inputs and eligible population'!$J$114/60</f>
        <v>0</v>
      </c>
      <c r="F200" s="128">
        <f>('Financial impact (cash)'!F19+'Financial impact (cash)'!F28)*$C200*'Inputs and eligible population'!$J$114/60</f>
        <v>0</v>
      </c>
      <c r="G200" s="128">
        <f>('Financial impact (cash)'!G19+'Financial impact (cash)'!G28)*$C200*'Inputs and eligible population'!$J$114/60</f>
        <v>0</v>
      </c>
      <c r="H200" s="128">
        <f>('Financial impact (cash)'!H19+'Financial impact (cash)'!H28)*$C200*'Inputs and eligible population'!$J$114/60</f>
        <v>0</v>
      </c>
      <c r="I200" s="128">
        <f>('Financial impact (cash)'!I19+'Financial impact (cash)'!I28)*$C200*'Inputs and eligible population'!$J$114/60</f>
        <v>0</v>
      </c>
      <c r="J200" s="290"/>
      <c r="K200" s="716">
        <f>'Inputs and eligible population'!$N$108</f>
        <v>38.99</v>
      </c>
      <c r="L200" s="293">
        <f t="shared" si="127"/>
        <v>0</v>
      </c>
      <c r="M200" s="293">
        <f t="shared" si="122"/>
        <v>0</v>
      </c>
      <c r="N200" s="293">
        <f t="shared" si="123"/>
        <v>0</v>
      </c>
      <c r="O200" s="293">
        <f t="shared" si="124"/>
        <v>0</v>
      </c>
      <c r="P200" s="293">
        <f t="shared" si="125"/>
        <v>0</v>
      </c>
      <c r="Q200" s="293">
        <f t="shared" si="126"/>
        <v>0</v>
      </c>
      <c r="V200" s="133"/>
    </row>
    <row r="201" spans="1:40">
      <c r="A201" s="290"/>
      <c r="B201" s="351" t="s">
        <v>1085</v>
      </c>
      <c r="C201" s="677">
        <f>'Inputs and eligible population'!K113</f>
        <v>7.5</v>
      </c>
      <c r="D201" s="128">
        <f>('Financial impact (cash)'!D20+'Financial impact (cash)'!D29)*$C201*'Inputs and eligible population'!$K$114/60</f>
        <v>0</v>
      </c>
      <c r="E201" s="128">
        <f>('Financial impact (cash)'!E20+'Financial impact (cash)'!E29)*$C201*'Inputs and eligible population'!$K$114/60</f>
        <v>0</v>
      </c>
      <c r="F201" s="128">
        <f>('Financial impact (cash)'!F20+'Financial impact (cash)'!F29)*$C201*'Inputs and eligible population'!$K$114/60</f>
        <v>0</v>
      </c>
      <c r="G201" s="128">
        <f>('Financial impact (cash)'!G20+'Financial impact (cash)'!G29)*$C201*'Inputs and eligible population'!$K$114/60</f>
        <v>0</v>
      </c>
      <c r="H201" s="128">
        <f>('Financial impact (cash)'!H20+'Financial impact (cash)'!H29)*$C201*'Inputs and eligible population'!$K$114/60</f>
        <v>0</v>
      </c>
      <c r="I201" s="128">
        <f>('Financial impact (cash)'!I20+'Financial impact (cash)'!I29)*$C201*'Inputs and eligible population'!$K$114/60</f>
        <v>0</v>
      </c>
      <c r="J201" s="290"/>
      <c r="K201" s="716">
        <f>'Inputs and eligible population'!$N$108</f>
        <v>38.99</v>
      </c>
      <c r="L201" s="293">
        <f t="shared" si="127"/>
        <v>0</v>
      </c>
      <c r="M201" s="293">
        <f t="shared" si="122"/>
        <v>0</v>
      </c>
      <c r="N201" s="293">
        <f t="shared" si="123"/>
        <v>0</v>
      </c>
      <c r="O201" s="293">
        <f t="shared" si="124"/>
        <v>0</v>
      </c>
      <c r="P201" s="293">
        <f t="shared" si="125"/>
        <v>0</v>
      </c>
      <c r="Q201" s="293">
        <f t="shared" si="126"/>
        <v>0</v>
      </c>
      <c r="V201" s="133"/>
    </row>
    <row r="202" spans="1:40">
      <c r="A202" s="290"/>
      <c r="B202" s="283"/>
      <c r="C202" s="209"/>
      <c r="D202" s="187">
        <f>SUM(D196:D201)</f>
        <v>0</v>
      </c>
      <c r="E202" s="187">
        <f t="shared" ref="E202:I202" si="128">SUM(E196:E201)</f>
        <v>0</v>
      </c>
      <c r="F202" s="187">
        <f t="shared" si="128"/>
        <v>0</v>
      </c>
      <c r="G202" s="187">
        <f t="shared" si="128"/>
        <v>0</v>
      </c>
      <c r="H202" s="187">
        <f t="shared" si="128"/>
        <v>0</v>
      </c>
      <c r="I202" s="187">
        <f t="shared" si="128"/>
        <v>0</v>
      </c>
      <c r="J202" s="290"/>
      <c r="K202" s="290"/>
      <c r="L202" s="294">
        <f>SUM(L196:L201)</f>
        <v>0</v>
      </c>
      <c r="M202" s="294">
        <f t="shared" ref="M202:Q202" si="129">SUM(M196:M201)</f>
        <v>0</v>
      </c>
      <c r="N202" s="294">
        <f t="shared" si="129"/>
        <v>0</v>
      </c>
      <c r="O202" s="294">
        <f t="shared" si="129"/>
        <v>0</v>
      </c>
      <c r="P202" s="294">
        <f t="shared" si="129"/>
        <v>0</v>
      </c>
      <c r="Q202" s="294">
        <f t="shared" si="129"/>
        <v>0</v>
      </c>
      <c r="V202" s="133"/>
    </row>
    <row r="203" spans="1:40">
      <c r="A203" s="290"/>
      <c r="B203" s="306"/>
      <c r="C203" s="259"/>
      <c r="D203" s="285" t="s">
        <v>1130</v>
      </c>
      <c r="E203" s="187">
        <f>E202-$D$169</f>
        <v>0</v>
      </c>
      <c r="F203" s="187">
        <f>F202-$D$169</f>
        <v>0</v>
      </c>
      <c r="G203" s="187">
        <f>G202-$D$169</f>
        <v>0</v>
      </c>
      <c r="H203" s="187">
        <f>H202-$D$169</f>
        <v>0</v>
      </c>
      <c r="I203" s="187">
        <f>I202-$D$169</f>
        <v>0</v>
      </c>
      <c r="J203" s="290"/>
      <c r="K203" s="290"/>
      <c r="L203" s="573"/>
      <c r="M203" s="294">
        <f>M202-$L$202</f>
        <v>0</v>
      </c>
      <c r="N203" s="294">
        <f t="shared" ref="N203:Q203" si="130">N202-$L$202</f>
        <v>0</v>
      </c>
      <c r="O203" s="294">
        <f t="shared" si="130"/>
        <v>0</v>
      </c>
      <c r="P203" s="294">
        <f t="shared" si="130"/>
        <v>0</v>
      </c>
      <c r="Q203" s="294">
        <f t="shared" si="130"/>
        <v>0</v>
      </c>
      <c r="V203" s="133"/>
    </row>
    <row r="204" spans="1:40">
      <c r="A204" s="290"/>
      <c r="B204" s="329"/>
      <c r="C204" s="225"/>
      <c r="D204" s="225"/>
      <c r="E204" s="225"/>
      <c r="F204" s="225"/>
      <c r="G204" s="225"/>
      <c r="H204" s="225"/>
      <c r="I204" s="225"/>
      <c r="J204" s="290"/>
      <c r="K204" s="290"/>
      <c r="L204" s="225"/>
      <c r="M204" s="225"/>
      <c r="N204" s="225"/>
      <c r="O204" s="225"/>
      <c r="P204" s="225"/>
      <c r="Q204" s="225"/>
      <c r="V204" s="133"/>
    </row>
    <row r="205" spans="1:40">
      <c r="A205" s="290"/>
      <c r="B205" s="400" t="s">
        <v>1188</v>
      </c>
      <c r="C205" s="401"/>
      <c r="D205" s="401"/>
      <c r="E205" s="401"/>
      <c r="F205" s="401"/>
      <c r="G205" s="401"/>
      <c r="H205" s="401"/>
      <c r="I205" s="224"/>
      <c r="J205" s="290"/>
      <c r="K205" s="290"/>
      <c r="L205" s="434"/>
      <c r="M205" s="434"/>
      <c r="N205" s="434"/>
      <c r="O205" s="434"/>
      <c r="P205" s="434"/>
      <c r="Q205" s="434"/>
      <c r="R205" s="133"/>
      <c r="S205" s="133"/>
      <c r="T205" s="133"/>
      <c r="U205" s="133"/>
      <c r="V205" s="133"/>
      <c r="W205" s="133"/>
      <c r="X205" s="133"/>
      <c r="Y205" s="133"/>
      <c r="Z205" s="133"/>
      <c r="AJ205" s="286"/>
      <c r="AK205" s="286"/>
      <c r="AL205" s="286"/>
      <c r="AM205" s="286"/>
      <c r="AN205" s="286"/>
    </row>
    <row r="206" spans="1:40" ht="43.5">
      <c r="A206" s="290"/>
      <c r="B206" s="279" t="s">
        <v>123</v>
      </c>
      <c r="C206" s="166" t="s">
        <v>1132</v>
      </c>
      <c r="D206" s="425" t="s">
        <v>730</v>
      </c>
      <c r="E206" s="258" t="s">
        <v>50</v>
      </c>
      <c r="F206" s="258" t="s">
        <v>51</v>
      </c>
      <c r="G206" s="165" t="s">
        <v>731</v>
      </c>
      <c r="H206" s="165" t="s">
        <v>732</v>
      </c>
      <c r="I206" s="258" t="s">
        <v>733</v>
      </c>
      <c r="J206" s="290"/>
      <c r="K206" s="715" t="s">
        <v>1045</v>
      </c>
      <c r="L206" s="425" t="s">
        <v>730</v>
      </c>
      <c r="M206" s="258" t="s">
        <v>50</v>
      </c>
      <c r="N206" s="258" t="s">
        <v>51</v>
      </c>
      <c r="O206" s="165" t="s">
        <v>731</v>
      </c>
      <c r="P206" s="165" t="s">
        <v>732</v>
      </c>
      <c r="Q206" s="258" t="s">
        <v>733</v>
      </c>
      <c r="R206" s="133"/>
      <c r="S206" s="133"/>
      <c r="T206" s="133"/>
      <c r="U206" s="133"/>
      <c r="V206" s="133"/>
      <c r="W206" s="133"/>
      <c r="X206" s="133"/>
      <c r="Y206" s="133"/>
      <c r="Z206" s="133"/>
      <c r="AJ206" s="286"/>
      <c r="AK206" s="286"/>
      <c r="AL206" s="286"/>
      <c r="AM206" s="286"/>
      <c r="AN206" s="286"/>
    </row>
    <row r="207" spans="1:40">
      <c r="A207" s="290"/>
      <c r="B207" s="351" t="s">
        <v>1080</v>
      </c>
      <c r="C207" s="677">
        <f>'Inputs and eligible population'!F115</f>
        <v>7.5</v>
      </c>
      <c r="D207" s="128">
        <f>('Financial impact (cash)'!D15+'Financial impact (cash)'!D24)*$C207*'Inputs and eligible population'!$F$116/60</f>
        <v>0</v>
      </c>
      <c r="E207" s="128">
        <f>('Financial impact (cash)'!E15+'Financial impact (cash)'!E24)*$C207*'Inputs and eligible population'!$F$116/60</f>
        <v>0</v>
      </c>
      <c r="F207" s="128">
        <f>('Financial impact (cash)'!F15+'Financial impact (cash)'!F24)*$C207*'Inputs and eligible population'!$F$116/60</f>
        <v>0</v>
      </c>
      <c r="G207" s="128">
        <f>('Financial impact (cash)'!G15+'Financial impact (cash)'!G24)*$C207*'Inputs and eligible population'!$F$116/60</f>
        <v>0</v>
      </c>
      <c r="H207" s="128">
        <f>('Financial impact (cash)'!H15+'Financial impact (cash)'!H24)*$C207*'Inputs and eligible population'!$F$116/60</f>
        <v>0</v>
      </c>
      <c r="I207" s="128">
        <f>('Financial impact (cash)'!I15+'Financial impact (cash)'!I24)*$C207*'Inputs and eligible population'!$F$116/60</f>
        <v>0</v>
      </c>
      <c r="J207" s="290"/>
      <c r="K207" s="716">
        <f>'Inputs and eligible population'!$N$116</f>
        <v>31.51</v>
      </c>
      <c r="L207" s="293">
        <f>$K207*D207</f>
        <v>0</v>
      </c>
      <c r="M207" s="293">
        <f t="shared" ref="M207:M212" si="131">$K207*E207</f>
        <v>0</v>
      </c>
      <c r="N207" s="293">
        <f t="shared" ref="N207:N212" si="132">$K207*F207</f>
        <v>0</v>
      </c>
      <c r="O207" s="293">
        <f t="shared" ref="O207:O212" si="133">$K207*G207</f>
        <v>0</v>
      </c>
      <c r="P207" s="293">
        <f t="shared" ref="P207:P212" si="134">$K207*H207</f>
        <v>0</v>
      </c>
      <c r="Q207" s="293">
        <f t="shared" ref="Q207:Q212" si="135">$K207*I207</f>
        <v>0</v>
      </c>
      <c r="R207" s="133"/>
      <c r="S207" s="133"/>
      <c r="T207" s="133"/>
      <c r="U207" s="133"/>
      <c r="V207" s="133"/>
      <c r="W207" s="133"/>
      <c r="X207" s="133"/>
      <c r="Y207" s="133"/>
      <c r="Z207" s="133"/>
      <c r="AJ207" s="286"/>
      <c r="AK207" s="286"/>
      <c r="AL207" s="286"/>
      <c r="AM207" s="286"/>
      <c r="AN207" s="286"/>
    </row>
    <row r="208" spans="1:40">
      <c r="A208" s="290"/>
      <c r="B208" s="351" t="s">
        <v>1081</v>
      </c>
      <c r="C208" s="677">
        <f>'Inputs and eligible population'!G115</f>
        <v>7.5</v>
      </c>
      <c r="D208" s="128">
        <f>('Financial impact (cash)'!D16+'Financial impact (cash)'!D25)*$C208*'Inputs and eligible population'!$G$116/60</f>
        <v>0</v>
      </c>
      <c r="E208" s="128">
        <f>('Financial impact (cash)'!E16+'Financial impact (cash)'!E25)*$C208*'Inputs and eligible population'!$G$116/60</f>
        <v>0</v>
      </c>
      <c r="F208" s="128">
        <f>('Financial impact (cash)'!F16+'Financial impact (cash)'!F25)*$C208*'Inputs and eligible population'!$G$116/60</f>
        <v>0</v>
      </c>
      <c r="G208" s="128">
        <f>('Financial impact (cash)'!G16+'Financial impact (cash)'!G25)*$C208*'Inputs and eligible population'!$G$116/60</f>
        <v>0</v>
      </c>
      <c r="H208" s="128">
        <f>('Financial impact (cash)'!H16+'Financial impact (cash)'!H25)*$C208*'Inputs and eligible population'!$G$116/60</f>
        <v>0</v>
      </c>
      <c r="I208" s="128">
        <f>('Financial impact (cash)'!I16+'Financial impact (cash)'!I25)*$C208*'Inputs and eligible population'!$G$116/60</f>
        <v>0</v>
      </c>
      <c r="J208" s="290"/>
      <c r="K208" s="716">
        <f>'Inputs and eligible population'!$N$116</f>
        <v>31.51</v>
      </c>
      <c r="L208" s="293">
        <f t="shared" ref="L208:L212" si="136">$K208*D208</f>
        <v>0</v>
      </c>
      <c r="M208" s="293">
        <f t="shared" si="131"/>
        <v>0</v>
      </c>
      <c r="N208" s="293">
        <f t="shared" si="132"/>
        <v>0</v>
      </c>
      <c r="O208" s="293">
        <f t="shared" si="133"/>
        <v>0</v>
      </c>
      <c r="P208" s="293">
        <f t="shared" si="134"/>
        <v>0</v>
      </c>
      <c r="Q208" s="293">
        <f t="shared" si="135"/>
        <v>0</v>
      </c>
      <c r="R208" s="133"/>
      <c r="S208" s="133"/>
      <c r="T208" s="133"/>
      <c r="U208" s="133"/>
      <c r="V208" s="133"/>
      <c r="W208" s="133"/>
      <c r="X208" s="133"/>
      <c r="Y208" s="133"/>
      <c r="Z208" s="133"/>
      <c r="AJ208" s="286"/>
      <c r="AK208" s="286"/>
      <c r="AL208" s="286"/>
      <c r="AM208" s="286"/>
      <c r="AN208" s="286"/>
    </row>
    <row r="209" spans="1:40">
      <c r="A209" s="290"/>
      <c r="B209" s="351" t="s">
        <v>1082</v>
      </c>
      <c r="C209" s="677">
        <f>'Inputs and eligible population'!H115</f>
        <v>7.5</v>
      </c>
      <c r="D209" s="128">
        <f>('Financial impact (cash)'!D17+'Financial impact (cash)'!D26)*$C209*'Inputs and eligible population'!$H$116/60</f>
        <v>0</v>
      </c>
      <c r="E209" s="128">
        <f>('Financial impact (cash)'!E17+'Financial impact (cash)'!E26)*$C209*'Inputs and eligible population'!$H$116/60</f>
        <v>0</v>
      </c>
      <c r="F209" s="128">
        <f>('Financial impact (cash)'!F17+'Financial impact (cash)'!F26)*$C209*'Inputs and eligible population'!$H$116/60</f>
        <v>0</v>
      </c>
      <c r="G209" s="128">
        <f>('Financial impact (cash)'!G17+'Financial impact (cash)'!G26)*$C209*'Inputs and eligible population'!$H$116/60</f>
        <v>0</v>
      </c>
      <c r="H209" s="128">
        <f>('Financial impact (cash)'!H17+'Financial impact (cash)'!H26)*$C209*'Inputs and eligible population'!$H$116/60</f>
        <v>0</v>
      </c>
      <c r="I209" s="128">
        <f>('Financial impact (cash)'!I17+'Financial impact (cash)'!I26)*$C209*'Inputs and eligible population'!$H$116/60</f>
        <v>0</v>
      </c>
      <c r="J209" s="290"/>
      <c r="K209" s="716">
        <f>'Inputs and eligible population'!$N$116</f>
        <v>31.51</v>
      </c>
      <c r="L209" s="293">
        <f t="shared" si="136"/>
        <v>0</v>
      </c>
      <c r="M209" s="293">
        <f t="shared" si="131"/>
        <v>0</v>
      </c>
      <c r="N209" s="293">
        <f t="shared" si="132"/>
        <v>0</v>
      </c>
      <c r="O209" s="293">
        <f t="shared" si="133"/>
        <v>0</v>
      </c>
      <c r="P209" s="293">
        <f t="shared" si="134"/>
        <v>0</v>
      </c>
      <c r="Q209" s="293">
        <f t="shared" si="135"/>
        <v>0</v>
      </c>
      <c r="R209" s="133"/>
      <c r="S209" s="133"/>
      <c r="T209" s="133"/>
      <c r="U209" s="133"/>
      <c r="V209" s="133"/>
      <c r="W209" s="133"/>
      <c r="X209" s="133"/>
      <c r="Y209" s="133"/>
      <c r="Z209" s="133"/>
      <c r="AJ209" s="286"/>
      <c r="AK209" s="286"/>
      <c r="AL209" s="286"/>
      <c r="AM209" s="286"/>
      <c r="AN209" s="286"/>
    </row>
    <row r="210" spans="1:40">
      <c r="A210" s="290"/>
      <c r="B210" s="351" t="s">
        <v>1083</v>
      </c>
      <c r="C210" s="677">
        <f>'Inputs and eligible population'!I115</f>
        <v>7.5</v>
      </c>
      <c r="D210" s="128">
        <f>('Financial impact (cash)'!D18+'Financial impact (cash)'!D27)*$C210*'Inputs and eligible population'!$I$116/60</f>
        <v>0</v>
      </c>
      <c r="E210" s="128">
        <f>('Financial impact (cash)'!E18+'Financial impact (cash)'!E27)*$C210*'Inputs and eligible population'!$I$116/60</f>
        <v>0</v>
      </c>
      <c r="F210" s="128">
        <f>('Financial impact (cash)'!F18+'Financial impact (cash)'!F27)*$C210*'Inputs and eligible population'!$I$116/60</f>
        <v>0</v>
      </c>
      <c r="G210" s="128">
        <f>('Financial impact (cash)'!G18+'Financial impact (cash)'!G27)*$C210*'Inputs and eligible population'!$I$116/60</f>
        <v>0</v>
      </c>
      <c r="H210" s="128">
        <f>('Financial impact (cash)'!H18+'Financial impact (cash)'!H27)*$C210*'Inputs and eligible population'!$I$116/60</f>
        <v>0</v>
      </c>
      <c r="I210" s="128">
        <f>('Financial impact (cash)'!I18+'Financial impact (cash)'!I27)*$C210*'Inputs and eligible population'!$I$116/60</f>
        <v>0</v>
      </c>
      <c r="J210" s="290"/>
      <c r="K210" s="716">
        <f>'Inputs and eligible population'!$N$116</f>
        <v>31.51</v>
      </c>
      <c r="L210" s="293">
        <f t="shared" si="136"/>
        <v>0</v>
      </c>
      <c r="M210" s="293">
        <f t="shared" si="131"/>
        <v>0</v>
      </c>
      <c r="N210" s="293">
        <f t="shared" si="132"/>
        <v>0</v>
      </c>
      <c r="O210" s="293">
        <f t="shared" si="133"/>
        <v>0</v>
      </c>
      <c r="P210" s="293">
        <f t="shared" si="134"/>
        <v>0</v>
      </c>
      <c r="Q210" s="293">
        <f t="shared" si="135"/>
        <v>0</v>
      </c>
      <c r="R210" s="133"/>
      <c r="S210" s="133"/>
      <c r="T210" s="133"/>
      <c r="U210" s="133"/>
      <c r="V210" s="133"/>
      <c r="W210" s="133"/>
      <c r="X210" s="133"/>
      <c r="Y210" s="133"/>
      <c r="Z210" s="133"/>
      <c r="AJ210" s="286"/>
      <c r="AK210" s="286"/>
      <c r="AL210" s="286"/>
      <c r="AM210" s="286"/>
      <c r="AN210" s="286"/>
    </row>
    <row r="211" spans="1:40">
      <c r="A211" s="290"/>
      <c r="B211" s="351" t="s">
        <v>1084</v>
      </c>
      <c r="C211" s="677">
        <f>'Inputs and eligible population'!J115</f>
        <v>7.5</v>
      </c>
      <c r="D211" s="128">
        <f>('Financial impact (cash)'!D19+'Financial impact (cash)'!D28)*$C211*'Inputs and eligible population'!$J$116/60</f>
        <v>0</v>
      </c>
      <c r="E211" s="128">
        <f>('Financial impact (cash)'!E19+'Financial impact (cash)'!E28)*$C211*'Inputs and eligible population'!$J$116/60</f>
        <v>0</v>
      </c>
      <c r="F211" s="128">
        <f>('Financial impact (cash)'!F19+'Financial impact (cash)'!F28)*$C211*'Inputs and eligible population'!$J$116/60</f>
        <v>0</v>
      </c>
      <c r="G211" s="128">
        <f>('Financial impact (cash)'!G19+'Financial impact (cash)'!G28)*$C211*'Inputs and eligible population'!$J$116/60</f>
        <v>0</v>
      </c>
      <c r="H211" s="128">
        <f>('Financial impact (cash)'!H19+'Financial impact (cash)'!H28)*$C211*'Inputs and eligible population'!$J$116/60</f>
        <v>0</v>
      </c>
      <c r="I211" s="128">
        <f>('Financial impact (cash)'!I19+'Financial impact (cash)'!I28)*$C211*'Inputs and eligible population'!$J$116/60</f>
        <v>0</v>
      </c>
      <c r="J211" s="290"/>
      <c r="K211" s="716">
        <f>'Inputs and eligible population'!$N$116</f>
        <v>31.51</v>
      </c>
      <c r="L211" s="293">
        <f t="shared" si="136"/>
        <v>0</v>
      </c>
      <c r="M211" s="293">
        <f t="shared" si="131"/>
        <v>0</v>
      </c>
      <c r="N211" s="293">
        <f t="shared" si="132"/>
        <v>0</v>
      </c>
      <c r="O211" s="293">
        <f t="shared" si="133"/>
        <v>0</v>
      </c>
      <c r="P211" s="293">
        <f t="shared" si="134"/>
        <v>0</v>
      </c>
      <c r="Q211" s="293">
        <f t="shared" si="135"/>
        <v>0</v>
      </c>
      <c r="R211" s="133"/>
      <c r="S211" s="133"/>
      <c r="T211" s="133"/>
      <c r="U211" s="133"/>
      <c r="V211" s="133"/>
      <c r="W211" s="133"/>
      <c r="X211" s="133"/>
      <c r="Y211" s="133"/>
      <c r="Z211" s="133"/>
      <c r="AJ211" s="286"/>
      <c r="AK211" s="286"/>
      <c r="AL211" s="286"/>
      <c r="AM211" s="286"/>
      <c r="AN211" s="286"/>
    </row>
    <row r="212" spans="1:40">
      <c r="A212" s="290"/>
      <c r="B212" s="351" t="s">
        <v>1085</v>
      </c>
      <c r="C212" s="677">
        <f>'Inputs and eligible population'!K115</f>
        <v>7.5</v>
      </c>
      <c r="D212" s="128">
        <f>('Financial impact (cash)'!D20+'Financial impact (cash)'!D29)*$C212*'Inputs and eligible population'!$K$116/60</f>
        <v>0</v>
      </c>
      <c r="E212" s="128">
        <f>('Financial impact (cash)'!E20+'Financial impact (cash)'!E29)*$C212*'Inputs and eligible population'!$K$116/60</f>
        <v>0</v>
      </c>
      <c r="F212" s="128">
        <f>('Financial impact (cash)'!F20+'Financial impact (cash)'!F29)*$C212*'Inputs and eligible population'!$K$116/60</f>
        <v>0</v>
      </c>
      <c r="G212" s="128">
        <f>('Financial impact (cash)'!G20+'Financial impact (cash)'!G29)*$C212*'Inputs and eligible population'!$K$116/60</f>
        <v>0</v>
      </c>
      <c r="H212" s="128">
        <f>('Financial impact (cash)'!H20+'Financial impact (cash)'!H29)*$C212*'Inputs and eligible population'!$K$116/60</f>
        <v>0</v>
      </c>
      <c r="I212" s="128">
        <f>('Financial impact (cash)'!I20+'Financial impact (cash)'!I29)*$C212*'Inputs and eligible population'!$K$116/60</f>
        <v>0</v>
      </c>
      <c r="J212" s="290"/>
      <c r="K212" s="716">
        <f>'Inputs and eligible population'!$N$116</f>
        <v>31.51</v>
      </c>
      <c r="L212" s="293">
        <f t="shared" si="136"/>
        <v>0</v>
      </c>
      <c r="M212" s="293">
        <f t="shared" si="131"/>
        <v>0</v>
      </c>
      <c r="N212" s="293">
        <f t="shared" si="132"/>
        <v>0</v>
      </c>
      <c r="O212" s="293">
        <f t="shared" si="133"/>
        <v>0</v>
      </c>
      <c r="P212" s="293">
        <f t="shared" si="134"/>
        <v>0</v>
      </c>
      <c r="Q212" s="293">
        <f t="shared" si="135"/>
        <v>0</v>
      </c>
      <c r="R212" s="133"/>
      <c r="S212" s="133"/>
      <c r="T212" s="133"/>
      <c r="U212" s="133"/>
      <c r="V212" s="133"/>
      <c r="W212" s="133"/>
      <c r="X212" s="133"/>
      <c r="Y212" s="133"/>
      <c r="Z212" s="133"/>
      <c r="AJ212" s="286"/>
      <c r="AK212" s="286"/>
      <c r="AL212" s="286"/>
      <c r="AM212" s="286"/>
      <c r="AN212" s="286"/>
    </row>
    <row r="213" spans="1:40">
      <c r="A213" s="290"/>
      <c r="B213" s="283"/>
      <c r="C213" s="209"/>
      <c r="D213" s="187">
        <f>SUM(D207:D212)</f>
        <v>0</v>
      </c>
      <c r="E213" s="187">
        <f t="shared" ref="E213:I213" si="137">SUM(E207:E212)</f>
        <v>0</v>
      </c>
      <c r="F213" s="187">
        <f t="shared" si="137"/>
        <v>0</v>
      </c>
      <c r="G213" s="187">
        <f t="shared" si="137"/>
        <v>0</v>
      </c>
      <c r="H213" s="187">
        <f t="shared" si="137"/>
        <v>0</v>
      </c>
      <c r="I213" s="187">
        <f t="shared" si="137"/>
        <v>0</v>
      </c>
      <c r="J213" s="290"/>
      <c r="K213" s="290"/>
      <c r="L213" s="294">
        <f>SUM(L207:L212)</f>
        <v>0</v>
      </c>
      <c r="M213" s="294">
        <f t="shared" ref="M213:Q213" si="138">SUM(M207:M212)</f>
        <v>0</v>
      </c>
      <c r="N213" s="294">
        <f t="shared" si="138"/>
        <v>0</v>
      </c>
      <c r="O213" s="294">
        <f t="shared" si="138"/>
        <v>0</v>
      </c>
      <c r="P213" s="294">
        <f t="shared" si="138"/>
        <v>0</v>
      </c>
      <c r="Q213" s="294">
        <f t="shared" si="138"/>
        <v>0</v>
      </c>
      <c r="R213" s="133"/>
      <c r="S213" s="133"/>
      <c r="T213" s="133"/>
      <c r="U213" s="133"/>
      <c r="V213" s="133"/>
      <c r="W213" s="133"/>
      <c r="X213" s="133"/>
      <c r="Y213" s="133"/>
      <c r="Z213" s="133"/>
      <c r="AJ213" s="286"/>
      <c r="AK213" s="286"/>
      <c r="AL213" s="286"/>
      <c r="AM213" s="286"/>
      <c r="AN213" s="286"/>
    </row>
    <row r="214" spans="1:40">
      <c r="A214" s="290"/>
      <c r="B214" s="306"/>
      <c r="C214" s="259"/>
      <c r="D214" s="285" t="s">
        <v>1133</v>
      </c>
      <c r="E214" s="187">
        <f>E213-$D$213</f>
        <v>0</v>
      </c>
      <c r="F214" s="187">
        <f>F213-$D$213</f>
        <v>0</v>
      </c>
      <c r="G214" s="187">
        <f>G213-$D$213</f>
        <v>0</v>
      </c>
      <c r="H214" s="187">
        <f>H213-$D$213</f>
        <v>0</v>
      </c>
      <c r="I214" s="187">
        <f>I213-$D$213</f>
        <v>0</v>
      </c>
      <c r="J214" s="290"/>
      <c r="K214" s="290"/>
      <c r="L214" s="573"/>
      <c r="M214" s="294">
        <f>M213-$L$213</f>
        <v>0</v>
      </c>
      <c r="N214" s="294">
        <f>N213-$L$213</f>
        <v>0</v>
      </c>
      <c r="O214" s="294">
        <f>O213-$L$213</f>
        <v>0</v>
      </c>
      <c r="P214" s="294">
        <f>P213-$L$213</f>
        <v>0</v>
      </c>
      <c r="Q214" s="294">
        <f>Q213-$L$213</f>
        <v>0</v>
      </c>
      <c r="V214" s="133"/>
    </row>
    <row r="215" spans="1:40">
      <c r="A215" s="290"/>
      <c r="B215" s="329"/>
      <c r="C215" s="22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V215" s="133"/>
    </row>
    <row r="216" spans="1:40">
      <c r="A216" s="291"/>
      <c r="B216" s="330" t="s">
        <v>101</v>
      </c>
      <c r="C216" s="316"/>
      <c r="D216" s="317"/>
      <c r="E216" s="318"/>
      <c r="F216" s="319"/>
      <c r="G216" s="319"/>
      <c r="H216" s="319"/>
      <c r="I216" s="435"/>
      <c r="J216" s="441"/>
      <c r="K216" s="291"/>
      <c r="L216" s="291"/>
      <c r="M216" s="291"/>
      <c r="N216" s="291"/>
      <c r="O216" s="291"/>
      <c r="P216" s="291"/>
      <c r="Q216" s="291"/>
      <c r="R216" s="133"/>
      <c r="S216" s="133"/>
      <c r="T216" s="133"/>
      <c r="U216" s="133"/>
      <c r="V216" s="133"/>
      <c r="W216" s="133"/>
      <c r="X216" s="133"/>
      <c r="Y216" s="133"/>
      <c r="Z216" s="133"/>
      <c r="AJ216" s="286"/>
      <c r="AK216" s="286"/>
      <c r="AL216" s="286"/>
      <c r="AM216" s="286"/>
      <c r="AN216" s="286"/>
    </row>
    <row r="217" spans="1:40">
      <c r="A217" s="291"/>
      <c r="B217" s="402" t="s">
        <v>765</v>
      </c>
      <c r="C217" s="403"/>
      <c r="D217" s="403"/>
      <c r="E217" s="403"/>
      <c r="F217" s="403"/>
      <c r="G217" s="403"/>
      <c r="H217" s="403"/>
      <c r="I217" s="226"/>
      <c r="J217" s="439"/>
      <c r="K217" s="439"/>
      <c r="L217" s="440"/>
      <c r="M217" s="440"/>
      <c r="N217" s="440"/>
      <c r="O217" s="440"/>
      <c r="P217" s="440"/>
      <c r="Q217" s="440"/>
      <c r="R217" s="133"/>
      <c r="S217" s="133"/>
      <c r="T217" s="133"/>
      <c r="U217" s="133"/>
      <c r="V217" s="133"/>
      <c r="W217" s="133"/>
      <c r="X217" s="133"/>
      <c r="Y217" s="133"/>
      <c r="Z217" s="133"/>
      <c r="AJ217" s="286"/>
      <c r="AK217" s="286"/>
      <c r="AL217" s="286"/>
      <c r="AM217" s="286"/>
      <c r="AN217" s="286"/>
    </row>
    <row r="218" spans="1:40" ht="43.5">
      <c r="A218" s="291"/>
      <c r="B218" s="279" t="s">
        <v>123</v>
      </c>
      <c r="C218" s="211"/>
      <c r="D218" s="425" t="s">
        <v>730</v>
      </c>
      <c r="E218" s="258" t="s">
        <v>50</v>
      </c>
      <c r="F218" s="258" t="s">
        <v>51</v>
      </c>
      <c r="G218" s="165" t="s">
        <v>731</v>
      </c>
      <c r="H218" s="165" t="s">
        <v>732</v>
      </c>
      <c r="I218" s="258" t="s">
        <v>733</v>
      </c>
      <c r="J218" s="291"/>
      <c r="K218" s="291"/>
      <c r="L218" s="425" t="s">
        <v>730</v>
      </c>
      <c r="M218" s="258" t="s">
        <v>50</v>
      </c>
      <c r="N218" s="258" t="s">
        <v>51</v>
      </c>
      <c r="O218" s="165" t="s">
        <v>731</v>
      </c>
      <c r="P218" s="165" t="s">
        <v>732</v>
      </c>
      <c r="Q218" s="258" t="s">
        <v>733</v>
      </c>
      <c r="R218" s="133"/>
      <c r="S218" s="133"/>
      <c r="T218" s="133"/>
      <c r="U218" s="133"/>
      <c r="V218" s="133"/>
      <c r="W218" s="133"/>
      <c r="X218" s="133"/>
      <c r="Y218" s="133"/>
      <c r="Z218" s="133"/>
      <c r="AJ218" s="286"/>
      <c r="AK218" s="286"/>
      <c r="AL218" s="286"/>
      <c r="AM218" s="286"/>
      <c r="AN218" s="286"/>
    </row>
    <row r="219" spans="1:40">
      <c r="A219" s="291"/>
      <c r="B219" s="253" t="s">
        <v>1144</v>
      </c>
      <c r="C219" s="168"/>
      <c r="D219" s="128">
        <f>('Unit costs'!$C71*('Financial impact (cash)'!D$15+'Financial impact (cash)'!D$24))+('Unit costs'!$D71*('Financial impact (cash)'!D$16+'Financial impact (cash)'!D$25))+('Unit costs'!$E71*('Financial impact (cash)'!D$17+'Financial impact (cash)'!D$26))+('Unit costs'!$F71*('Financial impact (cash)'!D$18+'Financial impact (cash)'!D$27))+('Unit costs'!$G71*('Financial impact (cash)'!D$19+'Financial impact (cash)'!D$28))+('Unit costs'!$H71*('Financial impact (cash)'!D$20+'Financial impact (cash)'!D$29))</f>
        <v>3770.1256172290073</v>
      </c>
      <c r="E219" s="128">
        <f>('Unit costs'!$C71*('Financial impact (cash)'!E$15+'Financial impact (cash)'!E$24))+('Unit costs'!$D71*('Financial impact (cash)'!E$16+'Financial impact (cash)'!E$25))+('Unit costs'!$E71*('Financial impact (cash)'!E$17+'Financial impact (cash)'!E$26))+('Unit costs'!$F71*('Financial impact (cash)'!E$18+'Financial impact (cash)'!E$27))+('Unit costs'!$G71*('Financial impact (cash)'!E$19+'Financial impact (cash)'!E$28))+('Unit costs'!$H71*('Financial impact (cash)'!E$20+'Financial impact (cash)'!E$29))</f>
        <v>3635.7010292298232</v>
      </c>
      <c r="F219" s="128">
        <f>('Unit costs'!$C71*('Financial impact (cash)'!F$15+'Financial impact (cash)'!F$24))+('Unit costs'!$D71*('Financial impact (cash)'!F$16+'Financial impact (cash)'!F$25))+('Unit costs'!$E71*('Financial impact (cash)'!F$17+'Financial impact (cash)'!F$26))+('Unit costs'!$F71*('Financial impact (cash)'!F$18+'Financial impact (cash)'!F$27))+('Unit costs'!$G71*('Financial impact (cash)'!F$19+'Financial impact (cash)'!F$28))+('Unit costs'!$H71*('Financial impact (cash)'!F$20+'Financial impact (cash)'!F$29))</f>
        <v>3463.8487042773759</v>
      </c>
      <c r="G219" s="128">
        <f>('Unit costs'!$C71*('Financial impact (cash)'!G$15+'Financial impact (cash)'!G$24))+('Unit costs'!$D71*('Financial impact (cash)'!G$16+'Financial impact (cash)'!G$25))+('Unit costs'!$E71*('Financial impact (cash)'!G$17+'Financial impact (cash)'!G$26))+('Unit costs'!$F71*('Financial impact (cash)'!G$18+'Financial impact (cash)'!G$27))+('Unit costs'!$G71*('Financial impact (cash)'!G$19+'Financial impact (cash)'!G$28))+('Unit costs'!$H71*('Financial impact (cash)'!G$20+'Financial impact (cash)'!G$29))</f>
        <v>3364.7216164415868</v>
      </c>
      <c r="H219" s="128">
        <f>('Unit costs'!$C71*('Financial impact (cash)'!H$15+'Financial impact (cash)'!H$24))+('Unit costs'!$D71*('Financial impact (cash)'!H$16+'Financial impact (cash)'!H$25))+('Unit costs'!$E71*('Financial impact (cash)'!H$17+'Financial impact (cash)'!H$26))+('Unit costs'!$F71*('Financial impact (cash)'!H$18+'Financial impact (cash)'!H$27))+('Unit costs'!$G71*('Financial impact (cash)'!H$19+'Financial impact (cash)'!H$28))+('Unit costs'!$H71*('Financial impact (cash)'!H$20+'Financial impact (cash)'!H$29))</f>
        <v>3268.2958227681802</v>
      </c>
      <c r="I219" s="128">
        <f>('Unit costs'!$C71*('Financial impact (cash)'!I$15+'Financial impact (cash)'!I$24))+('Unit costs'!$D71*('Financial impact (cash)'!I$16+'Financial impact (cash)'!I$25))+('Unit costs'!$E71*('Financial impact (cash)'!I$17+'Financial impact (cash)'!I$26))+('Unit costs'!$F71*('Financial impact (cash)'!I$18+'Financial impact (cash)'!I$27))+('Unit costs'!$G71*('Financial impact (cash)'!I$19+'Financial impact (cash)'!I$28))+('Unit costs'!$H71*('Financial impact (cash)'!I$20+'Financial impact (cash)'!I$29))</f>
        <v>3208.9910094468996</v>
      </c>
      <c r="J219" s="291"/>
      <c r="K219" s="291"/>
      <c r="L219" s="293">
        <f>(D219*'Unit costs'!$R71)/1000</f>
        <v>15750.649837629717</v>
      </c>
      <c r="M219" s="293">
        <f>(E219*'Unit costs'!$R71)/1000</f>
        <v>15189.05724626695</v>
      </c>
      <c r="N219" s="293">
        <f>(F219*'Unit costs'!$R71)/1000</f>
        <v>14471.100851992214</v>
      </c>
      <c r="O219" s="293">
        <f>(G219*'Unit costs'!$R71)/1000</f>
        <v>14056.972462532069</v>
      </c>
      <c r="P219" s="293">
        <f>(H219*'Unit costs'!$R71)/1000</f>
        <v>13654.129410161409</v>
      </c>
      <c r="Q219" s="293">
        <f>(I219*'Unit costs'!$R71)/1000</f>
        <v>13406.368607698801</v>
      </c>
      <c r="R219" s="133"/>
      <c r="S219" s="133"/>
      <c r="T219" s="133"/>
      <c r="U219" s="133"/>
      <c r="V219" s="133"/>
      <c r="W219" s="133"/>
      <c r="X219" s="133"/>
      <c r="Y219" s="133"/>
      <c r="Z219" s="133"/>
      <c r="AJ219" s="286"/>
      <c r="AK219" s="286"/>
      <c r="AL219" s="286"/>
      <c r="AM219" s="286"/>
      <c r="AN219" s="286"/>
    </row>
    <row r="220" spans="1:40">
      <c r="A220" s="291"/>
      <c r="B220" s="253" t="s">
        <v>1145</v>
      </c>
      <c r="C220" s="168"/>
      <c r="D220" s="128">
        <f>('Unit costs'!$C72*('Financial impact (cash)'!D$15+'Financial impact (cash)'!D$24))+('Unit costs'!$D72*('Financial impact (cash)'!D$16+'Financial impact (cash)'!D$25))+('Unit costs'!$E72*('Financial impact (cash)'!D$17+'Financial impact (cash)'!D$26))+('Unit costs'!$F72*('Financial impact (cash)'!D$18+'Financial impact (cash)'!D$27))+('Unit costs'!$G72*('Financial impact (cash)'!D$19+'Financial impact (cash)'!D$28))+('Unit costs'!$H72*('Financial impact (cash)'!D$20+'Financial impact (cash)'!D$29))</f>
        <v>841.994721181145</v>
      </c>
      <c r="E220" s="128">
        <f>('Unit costs'!$C72*('Financial impact (cash)'!E$15+'Financial impact (cash)'!E$24))+('Unit costs'!$D72*('Financial impact (cash)'!E$16+'Financial impact (cash)'!E$25))+('Unit costs'!$E72*('Financial impact (cash)'!E$17+'Financial impact (cash)'!E$26))+('Unit costs'!$F72*('Financial impact (cash)'!E$18+'Financial impact (cash)'!E$27))+('Unit costs'!$G72*('Financial impact (cash)'!E$19+'Financial impact (cash)'!E$28))+('Unit costs'!$H72*('Financial impact (cash)'!E$20+'Financial impact (cash)'!E$29))</f>
        <v>811.97322986132724</v>
      </c>
      <c r="F220" s="128">
        <f>('Unit costs'!$C72*('Financial impact (cash)'!F$15+'Financial impact (cash)'!F$24))+('Unit costs'!$D72*('Financial impact (cash)'!F$16+'Financial impact (cash)'!F$25))+('Unit costs'!$E72*('Financial impact (cash)'!F$17+'Financial impact (cash)'!F$26))+('Unit costs'!$F72*('Financial impact (cash)'!F$18+'Financial impact (cash)'!F$27))+('Unit costs'!$G72*('Financial impact (cash)'!F$19+'Financial impact (cash)'!F$28))+('Unit costs'!$H72*('Financial impact (cash)'!F$20+'Financial impact (cash)'!F$29))</f>
        <v>773.59287728861398</v>
      </c>
      <c r="G220" s="128">
        <f>('Unit costs'!$C72*('Financial impact (cash)'!G$15+'Financial impact (cash)'!G$24))+('Unit costs'!$D72*('Financial impact (cash)'!G$16+'Financial impact (cash)'!G$25))+('Unit costs'!$E72*('Financial impact (cash)'!G$17+'Financial impact (cash)'!G$26))+('Unit costs'!$F72*('Financial impact (cash)'!G$18+'Financial impact (cash)'!G$27))+('Unit costs'!$G72*('Financial impact (cash)'!G$19+'Financial impact (cash)'!G$28))+('Unit costs'!$H72*('Financial impact (cash)'!G$20+'Financial impact (cash)'!G$29))</f>
        <v>751.45449433862098</v>
      </c>
      <c r="H220" s="128">
        <f>('Unit costs'!$C72*('Financial impact (cash)'!H$15+'Financial impact (cash)'!H$24))+('Unit costs'!$D72*('Financial impact (cash)'!H$16+'Financial impact (cash)'!H$25))+('Unit costs'!$E72*('Financial impact (cash)'!H$17+'Financial impact (cash)'!H$26))+('Unit costs'!$F72*('Financial impact (cash)'!H$18+'Financial impact (cash)'!H$27))+('Unit costs'!$G72*('Financial impact (cash)'!H$19+'Financial impact (cash)'!H$28))+('Unit costs'!$H72*('Financial impact (cash)'!H$20+'Financial impact (cash)'!H$29))</f>
        <v>729.91940041822681</v>
      </c>
      <c r="I220" s="128">
        <f>('Unit costs'!$C72*('Financial impact (cash)'!I$15+'Financial impact (cash)'!I$24))+('Unit costs'!$D72*('Financial impact (cash)'!I$16+'Financial impact (cash)'!I$25))+('Unit costs'!$E72*('Financial impact (cash)'!I$17+'Financial impact (cash)'!I$26))+('Unit costs'!$F72*('Financial impact (cash)'!I$18+'Financial impact (cash)'!I$27))+('Unit costs'!$G72*('Financial impact (cash)'!I$19+'Financial impact (cash)'!I$28))+('Unit costs'!$H72*('Financial impact (cash)'!I$20+'Financial impact (cash)'!I$29))</f>
        <v>716.67465877647419</v>
      </c>
      <c r="J220" s="291"/>
      <c r="K220" s="291"/>
      <c r="L220" s="293">
        <f>(D220*'Unit costs'!$R72)/1000</f>
        <v>592.25235092104799</v>
      </c>
      <c r="M220" s="293">
        <f>(E220*'Unit costs'!$R72)/1000</f>
        <v>571.13547409861872</v>
      </c>
      <c r="N220" s="293">
        <f>(F220*'Unit costs'!$R72)/1000</f>
        <v>544.13904114179275</v>
      </c>
      <c r="O220" s="293">
        <f>(G220*'Unit costs'!$R72)/1000</f>
        <v>528.56707968183127</v>
      </c>
      <c r="P220" s="293">
        <f>(H220*'Unit costs'!$R72)/1000</f>
        <v>513.41946689897736</v>
      </c>
      <c r="Q220" s="293">
        <f>(I220*'Unit costs'!$R72)/1000</f>
        <v>504.10322158610177</v>
      </c>
      <c r="R220" s="133"/>
      <c r="S220" s="133"/>
      <c r="T220" s="133"/>
      <c r="U220" s="133"/>
      <c r="V220" s="133"/>
      <c r="W220" s="133"/>
      <c r="X220" s="133"/>
      <c r="Y220" s="133"/>
      <c r="Z220" s="133"/>
      <c r="AJ220" s="286"/>
      <c r="AK220" s="286"/>
      <c r="AL220" s="286"/>
      <c r="AM220" s="286"/>
      <c r="AN220" s="286"/>
    </row>
    <row r="221" spans="1:40">
      <c r="A221" s="291"/>
      <c r="B221" s="253" t="s">
        <v>1146</v>
      </c>
      <c r="C221" s="168"/>
      <c r="D221" s="128">
        <f>('Unit costs'!$C73*('Financial impact (cash)'!D$15+'Financial impact (cash)'!D$24))+('Unit costs'!$D73*('Financial impact (cash)'!D$16+'Financial impact (cash)'!D$25))+('Unit costs'!$E73*('Financial impact (cash)'!D$17+'Financial impact (cash)'!D$26))+('Unit costs'!$F73*('Financial impact (cash)'!D$18+'Financial impact (cash)'!D$27))+('Unit costs'!$G73*('Financial impact (cash)'!D$19+'Financial impact (cash)'!D$28))+('Unit costs'!$H73*('Financial impact (cash)'!D$20+'Financial impact (cash)'!D$29))</f>
        <v>2513.4170781526718</v>
      </c>
      <c r="E221" s="128">
        <f>('Unit costs'!$C73*('Financial impact (cash)'!E$15+'Financial impact (cash)'!E$24))+('Unit costs'!$D73*('Financial impact (cash)'!E$16+'Financial impact (cash)'!E$25))+('Unit costs'!$E73*('Financial impact (cash)'!E$17+'Financial impact (cash)'!E$26))+('Unit costs'!$F73*('Financial impact (cash)'!E$18+'Financial impact (cash)'!E$27))+('Unit costs'!$G73*('Financial impact (cash)'!E$19+'Financial impact (cash)'!E$28))+('Unit costs'!$H73*('Financial impact (cash)'!E$20+'Financial impact (cash)'!E$29))</f>
        <v>2423.8006861532153</v>
      </c>
      <c r="F221" s="128">
        <f>('Unit costs'!$C73*('Financial impact (cash)'!F$15+'Financial impact (cash)'!F$24))+('Unit costs'!$D73*('Financial impact (cash)'!F$16+'Financial impact (cash)'!F$25))+('Unit costs'!$E73*('Financial impact (cash)'!F$17+'Financial impact (cash)'!F$26))+('Unit costs'!$F73*('Financial impact (cash)'!F$18+'Financial impact (cash)'!F$27))+('Unit costs'!$G73*('Financial impact (cash)'!F$19+'Financial impact (cash)'!F$28))+('Unit costs'!$H73*('Financial impact (cash)'!F$20+'Financial impact (cash)'!F$29))</f>
        <v>2309.2324695182506</v>
      </c>
      <c r="G221" s="128">
        <f>('Unit costs'!$C73*('Financial impact (cash)'!G$15+'Financial impact (cash)'!G$24))+('Unit costs'!$D73*('Financial impact (cash)'!G$16+'Financial impact (cash)'!G$25))+('Unit costs'!$E73*('Financial impact (cash)'!G$17+'Financial impact (cash)'!G$26))+('Unit costs'!$F73*('Financial impact (cash)'!G$18+'Financial impact (cash)'!G$27))+('Unit costs'!$G73*('Financial impact (cash)'!G$19+'Financial impact (cash)'!G$28))+('Unit costs'!$H73*('Financial impact (cash)'!G$20+'Financial impact (cash)'!G$29))</f>
        <v>2243.147744294391</v>
      </c>
      <c r="H221" s="128">
        <f>('Unit costs'!$C73*('Financial impact (cash)'!H$15+'Financial impact (cash)'!H$24))+('Unit costs'!$D73*('Financial impact (cash)'!H$16+'Financial impact (cash)'!H$25))+('Unit costs'!$E73*('Financial impact (cash)'!H$17+'Financial impact (cash)'!H$26))+('Unit costs'!$F73*('Financial impact (cash)'!H$18+'Financial impact (cash)'!H$27))+('Unit costs'!$G73*('Financial impact (cash)'!H$19+'Financial impact (cash)'!H$28))+('Unit costs'!$H73*('Financial impact (cash)'!H$20+'Financial impact (cash)'!H$29))</f>
        <v>2178.8638818454533</v>
      </c>
      <c r="I221" s="128">
        <f>('Unit costs'!$C73*('Financial impact (cash)'!I$15+'Financial impact (cash)'!I$24))+('Unit costs'!$D73*('Financial impact (cash)'!I$16+'Financial impact (cash)'!I$25))+('Unit costs'!$E73*('Financial impact (cash)'!I$17+'Financial impact (cash)'!I$26))+('Unit costs'!$F73*('Financial impact (cash)'!I$18+'Financial impact (cash)'!I$27))+('Unit costs'!$G73*('Financial impact (cash)'!I$19+'Financial impact (cash)'!I$28))+('Unit costs'!$H73*('Financial impact (cash)'!I$20+'Financial impact (cash)'!I$29))</f>
        <v>2139.3273396312661</v>
      </c>
      <c r="J221" s="291"/>
      <c r="K221" s="291"/>
      <c r="L221" s="293">
        <f>(D221*'Unit costs'!$R73)/1000</f>
        <v>29080.014413523535</v>
      </c>
      <c r="M221" s="293">
        <f>(E221*'Unit costs'!$R73)/1000</f>
        <v>28043.160644332318</v>
      </c>
      <c r="N221" s="293">
        <f>(F221*'Unit costs'!$R73)/1000</f>
        <v>26717.616459868841</v>
      </c>
      <c r="O221" s="293">
        <f>(G221*'Unit costs'!$R73)/1000</f>
        <v>25953.02200448461</v>
      </c>
      <c r="P221" s="293">
        <f>(H221*'Unit costs'!$R73)/1000</f>
        <v>25209.263372930291</v>
      </c>
      <c r="Q221" s="293">
        <f>(I221*'Unit costs'!$R73)/1000</f>
        <v>24751.829058727861</v>
      </c>
      <c r="R221" s="133"/>
      <c r="S221" s="133"/>
      <c r="T221" s="133"/>
      <c r="U221" s="133"/>
      <c r="V221" s="133"/>
      <c r="W221" s="133"/>
      <c r="X221" s="133"/>
      <c r="Y221" s="133"/>
      <c r="Z221" s="133"/>
      <c r="AJ221" s="286"/>
      <c r="AK221" s="286"/>
      <c r="AL221" s="286"/>
      <c r="AM221" s="286"/>
      <c r="AN221" s="286"/>
    </row>
    <row r="222" spans="1:40">
      <c r="A222" s="291"/>
      <c r="B222" s="253" t="s">
        <v>1147</v>
      </c>
      <c r="C222" s="168"/>
      <c r="D222" s="128">
        <f>('Unit costs'!$C74*('Financial impact (cash)'!D$15+'Financial impact (cash)'!D$24))+('Unit costs'!$D74*('Financial impact (cash)'!D$16+'Financial impact (cash)'!D$25))+('Unit costs'!$E74*('Financial impact (cash)'!D$17+'Financial impact (cash)'!D$26))+('Unit costs'!$F74*('Financial impact (cash)'!D$18+'Financial impact (cash)'!D$27))+('Unit costs'!$G74*('Financial impact (cash)'!D$19+'Financial impact (cash)'!D$28))+('Unit costs'!$H74*('Financial impact (cash)'!D$20+'Financial impact (cash)'!D$29))</f>
        <v>414.71381789519091</v>
      </c>
      <c r="E222" s="128">
        <f>('Unit costs'!$C74*('Financial impact (cash)'!E$15+'Financial impact (cash)'!E$24))+('Unit costs'!$D74*('Financial impact (cash)'!E$16+'Financial impact (cash)'!E$25))+('Unit costs'!$E74*('Financial impact (cash)'!E$17+'Financial impact (cash)'!E$26))+('Unit costs'!$F74*('Financial impact (cash)'!E$18+'Financial impact (cash)'!E$27))+('Unit costs'!$G74*('Financial impact (cash)'!E$19+'Financial impact (cash)'!E$28))+('Unit costs'!$H74*('Financial impact (cash)'!E$20+'Financial impact (cash)'!E$29))</f>
        <v>399.9271132152806</v>
      </c>
      <c r="F222" s="128">
        <f>('Unit costs'!$C74*('Financial impact (cash)'!F$15+'Financial impact (cash)'!F$24))+('Unit costs'!$D74*('Financial impact (cash)'!F$16+'Financial impact (cash)'!F$25))+('Unit costs'!$E74*('Financial impact (cash)'!F$17+'Financial impact (cash)'!F$26))+('Unit costs'!$F74*('Financial impact (cash)'!F$18+'Financial impact (cash)'!F$27))+('Unit costs'!$G74*('Financial impact (cash)'!F$19+'Financial impact (cash)'!F$28))+('Unit costs'!$H74*('Financial impact (cash)'!F$20+'Financial impact (cash)'!F$29))</f>
        <v>381.02335747051137</v>
      </c>
      <c r="G222" s="128">
        <f>('Unit costs'!$C74*('Financial impact (cash)'!G$15+'Financial impact (cash)'!G$24))+('Unit costs'!$D74*('Financial impact (cash)'!G$16+'Financial impact (cash)'!G$25))+('Unit costs'!$E74*('Financial impact (cash)'!G$17+'Financial impact (cash)'!G$26))+('Unit costs'!$F74*('Financial impact (cash)'!G$18+'Financial impact (cash)'!G$27))+('Unit costs'!$G74*('Financial impact (cash)'!G$19+'Financial impact (cash)'!G$28))+('Unit costs'!$H74*('Financial impact (cash)'!G$20+'Financial impact (cash)'!G$29))</f>
        <v>370.11937780857454</v>
      </c>
      <c r="H222" s="128">
        <f>('Unit costs'!$C74*('Financial impact (cash)'!H$15+'Financial impact (cash)'!H$24))+('Unit costs'!$D74*('Financial impact (cash)'!H$16+'Financial impact (cash)'!H$25))+('Unit costs'!$E74*('Financial impact (cash)'!H$17+'Financial impact (cash)'!H$26))+('Unit costs'!$F74*('Financial impact (cash)'!H$18+'Financial impact (cash)'!H$27))+('Unit costs'!$G74*('Financial impact (cash)'!H$19+'Financial impact (cash)'!H$28))+('Unit costs'!$H74*('Financial impact (cash)'!H$20+'Financial impact (cash)'!H$29))</f>
        <v>359.51254050449984</v>
      </c>
      <c r="I222" s="128">
        <f>('Unit costs'!$C74*('Financial impact (cash)'!I$15+'Financial impact (cash)'!I$24))+('Unit costs'!$D74*('Financial impact (cash)'!I$16+'Financial impact (cash)'!I$25))+('Unit costs'!$E74*('Financial impact (cash)'!I$17+'Financial impact (cash)'!I$26))+('Unit costs'!$F74*('Financial impact (cash)'!I$18+'Financial impact (cash)'!I$27))+('Unit costs'!$G74*('Financial impact (cash)'!I$19+'Financial impact (cash)'!I$28))+('Unit costs'!$H74*('Financial impact (cash)'!I$20+'Financial impact (cash)'!I$29))</f>
        <v>352.98901103915892</v>
      </c>
      <c r="J222" s="291"/>
      <c r="K222" s="291"/>
      <c r="L222" s="293">
        <f>(D222*'Unit costs'!$R74)/1000</f>
        <v>291.70638179693418</v>
      </c>
      <c r="M222" s="293">
        <f>(E222*'Unit costs'!$R74)/1000</f>
        <v>281.30553201872266</v>
      </c>
      <c r="N222" s="293">
        <f>(F222*'Unit costs'!$R74)/1000</f>
        <v>268.00878145789795</v>
      </c>
      <c r="O222" s="293">
        <f>(G222*'Unit costs'!$R74)/1000</f>
        <v>260.33900939552888</v>
      </c>
      <c r="P222" s="293">
        <f>(H222*'Unit costs'!$R74)/1000</f>
        <v>252.87824489054117</v>
      </c>
      <c r="Q222" s="293">
        <f>(I222*'Unit costs'!$R74)/1000</f>
        <v>248.28964645285612</v>
      </c>
      <c r="R222" s="133"/>
      <c r="S222" s="133"/>
      <c r="T222" s="133"/>
      <c r="U222" s="133"/>
      <c r="V222" s="133"/>
      <c r="W222" s="133"/>
      <c r="X222" s="133"/>
      <c r="Y222" s="133"/>
      <c r="Z222" s="133"/>
      <c r="AJ222" s="286"/>
      <c r="AK222" s="286"/>
      <c r="AL222" s="286"/>
      <c r="AM222" s="286"/>
      <c r="AN222" s="286"/>
    </row>
    <row r="223" spans="1:40">
      <c r="A223" s="291"/>
      <c r="B223" s="253" t="s">
        <v>1148</v>
      </c>
      <c r="C223" s="168"/>
      <c r="D223" s="128">
        <f>('Unit costs'!$C75*('Financial impact (cash)'!D$15+'Financial impact (cash)'!D$24))+('Unit costs'!$D75*('Financial impact (cash)'!D$16+'Financial impact (cash)'!D$25))+('Unit costs'!$E75*('Financial impact (cash)'!D$17+'Financial impact (cash)'!D$26))+('Unit costs'!$F75*('Financial impact (cash)'!D$18+'Financial impact (cash)'!D$27))+('Unit costs'!$G75*('Financial impact (cash)'!D$19+'Financial impact (cash)'!D$28))+('Unit costs'!$H75*('Financial impact (cash)'!D$20+'Financial impact (cash)'!D$29))</f>
        <v>2928.1308960478627</v>
      </c>
      <c r="E223" s="128">
        <f>('Unit costs'!$C75*('Financial impact (cash)'!E$15+'Financial impact (cash)'!E$24))+('Unit costs'!$D75*('Financial impact (cash)'!E$16+'Financial impact (cash)'!E$25))+('Unit costs'!$E75*('Financial impact (cash)'!E$17+'Financial impact (cash)'!E$26))+('Unit costs'!$F75*('Financial impact (cash)'!E$18+'Financial impact (cash)'!E$27))+('Unit costs'!$G75*('Financial impact (cash)'!E$19+'Financial impact (cash)'!E$28))+('Unit costs'!$H75*('Financial impact (cash)'!E$20+'Financial impact (cash)'!E$29))</f>
        <v>2823.7277993684961</v>
      </c>
      <c r="F223" s="128">
        <f>('Unit costs'!$C75*('Financial impact (cash)'!F$15+'Financial impact (cash)'!F$24))+('Unit costs'!$D75*('Financial impact (cash)'!F$16+'Financial impact (cash)'!F$25))+('Unit costs'!$E75*('Financial impact (cash)'!F$17+'Financial impact (cash)'!F$26))+('Unit costs'!$F75*('Financial impact (cash)'!F$18+'Financial impact (cash)'!F$27))+('Unit costs'!$G75*('Financial impact (cash)'!F$19+'Financial impact (cash)'!F$28))+('Unit costs'!$H75*('Financial impact (cash)'!F$20+'Financial impact (cash)'!F$29))</f>
        <v>2690.2558269887627</v>
      </c>
      <c r="G223" s="128">
        <f>('Unit costs'!$C75*('Financial impact (cash)'!G$15+'Financial impact (cash)'!G$24))+('Unit costs'!$D75*('Financial impact (cash)'!G$16+'Financial impact (cash)'!G$25))+('Unit costs'!$E75*('Financial impact (cash)'!G$17+'Financial impact (cash)'!G$26))+('Unit costs'!$F75*('Financial impact (cash)'!G$18+'Financial impact (cash)'!G$27))+('Unit costs'!$G75*('Financial impact (cash)'!G$19+'Financial impact (cash)'!G$28))+('Unit costs'!$H75*('Financial impact (cash)'!G$20+'Financial impact (cash)'!G$29))</f>
        <v>2613.2671221029659</v>
      </c>
      <c r="H223" s="128">
        <f>('Unit costs'!$C75*('Financial impact (cash)'!H$15+'Financial impact (cash)'!H$24))+('Unit costs'!$D75*('Financial impact (cash)'!H$16+'Financial impact (cash)'!H$25))+('Unit costs'!$E75*('Financial impact (cash)'!H$17+'Financial impact (cash)'!H$26))+('Unit costs'!$F75*('Financial impact (cash)'!H$18+'Financial impact (cash)'!H$27))+('Unit costs'!$G75*('Financial impact (cash)'!H$19+'Financial impact (cash)'!H$28))+('Unit costs'!$H75*('Financial impact (cash)'!H$20+'Financial impact (cash)'!H$29))</f>
        <v>2538.3764223499534</v>
      </c>
      <c r="I223" s="128">
        <f>('Unit costs'!$C75*('Financial impact (cash)'!I$15+'Financial impact (cash)'!I$24))+('Unit costs'!$D75*('Financial impact (cash)'!I$16+'Financial impact (cash)'!I$25))+('Unit costs'!$E75*('Financial impact (cash)'!I$17+'Financial impact (cash)'!I$26))+('Unit costs'!$F75*('Financial impact (cash)'!I$18+'Financial impact (cash)'!I$27))+('Unit costs'!$G75*('Financial impact (cash)'!I$19+'Financial impact (cash)'!I$28))+('Unit costs'!$H75*('Financial impact (cash)'!I$20+'Financial impact (cash)'!I$29))</f>
        <v>2492.3163506704254</v>
      </c>
      <c r="J223" s="291"/>
      <c r="K223" s="291"/>
      <c r="L223" s="293">
        <f>(D223*'Unit costs'!$R75)/1000</f>
        <v>6112.4381079291616</v>
      </c>
      <c r="M223" s="293">
        <f>(E223*'Unit costs'!$R75)/1000</f>
        <v>5894.4978964481434</v>
      </c>
      <c r="N223" s="293">
        <f>(F223*'Unit costs'!$R75)/1000</f>
        <v>5615.876755769119</v>
      </c>
      <c r="O223" s="293">
        <f>(G223*'Unit costs'!$R75)/1000</f>
        <v>5455.163758184477</v>
      </c>
      <c r="P223" s="293">
        <f>(H223*'Unit costs'!$R75)/1000</f>
        <v>5298.83032113846</v>
      </c>
      <c r="Q223" s="293">
        <f>(I223*'Unit costs'!$R75)/1000</f>
        <v>5202.6804742283057</v>
      </c>
      <c r="R223" s="133"/>
      <c r="S223" s="133"/>
      <c r="T223" s="133"/>
      <c r="U223" s="133"/>
      <c r="V223" s="133"/>
      <c r="W223" s="133"/>
      <c r="X223" s="133"/>
      <c r="Y223" s="133"/>
      <c r="Z223" s="133"/>
      <c r="AJ223" s="286"/>
      <c r="AK223" s="286"/>
      <c r="AL223" s="286"/>
      <c r="AM223" s="286"/>
      <c r="AN223" s="286"/>
    </row>
    <row r="224" spans="1:40">
      <c r="A224" s="291"/>
      <c r="B224" s="253" t="s">
        <v>1149</v>
      </c>
      <c r="C224" s="168"/>
      <c r="D224" s="128">
        <f>('Unit costs'!$C76*('Financial impact (cash)'!D$15+'Financial impact (cash)'!D$24))+('Unit costs'!$D76*('Financial impact (cash)'!D$16+'Financial impact (cash)'!D$25))+('Unit costs'!$E76*('Financial impact (cash)'!D$17+'Financial impact (cash)'!D$26))+('Unit costs'!$F76*('Financial impact (cash)'!D$18+'Financial impact (cash)'!D$27))+('Unit costs'!$G76*('Financial impact (cash)'!D$19+'Financial impact (cash)'!D$28))+('Unit costs'!$H76*('Financial impact (cash)'!D$20+'Financial impact (cash)'!D$29))</f>
        <v>2098.7032602574809</v>
      </c>
      <c r="E224" s="128">
        <f>('Unit costs'!$C76*('Financial impact (cash)'!E$15+'Financial impact (cash)'!E$24))+('Unit costs'!$D76*('Financial impact (cash)'!E$16+'Financial impact (cash)'!E$25))+('Unit costs'!$E76*('Financial impact (cash)'!E$17+'Financial impact (cash)'!E$26))+('Unit costs'!$F76*('Financial impact (cash)'!E$18+'Financial impact (cash)'!E$27))+('Unit costs'!$G76*('Financial impact (cash)'!E$19+'Financial impact (cash)'!E$28))+('Unit costs'!$H76*('Financial impact (cash)'!E$20+'Financial impact (cash)'!E$29))</f>
        <v>2023.873572937935</v>
      </c>
      <c r="F224" s="128">
        <f>('Unit costs'!$C76*('Financial impact (cash)'!F$15+'Financial impact (cash)'!F$24))+('Unit costs'!$D76*('Financial impact (cash)'!F$16+'Financial impact (cash)'!F$25))+('Unit costs'!$E76*('Financial impact (cash)'!F$17+'Financial impact (cash)'!F$26))+('Unit costs'!$F76*('Financial impact (cash)'!F$18+'Financial impact (cash)'!F$27))+('Unit costs'!$G76*('Financial impact (cash)'!F$19+'Financial impact (cash)'!F$28))+('Unit costs'!$H76*('Financial impact (cash)'!F$20+'Financial impact (cash)'!F$29))</f>
        <v>1928.2091120477394</v>
      </c>
      <c r="G224" s="128">
        <f>('Unit costs'!$C76*('Financial impact (cash)'!G$15+'Financial impact (cash)'!G$24))+('Unit costs'!$D76*('Financial impact (cash)'!G$16+'Financial impact (cash)'!G$25))+('Unit costs'!$E76*('Financial impact (cash)'!G$17+'Financial impact (cash)'!G$26))+('Unit costs'!$F76*('Financial impact (cash)'!G$18+'Financial impact (cash)'!G$27))+('Unit costs'!$G76*('Financial impact (cash)'!G$19+'Financial impact (cash)'!G$28))+('Unit costs'!$H76*('Financial impact (cash)'!G$20+'Financial impact (cash)'!G$29))</f>
        <v>1873.0283664858166</v>
      </c>
      <c r="H224" s="128">
        <f>('Unit costs'!$C76*('Financial impact (cash)'!H$15+'Financial impact (cash)'!H$24))+('Unit costs'!$D76*('Financial impact (cash)'!H$16+'Financial impact (cash)'!H$25))+('Unit costs'!$E76*('Financial impact (cash)'!H$17+'Financial impact (cash)'!H$26))+('Unit costs'!$F76*('Financial impact (cash)'!H$18+'Financial impact (cash)'!H$27))+('Unit costs'!$G76*('Financial impact (cash)'!H$19+'Financial impact (cash)'!H$28))+('Unit costs'!$H76*('Financial impact (cash)'!H$20+'Financial impact (cash)'!H$29))</f>
        <v>1819.3513413409537</v>
      </c>
      <c r="I224" s="128">
        <f>('Unit costs'!$C76*('Financial impact (cash)'!I$15+'Financial impact (cash)'!I$24))+('Unit costs'!$D76*('Financial impact (cash)'!I$16+'Financial impact (cash)'!I$25))+('Unit costs'!$E76*('Financial impact (cash)'!I$17+'Financial impact (cash)'!I$26))+('Unit costs'!$F76*('Financial impact (cash)'!I$18+'Financial impact (cash)'!I$27))+('Unit costs'!$G76*('Financial impact (cash)'!I$19+'Financial impact (cash)'!I$28))+('Unit costs'!$H76*('Financial impact (cash)'!I$20+'Financial impact (cash)'!I$29))</f>
        <v>1786.3383285921075</v>
      </c>
      <c r="J224" s="291"/>
      <c r="K224" s="291"/>
      <c r="L224" s="293">
        <f>(D224*'Unit costs'!$R76)/1000</f>
        <v>1476.2110836390302</v>
      </c>
      <c r="M224" s="293">
        <f>(E224*'Unit costs'!$R76)/1000</f>
        <v>1423.5764802159601</v>
      </c>
      <c r="N224" s="293">
        <f>(F224*'Unit costs'!$R76)/1000</f>
        <v>1356.2868637414836</v>
      </c>
      <c r="O224" s="293">
        <f>(G224*'Unit costs'!$R76)/1000</f>
        <v>1317.4731687591916</v>
      </c>
      <c r="P224" s="293">
        <f>(H224*'Unit costs'!$R76)/1000</f>
        <v>1279.717178688496</v>
      </c>
      <c r="Q224" s="293">
        <f>(I224*'Unit costs'!$R76)/1000</f>
        <v>1256.4960896250598</v>
      </c>
      <c r="R224" s="133"/>
      <c r="S224" s="133"/>
      <c r="T224" s="133"/>
      <c r="U224" s="133"/>
      <c r="V224" s="133"/>
      <c r="W224" s="133"/>
      <c r="X224" s="133"/>
      <c r="Y224" s="133"/>
      <c r="Z224" s="133"/>
      <c r="AJ224" s="286"/>
      <c r="AK224" s="286"/>
      <c r="AL224" s="286"/>
      <c r="AM224" s="286"/>
      <c r="AN224" s="286"/>
    </row>
    <row r="225" spans="1:40">
      <c r="A225" s="291"/>
      <c r="B225" s="280"/>
      <c r="C225" s="211"/>
      <c r="D225" s="187">
        <f t="shared" ref="D225:I225" si="139">SUM(D219:D224)</f>
        <v>12567.085390763357</v>
      </c>
      <c r="E225" s="187">
        <f t="shared" si="139"/>
        <v>12119.003430766079</v>
      </c>
      <c r="F225" s="187">
        <f t="shared" si="139"/>
        <v>11546.162347591255</v>
      </c>
      <c r="G225" s="187">
        <f t="shared" si="139"/>
        <v>11215.738721471955</v>
      </c>
      <c r="H225" s="187">
        <f t="shared" si="139"/>
        <v>10894.319409227268</v>
      </c>
      <c r="I225" s="187">
        <f t="shared" si="139"/>
        <v>10696.636698156333</v>
      </c>
      <c r="J225" s="291"/>
      <c r="K225" s="291"/>
      <c r="L225" s="294">
        <f t="shared" ref="L225:Q225" si="140">SUM(L219:L224)</f>
        <v>53303.272175439422</v>
      </c>
      <c r="M225" s="294">
        <f t="shared" si="140"/>
        <v>51402.733273380712</v>
      </c>
      <c r="N225" s="294">
        <f t="shared" si="140"/>
        <v>48973.028753971346</v>
      </c>
      <c r="O225" s="294">
        <f t="shared" si="140"/>
        <v>47571.537483037711</v>
      </c>
      <c r="P225" s="294">
        <f t="shared" si="140"/>
        <v>46208.237994708172</v>
      </c>
      <c r="Q225" s="294">
        <f t="shared" si="140"/>
        <v>45369.767098318982</v>
      </c>
      <c r="R225" s="133"/>
      <c r="S225" s="133"/>
      <c r="T225" s="133"/>
      <c r="U225" s="133"/>
      <c r="V225" s="133"/>
      <c r="W225" s="133"/>
      <c r="X225" s="133"/>
      <c r="Y225" s="133"/>
      <c r="Z225" s="133"/>
      <c r="AJ225" s="286"/>
      <c r="AK225" s="286"/>
      <c r="AL225" s="286"/>
      <c r="AM225" s="286"/>
      <c r="AN225" s="286"/>
    </row>
    <row r="226" spans="1:40">
      <c r="A226" s="291"/>
      <c r="B226" s="306"/>
      <c r="C226" s="211"/>
      <c r="D226" s="285" t="s">
        <v>766</v>
      </c>
      <c r="E226" s="187">
        <f>E225-$D$225</f>
        <v>-448.08195999727832</v>
      </c>
      <c r="F226" s="187">
        <f>F225-$D$225</f>
        <v>-1020.9230431721026</v>
      </c>
      <c r="G226" s="187">
        <f>G225-$D$225</f>
        <v>-1351.3466692914026</v>
      </c>
      <c r="H226" s="187">
        <f>H225-$D$225</f>
        <v>-1672.7659815360894</v>
      </c>
      <c r="I226" s="187">
        <f>I225-$D$225</f>
        <v>-1870.448692607024</v>
      </c>
      <c r="J226" s="291"/>
      <c r="K226" s="291"/>
      <c r="L226" s="574"/>
      <c r="M226" s="294">
        <f>M225-$L$225</f>
        <v>-1900.5389020587099</v>
      </c>
      <c r="N226" s="294">
        <f>N225-$L$225</f>
        <v>-4330.2434214680761</v>
      </c>
      <c r="O226" s="294">
        <f>O225-$L$225</f>
        <v>-5731.7346924017111</v>
      </c>
      <c r="P226" s="294">
        <f>P225-$L$225</f>
        <v>-7095.0341807312507</v>
      </c>
      <c r="Q226" s="294">
        <f>Q225-$L$225</f>
        <v>-7933.5050771204405</v>
      </c>
    </row>
    <row r="227" spans="1:40">
      <c r="A227" s="291"/>
      <c r="B227" s="291"/>
      <c r="C227" s="291"/>
      <c r="D227" s="291"/>
      <c r="E227" s="291"/>
      <c r="F227" s="291"/>
      <c r="G227" s="291"/>
      <c r="H227" s="291"/>
      <c r="I227" s="291"/>
      <c r="J227" s="291"/>
      <c r="K227" s="291"/>
      <c r="L227" s="291"/>
      <c r="M227" s="291"/>
      <c r="N227" s="291"/>
      <c r="O227" s="291"/>
      <c r="P227" s="291"/>
      <c r="Q227" s="291"/>
    </row>
    <row r="228" spans="1:40">
      <c r="B228"/>
    </row>
    <row r="229" spans="1:40">
      <c r="B229"/>
    </row>
    <row r="230" spans="1:40">
      <c r="B230"/>
    </row>
    <row r="231" spans="1:40">
      <c r="B231"/>
      <c r="L231" s="800"/>
    </row>
    <row r="232" spans="1:40">
      <c r="B232"/>
    </row>
  </sheetData>
  <sheetProtection algorithmName="SHA-512" hashValue="D1AfqDGMKCq2od7cdQ7ooQ8FJ4qMSpdkN9sgoiN8CB9YDt52xyzTqw9GNtVL1KKdTMBI7RzvtP0hERBOubERaw==" saltValue="lU11GbA3S6LinKk5dYbjw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3" fitToHeight="0" orientation="portrait" horizontalDpi="4294967293" r:id="rId1"/>
  <rowBreaks count="1" manualBreakCount="1">
    <brk id="147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8AB95-FE96-4E38-AED6-DD4F51D444F2}">
  <sheetPr>
    <tabColor theme="8" tint="-0.499984740745262"/>
    <pageSetUpPr fitToPage="1"/>
  </sheetPr>
  <dimension ref="A1:AN231"/>
  <sheetViews>
    <sheetView showGridLines="0" zoomScale="70" zoomScaleNormal="70" zoomScaleSheetLayoutView="30" workbookViewId="0">
      <selection activeCell="R51" sqref="R51"/>
    </sheetView>
  </sheetViews>
  <sheetFormatPr defaultColWidth="8.81640625" defaultRowHeight="14.5"/>
  <cols>
    <col min="1" max="1" width="3.54296875" customWidth="1"/>
    <col min="2" max="2" width="75" style="1" customWidth="1"/>
    <col min="3" max="9" width="12.54296875" customWidth="1"/>
    <col min="10" max="10" width="1.81640625" customWidth="1"/>
    <col min="11" max="11" width="9.453125" customWidth="1"/>
    <col min="12" max="18" width="11.7265625" customWidth="1"/>
    <col min="19" max="19" width="11.453125" customWidth="1"/>
    <col min="20" max="20" width="11.7265625" customWidth="1"/>
    <col min="21" max="26" width="10.81640625" customWidth="1"/>
    <col min="28" max="41" width="0" hidden="1" customWidth="1"/>
  </cols>
  <sheetData>
    <row r="1" spans="1:40" ht="30" customHeight="1">
      <c r="B1" s="739" t="str">
        <f>'Unit costs'!B1</f>
        <v>Relugolix for treating hormone-sensitive prostate cancer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5" customHeight="1">
      <c r="B2" s="216" t="s">
        <v>767</v>
      </c>
      <c r="C2" s="127" t="s">
        <v>106</v>
      </c>
      <c r="D2" s="127" t="s">
        <v>106</v>
      </c>
      <c r="E2" s="127" t="s">
        <v>106</v>
      </c>
      <c r="F2" s="127" t="s">
        <v>106</v>
      </c>
      <c r="G2" s="127" t="s">
        <v>106</v>
      </c>
      <c r="H2" s="127" t="s">
        <v>106</v>
      </c>
      <c r="I2" s="127" t="s">
        <v>106</v>
      </c>
      <c r="J2" s="127" t="s">
        <v>106</v>
      </c>
      <c r="K2" s="127"/>
      <c r="L2" s="127" t="s">
        <v>106</v>
      </c>
      <c r="M2" s="127" t="s">
        <v>106</v>
      </c>
      <c r="N2" s="127" t="s">
        <v>106</v>
      </c>
      <c r="O2" s="127" t="s">
        <v>106</v>
      </c>
      <c r="P2" s="127" t="s">
        <v>106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5" customHeight="1">
      <c r="B3" s="130" t="s">
        <v>106</v>
      </c>
      <c r="C3" s="133" t="s">
        <v>106</v>
      </c>
      <c r="D3" s="133" t="s">
        <v>106</v>
      </c>
      <c r="E3" s="133" t="s">
        <v>106</v>
      </c>
      <c r="F3" s="133" t="s">
        <v>106</v>
      </c>
      <c r="G3" s="133" t="s">
        <v>106</v>
      </c>
      <c r="H3" s="133" t="s">
        <v>106</v>
      </c>
      <c r="I3" s="133" t="s">
        <v>106</v>
      </c>
      <c r="J3" s="133" t="s">
        <v>106</v>
      </c>
      <c r="K3" s="133"/>
      <c r="L3" s="133" t="s">
        <v>106</v>
      </c>
      <c r="M3" s="133" t="s">
        <v>106</v>
      </c>
      <c r="N3" s="133" t="s">
        <v>106</v>
      </c>
      <c r="O3" s="133" t="s">
        <v>106</v>
      </c>
      <c r="P3" s="133" t="s">
        <v>106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5" customHeight="1">
      <c r="B4" t="s">
        <v>736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5" customHeight="1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3.5">
      <c r="B6" s="260" t="s">
        <v>37</v>
      </c>
      <c r="C6" s="211"/>
      <c r="D6" s="425" t="s">
        <v>730</v>
      </c>
      <c r="E6" s="258" t="s">
        <v>50</v>
      </c>
      <c r="F6" s="258" t="s">
        <v>51</v>
      </c>
      <c r="G6" s="165" t="s">
        <v>731</v>
      </c>
      <c r="H6" s="165" t="s">
        <v>732</v>
      </c>
      <c r="I6" s="258" t="s">
        <v>733</v>
      </c>
      <c r="L6" s="425" t="s">
        <v>730</v>
      </c>
      <c r="M6" s="258" t="s">
        <v>50</v>
      </c>
      <c r="N6" s="258" t="s">
        <v>51</v>
      </c>
      <c r="O6" s="165" t="s">
        <v>731</v>
      </c>
      <c r="P6" s="165" t="s">
        <v>732</v>
      </c>
      <c r="Q6" s="258" t="s">
        <v>733</v>
      </c>
      <c r="R6" s="133"/>
      <c r="S6" s="127"/>
      <c r="T6" s="127"/>
      <c r="U6" s="127"/>
      <c r="V6" s="127"/>
      <c r="W6" s="127"/>
      <c r="X6" s="127"/>
      <c r="Y6" s="133"/>
      <c r="Z6" s="133"/>
      <c r="AJ6" s="286"/>
      <c r="AK6" s="286"/>
      <c r="AL6" s="286"/>
      <c r="AM6" s="286"/>
      <c r="AN6" s="286"/>
    </row>
    <row r="7" spans="1:40" ht="14.5" customHeight="1">
      <c r="B7" s="228" t="s">
        <v>1171</v>
      </c>
      <c r="C7" s="168"/>
      <c r="D7" s="382">
        <f>'Inputs and eligible population'!F46</f>
        <v>38172.298042254602</v>
      </c>
      <c r="E7" s="382">
        <f>'Inputs and eligible population'!G46</f>
        <v>38540.347990433729</v>
      </c>
      <c r="F7" s="382">
        <f>'Inputs and eligible population'!H46</f>
        <v>38911.946605350313</v>
      </c>
      <c r="G7" s="382">
        <f>'Inputs and eligible population'!I46</f>
        <v>39287.128102565781</v>
      </c>
      <c r="H7" s="382">
        <f>'Inputs and eligible population'!J46</f>
        <v>39665.927027541431</v>
      </c>
      <c r="I7" s="382">
        <f>'Inputs and eligible population'!K46</f>
        <v>40048.378258819226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286"/>
      <c r="AK7" s="286"/>
      <c r="AL7" s="286"/>
      <c r="AM7" s="286"/>
      <c r="AN7" s="286"/>
    </row>
    <row r="8" spans="1:40" ht="14.5" customHeight="1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286"/>
      <c r="AK8" s="286"/>
      <c r="AL8" s="286"/>
      <c r="AM8" s="286"/>
      <c r="AN8" s="286"/>
    </row>
    <row r="9" spans="1:40" ht="14.5" customHeight="1">
      <c r="B9" s="279" t="s">
        <v>737</v>
      </c>
      <c r="C9" s="442"/>
      <c r="D9" s="442"/>
      <c r="E9" s="443"/>
      <c r="F9" s="442"/>
      <c r="G9" s="444"/>
      <c r="H9" s="445"/>
      <c r="I9" s="445"/>
      <c r="J9" s="160"/>
      <c r="L9" s="779" t="s">
        <v>154</v>
      </c>
      <c r="M9" s="779" t="s">
        <v>154</v>
      </c>
      <c r="N9" s="779" t="s">
        <v>154</v>
      </c>
      <c r="O9" s="779" t="s">
        <v>154</v>
      </c>
      <c r="P9" s="779" t="s">
        <v>154</v>
      </c>
      <c r="Q9" s="779" t="s">
        <v>154</v>
      </c>
      <c r="R9" s="133"/>
      <c r="S9" s="127"/>
      <c r="T9" s="127"/>
      <c r="U9" s="127"/>
      <c r="V9" s="127"/>
      <c r="W9" s="127"/>
      <c r="X9" s="127"/>
      <c r="Y9" s="133"/>
      <c r="Z9" s="133"/>
      <c r="AJ9" s="286"/>
      <c r="AK9" s="286"/>
      <c r="AL9" s="286"/>
      <c r="AM9" s="286"/>
      <c r="AN9" s="286"/>
    </row>
    <row r="10" spans="1:40" ht="14.5" customHeight="1">
      <c r="A10" s="296"/>
      <c r="B10" s="712" t="str">
        <f>B40</f>
        <v>Follow up attendances</v>
      </c>
      <c r="C10" s="387"/>
      <c r="D10" s="427">
        <f t="shared" ref="D10:I10" si="0">D48</f>
        <v>404279.33835660561</v>
      </c>
      <c r="E10" s="427">
        <f t="shared" si="0"/>
        <v>405751.53814932203</v>
      </c>
      <c r="F10" s="427">
        <f t="shared" si="0"/>
        <v>408710.1324017049</v>
      </c>
      <c r="G10" s="427">
        <f t="shared" si="0"/>
        <v>412015.11416911508</v>
      </c>
      <c r="H10" s="427">
        <f t="shared" si="0"/>
        <v>415669.82325328037</v>
      </c>
      <c r="I10" s="427">
        <f t="shared" si="0"/>
        <v>419677.63165765384</v>
      </c>
      <c r="L10" s="293">
        <f t="shared" ref="L10:Q10" si="1">L48</f>
        <v>57003.386708281396</v>
      </c>
      <c r="M10" s="293">
        <f t="shared" si="1"/>
        <v>57210.966879054409</v>
      </c>
      <c r="N10" s="293">
        <f t="shared" si="1"/>
        <v>57628.128668640391</v>
      </c>
      <c r="O10" s="293">
        <f t="shared" si="1"/>
        <v>58094.131097845231</v>
      </c>
      <c r="P10" s="293">
        <f t="shared" si="1"/>
        <v>58609.445078712539</v>
      </c>
      <c r="Q10" s="293">
        <f t="shared" si="1"/>
        <v>59174.546063729191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286"/>
      <c r="AK10" s="286"/>
      <c r="AL10" s="286"/>
      <c r="AM10" s="286"/>
      <c r="AN10" s="286"/>
    </row>
    <row r="11" spans="1:40">
      <c r="A11" s="296"/>
      <c r="B11" s="446" t="str">
        <f>B51</f>
        <v>Administrations</v>
      </c>
      <c r="C11" s="421"/>
      <c r="D11" s="420">
        <f t="shared" ref="D11:I11" si="2">D55</f>
        <v>689489.31528207788</v>
      </c>
      <c r="E11" s="420">
        <f t="shared" si="2"/>
        <v>718958.1181090168</v>
      </c>
      <c r="F11" s="420">
        <f t="shared" si="2"/>
        <v>760325.469122421</v>
      </c>
      <c r="G11" s="420">
        <f t="shared" si="2"/>
        <v>790237.42713417462</v>
      </c>
      <c r="H11" s="420">
        <f t="shared" si="2"/>
        <v>827823.85528278933</v>
      </c>
      <c r="I11" s="420">
        <f t="shared" si="2"/>
        <v>859460.91970178811</v>
      </c>
      <c r="L11" s="293">
        <f t="shared" ref="L11:P11" si="3">L55</f>
        <v>10480.237592287584</v>
      </c>
      <c r="M11" s="293">
        <f t="shared" si="3"/>
        <v>10928.163395257056</v>
      </c>
      <c r="N11" s="293">
        <f t="shared" si="3"/>
        <v>11556.947130660801</v>
      </c>
      <c r="O11" s="293">
        <f t="shared" si="3"/>
        <v>12011.608892439455</v>
      </c>
      <c r="P11" s="293">
        <f t="shared" si="3"/>
        <v>12582.922600298398</v>
      </c>
      <c r="Q11" s="293">
        <f>Q55</f>
        <v>13063.805979467179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286"/>
      <c r="AK11" s="286"/>
      <c r="AL11" s="286"/>
      <c r="AM11" s="286"/>
      <c r="AN11" s="286"/>
    </row>
    <row r="12" spans="1:40">
      <c r="A12" s="287"/>
      <c r="B12" s="447" t="str">
        <f>B74</f>
        <v>Administrations - duration of administrations (hours)</v>
      </c>
      <c r="C12" s="452"/>
      <c r="D12" s="422">
        <f t="shared" ref="D12:I12" si="4">D81</f>
        <v>172372.32882051947</v>
      </c>
      <c r="E12" s="422">
        <f t="shared" si="4"/>
        <v>160951.10988191777</v>
      </c>
      <c r="F12" s="422">
        <f t="shared" si="4"/>
        <v>146000.18234179117</v>
      </c>
      <c r="G12" s="422">
        <f t="shared" si="4"/>
        <v>136289.20930148815</v>
      </c>
      <c r="H12" s="422">
        <f t="shared" si="4"/>
        <v>126843.36481917489</v>
      </c>
      <c r="I12" s="422">
        <f t="shared" si="4"/>
        <v>120734.26461305415</v>
      </c>
      <c r="L12" s="209"/>
      <c r="M12" s="209"/>
      <c r="N12" s="209"/>
      <c r="O12" s="209"/>
      <c r="P12" s="419"/>
      <c r="Q12" s="419"/>
      <c r="R12" s="133"/>
      <c r="S12" s="133"/>
      <c r="T12" s="133"/>
      <c r="U12" s="133"/>
      <c r="V12" s="133"/>
      <c r="W12" s="133"/>
      <c r="X12" s="133"/>
      <c r="Y12" s="133"/>
      <c r="Z12" s="133"/>
      <c r="AJ12" s="286"/>
      <c r="AK12" s="286"/>
      <c r="AL12" s="286"/>
      <c r="AM12" s="286"/>
      <c r="AN12" s="286"/>
    </row>
    <row r="13" spans="1:40">
      <c r="A13" s="287"/>
      <c r="B13" s="447" t="str">
        <f>B84</f>
        <v>Preparation time before administration (hours)</v>
      </c>
      <c r="C13" s="452"/>
      <c r="D13" s="422">
        <f t="shared" ref="D13:I13" si="5">D91</f>
        <v>172372.32882051947</v>
      </c>
      <c r="E13" s="422">
        <f t="shared" si="5"/>
        <v>160951.10988191777</v>
      </c>
      <c r="F13" s="422">
        <f t="shared" si="5"/>
        <v>146000.18234179117</v>
      </c>
      <c r="G13" s="422">
        <f t="shared" si="5"/>
        <v>136289.20930148815</v>
      </c>
      <c r="H13" s="422">
        <f t="shared" si="5"/>
        <v>126843.36481917489</v>
      </c>
      <c r="I13" s="422">
        <f t="shared" si="5"/>
        <v>120734.26461305415</v>
      </c>
      <c r="L13" s="209"/>
      <c r="M13" s="209"/>
      <c r="N13" s="209"/>
      <c r="O13" s="209"/>
      <c r="P13" s="419"/>
      <c r="Q13" s="419"/>
      <c r="R13" s="133"/>
      <c r="S13" s="133"/>
      <c r="T13" s="133"/>
      <c r="U13" s="133"/>
      <c r="V13" s="133"/>
      <c r="W13" s="133"/>
      <c r="X13" s="133"/>
      <c r="Y13" s="133"/>
      <c r="Z13" s="133"/>
      <c r="AJ13" s="286"/>
      <c r="AK13" s="286"/>
      <c r="AL13" s="286"/>
      <c r="AM13" s="286"/>
      <c r="AN13" s="286"/>
    </row>
    <row r="14" spans="1:40">
      <c r="A14" s="287"/>
      <c r="B14" s="447" t="str">
        <f>B94</f>
        <v>Post administration nursing time (hours)</v>
      </c>
      <c r="C14" s="452"/>
      <c r="D14" s="422">
        <f t="shared" ref="D14:I14" si="6">D101</f>
        <v>172372.32882051947</v>
      </c>
      <c r="E14" s="423">
        <f t="shared" si="6"/>
        <v>160951.10988191777</v>
      </c>
      <c r="F14" s="422">
        <f t="shared" si="6"/>
        <v>146000.18234179117</v>
      </c>
      <c r="G14" s="422">
        <f t="shared" si="6"/>
        <v>136289.20930148815</v>
      </c>
      <c r="H14" s="422">
        <f t="shared" si="6"/>
        <v>126843.36481917489</v>
      </c>
      <c r="I14" s="422">
        <f t="shared" si="6"/>
        <v>120734.26461305415</v>
      </c>
      <c r="L14" s="209"/>
      <c r="M14" s="209"/>
      <c r="N14" s="209"/>
      <c r="O14" s="209"/>
      <c r="P14" s="419"/>
      <c r="Q14" s="419"/>
      <c r="R14" s="133"/>
      <c r="S14" s="133"/>
      <c r="T14" s="133"/>
      <c r="U14" s="133"/>
      <c r="V14" s="133"/>
      <c r="W14" s="133"/>
      <c r="X14" s="133"/>
      <c r="Y14" s="133"/>
      <c r="Z14" s="133"/>
      <c r="AJ14" s="286"/>
      <c r="AK14" s="286"/>
      <c r="AL14" s="286"/>
      <c r="AM14" s="286"/>
      <c r="AN14" s="286"/>
    </row>
    <row r="15" spans="1:40" hidden="1">
      <c r="A15" s="289"/>
      <c r="B15" s="448" t="str">
        <f>B105</f>
        <v>In-house aseptic unit preparations, number made</v>
      </c>
      <c r="C15" s="453"/>
      <c r="D15" s="424"/>
      <c r="E15" s="424"/>
      <c r="F15" s="424"/>
      <c r="G15" s="424"/>
      <c r="H15" s="424"/>
      <c r="I15" s="424"/>
      <c r="L15" s="209"/>
      <c r="M15" s="209"/>
      <c r="N15" s="209"/>
      <c r="O15" s="209"/>
      <c r="P15" s="419"/>
      <c r="Q15" s="419"/>
      <c r="R15" s="133"/>
      <c r="S15" s="133"/>
      <c r="T15" s="133"/>
      <c r="U15" s="133"/>
      <c r="V15" s="133"/>
      <c r="W15" s="133"/>
      <c r="X15" s="133"/>
      <c r="Y15" s="133"/>
      <c r="Z15" s="133"/>
      <c r="AJ15" s="286"/>
      <c r="AK15" s="286"/>
      <c r="AL15" s="286"/>
      <c r="AM15" s="286"/>
      <c r="AN15" s="286"/>
    </row>
    <row r="16" spans="1:40" hidden="1">
      <c r="A16" s="289"/>
      <c r="B16" s="448" t="str">
        <f>B113</f>
        <v>Bought-in aseptic unit preparations, number bought in</v>
      </c>
      <c r="C16" s="453"/>
      <c r="D16" s="424"/>
      <c r="E16" s="424"/>
      <c r="F16" s="424"/>
      <c r="G16" s="424"/>
      <c r="H16" s="424"/>
      <c r="I16" s="424"/>
      <c r="L16" s="209"/>
      <c r="M16" s="209"/>
      <c r="N16" s="209"/>
      <c r="O16" s="209"/>
      <c r="P16" s="419"/>
      <c r="Q16" s="419"/>
      <c r="R16" s="133"/>
      <c r="S16" s="133"/>
      <c r="T16" s="133"/>
      <c r="U16" s="133"/>
      <c r="V16" s="133"/>
      <c r="W16" s="133"/>
      <c r="X16" s="133"/>
      <c r="Y16" s="133"/>
      <c r="Z16" s="133"/>
      <c r="AJ16" s="286"/>
      <c r="AK16" s="286"/>
      <c r="AL16" s="286"/>
      <c r="AM16" s="286"/>
      <c r="AN16" s="286"/>
    </row>
    <row r="17" spans="1:40" hidden="1">
      <c r="A17" s="289"/>
      <c r="B17" s="448" t="str">
        <f>B121</f>
        <v>In-house aseptic unit preparations, pharmacy time (hours)</v>
      </c>
      <c r="C17" s="453"/>
      <c r="D17" s="424"/>
      <c r="E17" s="424"/>
      <c r="F17" s="424"/>
      <c r="G17" s="424"/>
      <c r="H17" s="424"/>
      <c r="I17" s="424"/>
      <c r="L17" s="209"/>
      <c r="M17" s="209"/>
      <c r="N17" s="209"/>
      <c r="O17" s="209"/>
      <c r="P17" s="419"/>
      <c r="Q17" s="419"/>
      <c r="R17" s="133"/>
      <c r="S17" s="133"/>
      <c r="T17" s="133"/>
      <c r="U17" s="133"/>
      <c r="V17" s="133"/>
      <c r="W17" s="133"/>
      <c r="X17" s="133"/>
      <c r="Y17" s="133"/>
      <c r="Z17" s="133"/>
      <c r="AJ17" s="286"/>
      <c r="AK17" s="286"/>
      <c r="AL17" s="286"/>
      <c r="AM17" s="286"/>
      <c r="AN17" s="286"/>
    </row>
    <row r="18" spans="1:40" hidden="1">
      <c r="A18" s="289"/>
      <c r="B18" s="448" t="str">
        <f>B129</f>
        <v>Bought-in aseptic unit preparations, pharmacy time (hours)</v>
      </c>
      <c r="C18" s="453"/>
      <c r="D18" s="424"/>
      <c r="E18" s="424"/>
      <c r="F18" s="424"/>
      <c r="G18" s="424"/>
      <c r="H18" s="424"/>
      <c r="I18" s="424"/>
      <c r="L18" s="209"/>
      <c r="M18" s="209"/>
      <c r="N18" s="209"/>
      <c r="O18" s="209"/>
      <c r="P18" s="419"/>
      <c r="Q18" s="419"/>
      <c r="R18" s="133"/>
      <c r="S18" s="133"/>
      <c r="T18" s="133"/>
      <c r="U18" s="133"/>
      <c r="V18" s="133"/>
      <c r="W18" s="133"/>
      <c r="X18" s="133"/>
      <c r="Y18" s="133"/>
      <c r="Z18" s="133"/>
      <c r="AJ18" s="286"/>
      <c r="AK18" s="286"/>
      <c r="AL18" s="286"/>
      <c r="AM18" s="286"/>
      <c r="AN18" s="286"/>
    </row>
    <row r="19" spans="1:40">
      <c r="A19" s="289"/>
      <c r="B19" s="448" t="str">
        <f>B137</f>
        <v>Drug regimen prep (hours)</v>
      </c>
      <c r="C19" s="453"/>
      <c r="D19" s="424">
        <f>D144</f>
        <v>0</v>
      </c>
      <c r="E19" s="424">
        <f t="shared" ref="E19:I19" si="7">E144</f>
        <v>0</v>
      </c>
      <c r="F19" s="424">
        <f t="shared" si="7"/>
        <v>0</v>
      </c>
      <c r="G19" s="424">
        <f t="shared" si="7"/>
        <v>0</v>
      </c>
      <c r="H19" s="424">
        <f t="shared" si="7"/>
        <v>0</v>
      </c>
      <c r="I19" s="424">
        <f t="shared" si="7"/>
        <v>0</v>
      </c>
      <c r="L19" s="209"/>
      <c r="M19" s="209"/>
      <c r="N19" s="209"/>
      <c r="O19" s="209"/>
      <c r="P19" s="419"/>
      <c r="Q19" s="419"/>
      <c r="R19" s="133"/>
      <c r="S19" s="133"/>
      <c r="T19" s="133"/>
      <c r="U19" s="133"/>
      <c r="V19" s="133"/>
      <c r="W19" s="133"/>
      <c r="X19" s="133"/>
      <c r="Y19" s="133"/>
      <c r="Z19" s="133"/>
      <c r="AJ19" s="286"/>
      <c r="AK19" s="286"/>
      <c r="AL19" s="286"/>
      <c r="AM19" s="286"/>
      <c r="AN19" s="286"/>
    </row>
    <row r="20" spans="1:40" ht="14.5" customHeight="1">
      <c r="A20" s="332"/>
      <c r="B20" s="449" t="str">
        <f>B148</f>
        <v>Appointments with x specialty</v>
      </c>
      <c r="C20" s="454"/>
      <c r="D20" s="428">
        <f t="shared" ref="D20:I20" si="8">D156</f>
        <v>0</v>
      </c>
      <c r="E20" s="428">
        <f t="shared" si="8"/>
        <v>0</v>
      </c>
      <c r="F20" s="428">
        <f t="shared" si="8"/>
        <v>0</v>
      </c>
      <c r="G20" s="428">
        <f t="shared" si="8"/>
        <v>0</v>
      </c>
      <c r="H20" s="428">
        <f t="shared" si="8"/>
        <v>0</v>
      </c>
      <c r="I20" s="428">
        <f t="shared" si="8"/>
        <v>0</v>
      </c>
      <c r="L20" s="293">
        <f t="shared" ref="L20:Q20" si="9">L156</f>
        <v>0</v>
      </c>
      <c r="M20" s="293">
        <f t="shared" si="9"/>
        <v>0</v>
      </c>
      <c r="N20" s="293">
        <f t="shared" si="9"/>
        <v>0</v>
      </c>
      <c r="O20" s="293">
        <f t="shared" si="9"/>
        <v>0</v>
      </c>
      <c r="P20" s="293">
        <f t="shared" si="9"/>
        <v>0</v>
      </c>
      <c r="Q20" s="293">
        <f t="shared" si="9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286"/>
      <c r="AK20" s="286"/>
      <c r="AL20" s="286"/>
      <c r="AM20" s="286"/>
      <c r="AN20" s="286"/>
    </row>
    <row r="21" spans="1:40" ht="14.5" customHeight="1">
      <c r="A21" s="290"/>
      <c r="B21" s="450" t="s">
        <v>1022</v>
      </c>
      <c r="C21" s="455"/>
      <c r="D21" s="429">
        <f t="shared" ref="D21:I21" si="10">D168</f>
        <v>758023.75941863551</v>
      </c>
      <c r="E21" s="429">
        <f t="shared" si="10"/>
        <v>760784.13402997889</v>
      </c>
      <c r="F21" s="429">
        <f t="shared" si="10"/>
        <v>766331.49825319683</v>
      </c>
      <c r="G21" s="429">
        <f t="shared" si="10"/>
        <v>772528.33906709077</v>
      </c>
      <c r="H21" s="429">
        <f t="shared" si="10"/>
        <v>779380.91859990079</v>
      </c>
      <c r="I21" s="429">
        <f t="shared" si="10"/>
        <v>786895.55935810087</v>
      </c>
      <c r="L21" s="209"/>
      <c r="M21" s="209"/>
      <c r="N21" s="209"/>
      <c r="O21" s="209"/>
      <c r="P21" s="419"/>
      <c r="Q21" s="419"/>
      <c r="R21" s="133"/>
      <c r="S21" s="133"/>
      <c r="T21" s="133"/>
      <c r="U21" s="133"/>
      <c r="V21" s="133"/>
      <c r="W21" s="133"/>
      <c r="X21" s="133"/>
      <c r="Y21" s="133"/>
      <c r="Z21" s="133"/>
      <c r="AJ21" s="286"/>
      <c r="AK21" s="286"/>
      <c r="AL21" s="286"/>
      <c r="AM21" s="286"/>
      <c r="AN21" s="286"/>
    </row>
    <row r="22" spans="1:40" ht="15" customHeight="1">
      <c r="A22" s="290"/>
      <c r="B22" s="450" t="s">
        <v>1091</v>
      </c>
      <c r="C22" s="455"/>
      <c r="D22" s="429">
        <f>D179</f>
        <v>202139.66917830281</v>
      </c>
      <c r="E22" s="429">
        <f t="shared" ref="E22:I22" si="11">E179</f>
        <v>202875.76907466102</v>
      </c>
      <c r="F22" s="429">
        <f t="shared" si="11"/>
        <v>204355.06620085245</v>
      </c>
      <c r="G22" s="429">
        <f t="shared" si="11"/>
        <v>206007.55708455754</v>
      </c>
      <c r="H22" s="429">
        <f t="shared" si="11"/>
        <v>207834.91162664018</v>
      </c>
      <c r="I22" s="429">
        <f t="shared" si="11"/>
        <v>209838.81582882692</v>
      </c>
      <c r="L22" s="209"/>
      <c r="M22" s="209"/>
      <c r="N22" s="209"/>
      <c r="O22" s="209"/>
      <c r="P22" s="419"/>
      <c r="Q22" s="419"/>
      <c r="R22" s="133"/>
      <c r="S22" s="133"/>
      <c r="T22" s="133"/>
      <c r="U22" s="133"/>
      <c r="V22" s="133"/>
      <c r="W22" s="133"/>
      <c r="X22" s="133"/>
      <c r="Y22" s="133"/>
      <c r="Z22" s="133"/>
      <c r="AJ22" s="286"/>
      <c r="AK22" s="286"/>
      <c r="AL22" s="286"/>
      <c r="AM22" s="286"/>
      <c r="AN22" s="286"/>
    </row>
    <row r="23" spans="1:40" ht="15" customHeight="1">
      <c r="A23" s="290"/>
      <c r="B23" s="450" t="s">
        <v>1088</v>
      </c>
      <c r="C23" s="455"/>
      <c r="D23" s="429">
        <f>D190</f>
        <v>758023.75941863551</v>
      </c>
      <c r="E23" s="429">
        <f t="shared" ref="E23:I23" si="12">E190</f>
        <v>760784.13402997889</v>
      </c>
      <c r="F23" s="429">
        <f t="shared" si="12"/>
        <v>766331.49825319683</v>
      </c>
      <c r="G23" s="429">
        <f t="shared" si="12"/>
        <v>772528.33906709077</v>
      </c>
      <c r="H23" s="429">
        <f t="shared" si="12"/>
        <v>779380.91859990079</v>
      </c>
      <c r="I23" s="429">
        <f t="shared" si="12"/>
        <v>786895.55935810087</v>
      </c>
      <c r="L23" s="209"/>
      <c r="M23" s="209"/>
      <c r="N23" s="209"/>
      <c r="O23" s="209"/>
      <c r="P23" s="419"/>
      <c r="Q23" s="419"/>
      <c r="R23" s="133"/>
      <c r="S23" s="133"/>
      <c r="T23" s="133"/>
      <c r="U23" s="133"/>
      <c r="V23" s="133"/>
      <c r="W23" s="133"/>
      <c r="X23" s="133"/>
      <c r="Y23" s="133"/>
      <c r="Z23" s="133"/>
      <c r="AJ23" s="286"/>
      <c r="AK23" s="286"/>
      <c r="AL23" s="286"/>
      <c r="AM23" s="286"/>
      <c r="AN23" s="286"/>
    </row>
    <row r="24" spans="1:40" ht="15" customHeight="1">
      <c r="A24" s="290"/>
      <c r="B24" s="450" t="s">
        <v>1089</v>
      </c>
      <c r="C24" s="455"/>
      <c r="D24" s="429">
        <f>D201</f>
        <v>758023.75941863551</v>
      </c>
      <c r="E24" s="429">
        <f t="shared" ref="E24:I24" si="13">E201</f>
        <v>760784.13402997889</v>
      </c>
      <c r="F24" s="429">
        <f t="shared" si="13"/>
        <v>766331.49825319683</v>
      </c>
      <c r="G24" s="429">
        <f t="shared" si="13"/>
        <v>772528.33906709077</v>
      </c>
      <c r="H24" s="429">
        <f t="shared" si="13"/>
        <v>779380.91859990079</v>
      </c>
      <c r="I24" s="429">
        <f t="shared" si="13"/>
        <v>786895.55935810087</v>
      </c>
      <c r="L24" s="209"/>
      <c r="M24" s="209"/>
      <c r="N24" s="209"/>
      <c r="O24" s="209"/>
      <c r="P24" s="419"/>
      <c r="Q24" s="419"/>
      <c r="R24" s="133"/>
      <c r="S24" s="133"/>
      <c r="T24" s="133"/>
      <c r="U24" s="133"/>
      <c r="V24" s="133"/>
      <c r="W24" s="133"/>
      <c r="X24" s="133"/>
      <c r="Y24" s="133"/>
      <c r="Z24" s="133"/>
      <c r="AJ24" s="286"/>
      <c r="AK24" s="286"/>
      <c r="AL24" s="286"/>
      <c r="AM24" s="286"/>
      <c r="AN24" s="286"/>
    </row>
    <row r="25" spans="1:40" ht="15" customHeight="1">
      <c r="A25" s="290"/>
      <c r="B25" s="450" t="s">
        <v>1090</v>
      </c>
      <c r="C25" s="455"/>
      <c r="D25" s="429">
        <f>D212</f>
        <v>758023.75941863551</v>
      </c>
      <c r="E25" s="429">
        <f t="shared" ref="E25:I25" si="14">E212</f>
        <v>760784.13402997889</v>
      </c>
      <c r="F25" s="429">
        <f t="shared" si="14"/>
        <v>766331.49825319683</v>
      </c>
      <c r="G25" s="429">
        <f t="shared" si="14"/>
        <v>772528.33906709077</v>
      </c>
      <c r="H25" s="429">
        <f t="shared" si="14"/>
        <v>779380.91859990079</v>
      </c>
      <c r="I25" s="429">
        <f t="shared" si="14"/>
        <v>786895.55935810087</v>
      </c>
      <c r="L25" s="209"/>
      <c r="M25" s="209"/>
      <c r="N25" s="209"/>
      <c r="O25" s="209"/>
      <c r="P25" s="419"/>
      <c r="Q25" s="419"/>
      <c r="R25" s="133"/>
      <c r="S25" s="133"/>
      <c r="T25" s="133"/>
      <c r="U25" s="133"/>
      <c r="V25" s="133"/>
      <c r="W25" s="133"/>
      <c r="X25" s="133"/>
      <c r="Y25" s="133"/>
      <c r="Z25" s="133"/>
      <c r="AJ25" s="286"/>
      <c r="AK25" s="286"/>
      <c r="AL25" s="286"/>
      <c r="AM25" s="286"/>
      <c r="AN25" s="286"/>
    </row>
    <row r="26" spans="1:40" ht="15" customHeight="1">
      <c r="A26" s="291"/>
      <c r="B26" s="451" t="str">
        <f>B216</f>
        <v>Adverse events, various (cases)</v>
      </c>
      <c r="C26" s="435"/>
      <c r="D26" s="430">
        <f t="shared" ref="D26:I26" si="15">D224</f>
        <v>12567.085390763357</v>
      </c>
      <c r="E26" s="430">
        <f t="shared" si="15"/>
        <v>12119.003430766079</v>
      </c>
      <c r="F26" s="430">
        <f t="shared" si="15"/>
        <v>11546.162347591255</v>
      </c>
      <c r="G26" s="430">
        <f t="shared" si="15"/>
        <v>11215.738721471955</v>
      </c>
      <c r="H26" s="430">
        <f t="shared" si="15"/>
        <v>10894.319409227268</v>
      </c>
      <c r="I26" s="430">
        <f t="shared" si="15"/>
        <v>10696.636698156333</v>
      </c>
      <c r="J26" s="133"/>
      <c r="K26" s="133"/>
      <c r="L26" s="293">
        <f t="shared" ref="L26:Q26" si="16">L224</f>
        <v>66629.09021929928</v>
      </c>
      <c r="M26" s="293">
        <f t="shared" si="16"/>
        <v>64253.416591725902</v>
      </c>
      <c r="N26" s="293">
        <f t="shared" si="16"/>
        <v>61216.285942464179</v>
      </c>
      <c r="O26" s="293">
        <f t="shared" si="16"/>
        <v>59464.421853797125</v>
      </c>
      <c r="P26" s="293">
        <f t="shared" si="16"/>
        <v>57760.297493385217</v>
      </c>
      <c r="Q26" s="293">
        <f t="shared" si="16"/>
        <v>56712.208872898744</v>
      </c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40" ht="14.5" customHeight="1">
      <c r="B27" s="250"/>
      <c r="D27" s="286"/>
      <c r="F27" s="133"/>
      <c r="G27" s="133"/>
      <c r="H27" s="133"/>
      <c r="I27" s="133"/>
      <c r="J27" s="133"/>
      <c r="K27" s="133"/>
      <c r="L27" s="294">
        <f t="shared" ref="L27:Q27" si="17">SUM(L10:L26)</f>
        <v>134112.71451986826</v>
      </c>
      <c r="M27" s="294">
        <f t="shared" si="17"/>
        <v>132392.54686603736</v>
      </c>
      <c r="N27" s="294">
        <f t="shared" si="17"/>
        <v>130401.36174176537</v>
      </c>
      <c r="O27" s="294">
        <f t="shared" si="17"/>
        <v>129570.1618440818</v>
      </c>
      <c r="P27" s="294">
        <f t="shared" si="17"/>
        <v>128952.66517239614</v>
      </c>
      <c r="Q27" s="294">
        <f t="shared" si="17"/>
        <v>128950.56091609511</v>
      </c>
      <c r="R27" s="772"/>
      <c r="S27" s="133"/>
      <c r="T27" s="133"/>
      <c r="U27" s="133"/>
      <c r="V27" s="133"/>
      <c r="W27" s="133"/>
      <c r="X27" s="133"/>
      <c r="Y27" s="133"/>
      <c r="Z27" s="133"/>
    </row>
    <row r="28" spans="1:40" ht="14.5" customHeight="1">
      <c r="B28" s="321"/>
      <c r="C28" s="321"/>
      <c r="D28" s="321"/>
      <c r="E28" s="321"/>
      <c r="F28" s="321"/>
      <c r="G28" s="321"/>
      <c r="H28" s="321"/>
      <c r="I28" s="321"/>
      <c r="J28" s="133"/>
      <c r="K28" s="133"/>
      <c r="L28" s="682"/>
      <c r="M28" s="682"/>
      <c r="N28" s="682"/>
      <c r="O28" s="682"/>
      <c r="P28" s="682"/>
      <c r="Q28" s="183"/>
      <c r="R28" s="133"/>
      <c r="S28" s="133"/>
      <c r="T28" s="133"/>
      <c r="U28" s="133"/>
      <c r="V28" s="133"/>
      <c r="W28" s="133"/>
      <c r="X28" s="133"/>
      <c r="Y28" s="133"/>
      <c r="Z28" s="133"/>
    </row>
    <row r="29" spans="1:40">
      <c r="B29" s="374" t="s">
        <v>738</v>
      </c>
      <c r="C29" s="375"/>
      <c r="D29" s="375"/>
      <c r="E29" s="376"/>
      <c r="F29" s="375"/>
      <c r="G29" s="377"/>
      <c r="H29" s="378"/>
      <c r="I29" s="378"/>
      <c r="J29" s="378"/>
      <c r="K29" s="378"/>
      <c r="L29" s="378"/>
      <c r="M29" s="378"/>
      <c r="N29" s="378"/>
      <c r="O29" s="378"/>
      <c r="P29" s="378"/>
      <c r="Q29" s="379"/>
      <c r="R29" s="133"/>
      <c r="S29" s="133"/>
      <c r="T29" s="133"/>
      <c r="U29" s="133"/>
      <c r="V29" s="133"/>
      <c r="W29" s="133"/>
      <c r="X29" s="133"/>
      <c r="Y29" s="133"/>
      <c r="Z29" s="133"/>
      <c r="AJ29" s="286"/>
      <c r="AK29" s="286"/>
      <c r="AL29" s="286"/>
      <c r="AM29" s="286"/>
      <c r="AN29" s="286"/>
    </row>
    <row r="30" spans="1:40">
      <c r="A30" s="288"/>
      <c r="B30" s="708"/>
      <c r="C30" s="703"/>
      <c r="D30" s="704"/>
      <c r="E30" s="705"/>
      <c r="F30" s="288"/>
      <c r="G30" s="288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133"/>
      <c r="S30" s="133"/>
      <c r="T30" s="133"/>
      <c r="U30" s="133"/>
      <c r="V30" s="133"/>
      <c r="W30" s="133"/>
      <c r="X30" s="133"/>
      <c r="Y30" s="133"/>
      <c r="Z30" s="133"/>
      <c r="AJ30" s="286"/>
      <c r="AK30" s="286"/>
      <c r="AL30" s="286"/>
      <c r="AM30" s="286"/>
      <c r="AN30" s="286"/>
    </row>
    <row r="31" spans="1:40" hidden="1">
      <c r="A31" s="288"/>
      <c r="B31" s="679" t="s">
        <v>1023</v>
      </c>
      <c r="C31" s="713"/>
      <c r="D31" s="713"/>
      <c r="E31" s="680"/>
      <c r="F31" s="681"/>
      <c r="G31" s="307"/>
      <c r="H31" s="307"/>
      <c r="I31" s="387"/>
      <c r="J31" s="714"/>
      <c r="K31" s="288"/>
      <c r="L31" s="288"/>
      <c r="M31" s="288"/>
      <c r="N31" s="288"/>
      <c r="O31" s="288"/>
      <c r="P31" s="288"/>
      <c r="Q31" s="221"/>
      <c r="R31" s="133"/>
      <c r="S31" s="133"/>
      <c r="V31" s="133"/>
    </row>
    <row r="32" spans="1:40" hidden="1">
      <c r="A32" s="706"/>
      <c r="B32" s="707" t="s">
        <v>1013</v>
      </c>
      <c r="C32" s="397"/>
      <c r="D32" s="397"/>
      <c r="E32" s="397"/>
      <c r="F32" s="397"/>
      <c r="G32" s="397"/>
      <c r="H32" s="397"/>
      <c r="I32" s="220"/>
      <c r="J32" s="221"/>
      <c r="K32" s="221"/>
      <c r="L32" s="221"/>
      <c r="M32" s="221"/>
      <c r="N32" s="221"/>
      <c r="O32" s="221"/>
      <c r="P32" s="221"/>
      <c r="Q32" s="221"/>
      <c r="R32" s="133"/>
      <c r="S32" s="133"/>
      <c r="T32" s="133"/>
      <c r="U32" s="133"/>
      <c r="V32" s="133"/>
      <c r="W32" s="133"/>
      <c r="X32" s="133"/>
      <c r="Y32" s="133"/>
      <c r="Z32" s="133"/>
      <c r="AJ32" s="286"/>
      <c r="AK32" s="286"/>
      <c r="AL32" s="286"/>
      <c r="AM32" s="286"/>
      <c r="AN32" s="286"/>
    </row>
    <row r="33" spans="1:40" ht="43.5" hidden="1">
      <c r="A33" s="706"/>
      <c r="B33" s="320" t="s">
        <v>123</v>
      </c>
      <c r="C33" s="166" t="s">
        <v>739</v>
      </c>
      <c r="D33" s="425" t="s">
        <v>730</v>
      </c>
      <c r="E33" s="258" t="s">
        <v>50</v>
      </c>
      <c r="F33" s="258" t="s">
        <v>51</v>
      </c>
      <c r="G33" s="165" t="s">
        <v>731</v>
      </c>
      <c r="H33" s="165" t="s">
        <v>732</v>
      </c>
      <c r="I33" s="258" t="s">
        <v>733</v>
      </c>
      <c r="J33" s="711"/>
      <c r="K33" s="715" t="s">
        <v>1045</v>
      </c>
      <c r="L33" s="425" t="s">
        <v>730</v>
      </c>
      <c r="M33" s="258" t="s">
        <v>50</v>
      </c>
      <c r="N33" s="258" t="s">
        <v>51</v>
      </c>
      <c r="O33" s="165" t="s">
        <v>731</v>
      </c>
      <c r="P33" s="165" t="s">
        <v>732</v>
      </c>
      <c r="Q33" s="258" t="s">
        <v>733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286"/>
      <c r="AK33" s="286"/>
      <c r="AL33" s="286"/>
      <c r="AM33" s="286"/>
      <c r="AN33" s="286"/>
    </row>
    <row r="34" spans="1:40" hidden="1">
      <c r="A34" s="706"/>
      <c r="B34" s="351" t="s">
        <v>1054</v>
      </c>
      <c r="C34" s="677" t="e">
        <f>'Inputs and eligible population'!#REF!</f>
        <v>#REF!</v>
      </c>
      <c r="D34" s="128" t="e">
        <f>'Financial impact (cash)'!D15*$C$34</f>
        <v>#REF!</v>
      </c>
      <c r="E34" s="128" t="e">
        <f>'Financial impact (cash)'!E15*$C$34</f>
        <v>#REF!</v>
      </c>
      <c r="F34" s="128" t="e">
        <f>'Financial impact (cash)'!F15*$C$34</f>
        <v>#REF!</v>
      </c>
      <c r="G34" s="128" t="e">
        <f>'Financial impact (cash)'!G15*$C$34</f>
        <v>#REF!</v>
      </c>
      <c r="H34" s="128" t="e">
        <f>'Financial impact (cash)'!H15*$C$34</f>
        <v>#REF!</v>
      </c>
      <c r="I34" s="128" t="e">
        <f>'Financial impact (cash)'!I15*$C$34</f>
        <v>#REF!</v>
      </c>
      <c r="J34" s="711"/>
      <c r="K34" s="717" t="e">
        <f>'Unit costs'!#REF!</f>
        <v>#REF!</v>
      </c>
      <c r="L34" s="293" t="e">
        <f>(D34*'Unit costs'!#REF!)/1000</f>
        <v>#REF!</v>
      </c>
      <c r="M34" s="293" t="e">
        <f>(E34*'Unit costs'!#REF!)/1000</f>
        <v>#REF!</v>
      </c>
      <c r="N34" s="293" t="e">
        <f>(F34*'Unit costs'!#REF!)/1000</f>
        <v>#REF!</v>
      </c>
      <c r="O34" s="293" t="e">
        <f>(G34*'Unit costs'!#REF!)/1000</f>
        <v>#REF!</v>
      </c>
      <c r="P34" s="293" t="e">
        <f>(H34*'Unit costs'!#REF!)/1000</f>
        <v>#REF!</v>
      </c>
      <c r="Q34" s="293" t="e">
        <f>(I34*'Unit costs'!#REF!)/1000</f>
        <v>#REF!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286"/>
      <c r="AK34" s="286"/>
      <c r="AL34" s="286"/>
      <c r="AM34" s="286"/>
      <c r="AN34" s="286"/>
    </row>
    <row r="35" spans="1:40" hidden="1">
      <c r="A35" s="706"/>
      <c r="B35" s="351" t="s">
        <v>1055</v>
      </c>
      <c r="C35" s="677" t="e">
        <f>'Inputs and eligible population'!#REF!</f>
        <v>#REF!</v>
      </c>
      <c r="D35" s="128" t="e">
        <f>'Financial impact (cash)'!D16*$C$34</f>
        <v>#REF!</v>
      </c>
      <c r="E35" s="128" t="e">
        <f>'Financial impact (cash)'!E16*$C$34</f>
        <v>#REF!</v>
      </c>
      <c r="F35" s="128" t="e">
        <f>'Financial impact (cash)'!F16*$C$34</f>
        <v>#REF!</v>
      </c>
      <c r="G35" s="128" t="e">
        <f>'Financial impact (cash)'!G16*$C$34</f>
        <v>#REF!</v>
      </c>
      <c r="H35" s="128" t="e">
        <f>'Financial impact (cash)'!H16*$C$34</f>
        <v>#REF!</v>
      </c>
      <c r="I35" s="128" t="e">
        <f>'Financial impact (cash)'!I16*$C$34</f>
        <v>#REF!</v>
      </c>
      <c r="J35" s="711"/>
      <c r="K35" s="717" t="e">
        <f>'Unit costs'!#REF!</f>
        <v>#REF!</v>
      </c>
      <c r="L35" s="293" t="e">
        <f>(D35*'Unit costs'!#REF!)/1000</f>
        <v>#REF!</v>
      </c>
      <c r="M35" s="293" t="e">
        <f>(E35*'Unit costs'!#REF!)/1000</f>
        <v>#REF!</v>
      </c>
      <c r="N35" s="293" t="e">
        <f>(F35*'Unit costs'!#REF!)/1000</f>
        <v>#REF!</v>
      </c>
      <c r="O35" s="293" t="e">
        <f>(G35*'Unit costs'!#REF!)/1000</f>
        <v>#REF!</v>
      </c>
      <c r="P35" s="293" t="e">
        <f>(H35*'Unit costs'!#REF!)/1000</f>
        <v>#REF!</v>
      </c>
      <c r="Q35" s="293" t="e">
        <f>(I35*'Unit costs'!#REF!)/1000</f>
        <v>#REF!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286"/>
      <c r="AK35" s="286"/>
      <c r="AL35" s="286"/>
      <c r="AM35" s="286"/>
      <c r="AN35" s="286"/>
    </row>
    <row r="36" spans="1:40" hidden="1">
      <c r="A36" s="706"/>
      <c r="B36" s="351" t="s">
        <v>1056</v>
      </c>
      <c r="C36" s="677" t="e">
        <f>'Inputs and eligible population'!#REF!</f>
        <v>#REF!</v>
      </c>
      <c r="D36" s="128" t="e">
        <f>'Financial impact (cash)'!D17*$C$34</f>
        <v>#REF!</v>
      </c>
      <c r="E36" s="128" t="e">
        <f>'Financial impact (cash)'!E17*$C$34</f>
        <v>#REF!</v>
      </c>
      <c r="F36" s="128" t="e">
        <f>'Financial impact (cash)'!F17*$C$34</f>
        <v>#REF!</v>
      </c>
      <c r="G36" s="128" t="e">
        <f>'Financial impact (cash)'!G17*$C$34</f>
        <v>#REF!</v>
      </c>
      <c r="H36" s="128" t="e">
        <f>'Financial impact (cash)'!H17*$C$34</f>
        <v>#REF!</v>
      </c>
      <c r="I36" s="128" t="e">
        <f>'Financial impact (cash)'!I17*$C$34</f>
        <v>#REF!</v>
      </c>
      <c r="J36" s="711"/>
      <c r="K36" s="717" t="e">
        <f>'Unit costs'!#REF!</f>
        <v>#REF!</v>
      </c>
      <c r="L36" s="293" t="e">
        <f>(D36*'Unit costs'!#REF!)/1000</f>
        <v>#REF!</v>
      </c>
      <c r="M36" s="293" t="e">
        <f>(E36*'Unit costs'!#REF!)/1000</f>
        <v>#REF!</v>
      </c>
      <c r="N36" s="293" t="e">
        <f>(F36*'Unit costs'!#REF!)/1000</f>
        <v>#REF!</v>
      </c>
      <c r="O36" s="293" t="e">
        <f>(G36*'Unit costs'!#REF!)/1000</f>
        <v>#REF!</v>
      </c>
      <c r="P36" s="293" t="e">
        <f>(H36*'Unit costs'!#REF!)/1000</f>
        <v>#REF!</v>
      </c>
      <c r="Q36" s="293" t="e">
        <f>(I36*'Unit costs'!#REF!)/1000</f>
        <v>#REF!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286"/>
      <c r="AK36" s="286"/>
      <c r="AL36" s="286"/>
      <c r="AM36" s="286"/>
      <c r="AN36" s="286"/>
    </row>
    <row r="37" spans="1:40" hidden="1">
      <c r="A37" s="706"/>
      <c r="B37" s="555"/>
      <c r="C37" s="283"/>
      <c r="D37" s="187" t="e">
        <f t="shared" ref="D37:I37" si="18">SUM(D34:D36)</f>
        <v>#REF!</v>
      </c>
      <c r="E37" s="187" t="e">
        <f t="shared" si="18"/>
        <v>#REF!</v>
      </c>
      <c r="F37" s="187" t="e">
        <f t="shared" si="18"/>
        <v>#REF!</v>
      </c>
      <c r="G37" s="187" t="e">
        <f t="shared" si="18"/>
        <v>#REF!</v>
      </c>
      <c r="H37" s="187" t="e">
        <f t="shared" si="18"/>
        <v>#REF!</v>
      </c>
      <c r="I37" s="187" t="e">
        <f t="shared" si="18"/>
        <v>#REF!</v>
      </c>
      <c r="J37" s="711"/>
      <c r="K37" s="221"/>
      <c r="L37" s="294" t="e">
        <f t="shared" ref="L37:Q37" si="19">SUM(L34:L36)</f>
        <v>#REF!</v>
      </c>
      <c r="M37" s="294" t="e">
        <f t="shared" si="19"/>
        <v>#REF!</v>
      </c>
      <c r="N37" s="294" t="e">
        <f t="shared" si="19"/>
        <v>#REF!</v>
      </c>
      <c r="O37" s="294" t="e">
        <f t="shared" si="19"/>
        <v>#REF!</v>
      </c>
      <c r="P37" s="294" t="e">
        <f t="shared" si="19"/>
        <v>#REF!</v>
      </c>
      <c r="Q37" s="294" t="e">
        <f t="shared" si="19"/>
        <v>#REF!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286"/>
      <c r="AK37" s="286"/>
      <c r="AL37" s="286"/>
      <c r="AM37" s="286"/>
      <c r="AN37" s="286"/>
    </row>
    <row r="38" spans="1:40" hidden="1">
      <c r="A38" s="706"/>
      <c r="B38" s="259"/>
      <c r="C38" s="259"/>
      <c r="D38" s="285" t="s">
        <v>1028</v>
      </c>
      <c r="E38" s="187" t="e">
        <f>E37-$D$37</f>
        <v>#REF!</v>
      </c>
      <c r="F38" s="187" t="e">
        <f>F37-$D$37</f>
        <v>#REF!</v>
      </c>
      <c r="G38" s="187" t="e">
        <f>G37-$D$37</f>
        <v>#REF!</v>
      </c>
      <c r="H38" s="187" t="e">
        <f>H37-$D$37</f>
        <v>#REF!</v>
      </c>
      <c r="I38" s="187" t="e">
        <f>I37-$D$37</f>
        <v>#REF!</v>
      </c>
      <c r="J38" s="711"/>
      <c r="K38" s="221"/>
      <c r="L38" s="221"/>
      <c r="M38" s="294" t="e">
        <f>M37-$L$37</f>
        <v>#REF!</v>
      </c>
      <c r="N38" s="294" t="e">
        <f>N37-$L$37</f>
        <v>#REF!</v>
      </c>
      <c r="O38" s="294" t="e">
        <f>O37-$L$37</f>
        <v>#REF!</v>
      </c>
      <c r="P38" s="294" t="e">
        <f>P37-$L$37</f>
        <v>#REF!</v>
      </c>
      <c r="Q38" s="294" t="e">
        <f>Q37-$L$37</f>
        <v>#REF!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286"/>
      <c r="AK38" s="286"/>
      <c r="AL38" s="286"/>
      <c r="AM38" s="286"/>
      <c r="AN38" s="286"/>
    </row>
    <row r="39" spans="1:40" hidden="1">
      <c r="A39" s="288"/>
      <c r="B39" s="708"/>
      <c r="C39" s="703"/>
      <c r="D39" s="704"/>
      <c r="E39" s="705"/>
      <c r="F39" s="288"/>
      <c r="G39" s="288"/>
      <c r="H39" s="288"/>
      <c r="I39" s="307"/>
      <c r="J39" s="221"/>
      <c r="K39" s="221"/>
      <c r="L39" s="221"/>
      <c r="M39" s="221"/>
      <c r="N39" s="221"/>
      <c r="O39" s="221"/>
      <c r="P39" s="221"/>
      <c r="Q39" s="221"/>
      <c r="R39" s="133"/>
      <c r="S39" s="133"/>
      <c r="T39" s="133"/>
      <c r="U39" s="133"/>
      <c r="V39" s="133"/>
      <c r="W39" s="133"/>
      <c r="X39" s="133"/>
      <c r="Y39" s="133"/>
      <c r="Z39" s="133"/>
      <c r="AJ39" s="286"/>
      <c r="AK39" s="286"/>
      <c r="AL39" s="286"/>
      <c r="AM39" s="286"/>
      <c r="AN39" s="286"/>
    </row>
    <row r="40" spans="1:40">
      <c r="A40" s="288"/>
      <c r="B40" s="396" t="s">
        <v>1015</v>
      </c>
      <c r="C40" s="397"/>
      <c r="D40" s="397"/>
      <c r="E40" s="397"/>
      <c r="F40" s="397"/>
      <c r="G40" s="397"/>
      <c r="H40" s="397"/>
      <c r="I40" s="220"/>
      <c r="J40" s="221"/>
      <c r="K40" s="221"/>
      <c r="L40" s="221"/>
      <c r="M40" s="221"/>
      <c r="N40" s="221"/>
      <c r="O40" s="221"/>
      <c r="P40" s="221"/>
      <c r="Q40" s="221"/>
      <c r="R40" s="133"/>
      <c r="S40" s="133"/>
      <c r="T40" s="133"/>
      <c r="U40" s="133"/>
      <c r="V40" s="133"/>
      <c r="W40" s="133"/>
      <c r="X40" s="133"/>
      <c r="Y40" s="133"/>
      <c r="Z40" s="133"/>
      <c r="AJ40" s="286"/>
      <c r="AK40" s="286"/>
      <c r="AL40" s="286"/>
      <c r="AM40" s="286"/>
      <c r="AN40" s="286"/>
    </row>
    <row r="41" spans="1:40" ht="43.5">
      <c r="A41" s="288"/>
      <c r="B41" s="279" t="s">
        <v>123</v>
      </c>
      <c r="C41" s="166" t="s">
        <v>739</v>
      </c>
      <c r="D41" s="425" t="s">
        <v>730</v>
      </c>
      <c r="E41" s="258" t="s">
        <v>50</v>
      </c>
      <c r="F41" s="258" t="s">
        <v>51</v>
      </c>
      <c r="G41" s="165" t="s">
        <v>731</v>
      </c>
      <c r="H41" s="165" t="s">
        <v>732</v>
      </c>
      <c r="I41" s="258" t="s">
        <v>733</v>
      </c>
      <c r="J41" s="221"/>
      <c r="K41" s="715" t="s">
        <v>1045</v>
      </c>
      <c r="L41" s="425" t="s">
        <v>730</v>
      </c>
      <c r="M41" s="258" t="s">
        <v>50</v>
      </c>
      <c r="N41" s="258" t="s">
        <v>51</v>
      </c>
      <c r="O41" s="165" t="s">
        <v>731</v>
      </c>
      <c r="P41" s="165" t="s">
        <v>732</v>
      </c>
      <c r="Q41" s="258" t="s">
        <v>733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286"/>
      <c r="AK41" s="286"/>
      <c r="AL41" s="286"/>
      <c r="AM41" s="286"/>
      <c r="AN41" s="286"/>
    </row>
    <row r="42" spans="1:40">
      <c r="A42" s="288"/>
      <c r="B42" s="351" t="str">
        <f>Summary!B14</f>
        <v>People receiving relugolix</v>
      </c>
      <c r="C42" s="677">
        <f>'Inputs and eligible population'!F95</f>
        <v>4</v>
      </c>
      <c r="D42" s="128">
        <f>('Financial impact (cash)'!D15*$C$42+'Financial impact (cash)'!D24*'Capacity (local prices)'!$C$43)</f>
        <v>0</v>
      </c>
      <c r="E42" s="128">
        <f>('Financial impact (cash)'!E15*$C$42+'Financial impact (cash)'!E24*'Capacity (local prices)'!$C$43)</f>
        <v>23124.208794260237</v>
      </c>
      <c r="F42" s="128">
        <f>('Financial impact (cash)'!F15*$C$42+'Financial impact (cash)'!F24*'Capacity (local prices)'!$C$43)</f>
        <v>54253.766078540488</v>
      </c>
      <c r="G42" s="128">
        <f>('Financial impact (cash)'!G15*$C$42+'Financial impact (cash)'!G24*'Capacity (local prices)'!$C$43)</f>
        <v>75409.41228560677</v>
      </c>
      <c r="H42" s="128">
        <f>('Financial impact (cash)'!H15*$C$42+'Financial impact (cash)'!H24*'Capacity (local prices)'!$C$43)</f>
        <v>98600.121848027644</v>
      </c>
      <c r="I42" s="128">
        <f>('Financial impact (cash)'!I15*$C$42+'Financial impact (cash)'!I24*'Capacity (local prices)'!$C$43)</f>
        <v>115853.4957690989</v>
      </c>
      <c r="J42" s="221"/>
      <c r="K42" s="717">
        <f>'Unit costs'!$N$67</f>
        <v>141</v>
      </c>
      <c r="L42" s="293">
        <f>(D42*$K42)/1000</f>
        <v>0</v>
      </c>
      <c r="M42" s="293">
        <f t="shared" ref="M42:Q42" si="20">(E42*$K42)/1000</f>
        <v>3260.5134399906938</v>
      </c>
      <c r="N42" s="293">
        <f t="shared" si="20"/>
        <v>7649.7810170742086</v>
      </c>
      <c r="O42" s="293">
        <f t="shared" si="20"/>
        <v>10632.727132270555</v>
      </c>
      <c r="P42" s="293">
        <f t="shared" si="20"/>
        <v>13902.617180571897</v>
      </c>
      <c r="Q42" s="293">
        <f t="shared" si="20"/>
        <v>16335.342903442943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286"/>
      <c r="AK42" s="286"/>
      <c r="AL42" s="286"/>
      <c r="AM42" s="286"/>
      <c r="AN42" s="286"/>
    </row>
    <row r="43" spans="1:40">
      <c r="A43" s="288"/>
      <c r="B43" s="351" t="str">
        <f>Summary!B15</f>
        <v>People receiving degarelix</v>
      </c>
      <c r="C43" s="677">
        <f>'Inputs and eligible population'!G95</f>
        <v>4</v>
      </c>
      <c r="D43" s="128">
        <f>('Financial impact (cash)'!D16*$C$42+'Financial impact (cash)'!D25*'Capacity (local prices)'!$C$43)</f>
        <v>20213.966917830279</v>
      </c>
      <c r="E43" s="128">
        <f>('Financial impact (cash)'!E16*$C$42+'Financial impact (cash)'!E25*'Capacity (local prices)'!$C$43)</f>
        <v>17975.156028040081</v>
      </c>
      <c r="F43" s="128">
        <f>('Financial impact (cash)'!F16*$C$42+'Financial impact (cash)'!F25*'Capacity (local prices)'!$C$43)</f>
        <v>15010.130012231199</v>
      </c>
      <c r="G43" s="128">
        <f>('Financial impact (cash)'!G16*$C$42+'Financial impact (cash)'!G25*'Capacity (local prices)'!$C$43)</f>
        <v>12274.071917843761</v>
      </c>
      <c r="H43" s="128">
        <f>('Financial impact (cash)'!H16*$C$42+'Financial impact (cash)'!H25*'Capacity (local prices)'!$C$43)</f>
        <v>10137.736415809939</v>
      </c>
      <c r="I43" s="128">
        <f>('Financial impact (cash)'!I16*$C$42+'Financial impact (cash)'!I25*'Capacity (local prices)'!$C$43)</f>
        <v>9228.8830437117213</v>
      </c>
      <c r="J43" s="221"/>
      <c r="K43" s="717">
        <f>'Unit costs'!$N$67</f>
        <v>141</v>
      </c>
      <c r="L43" s="293">
        <f t="shared" ref="L43:L47" si="21">(D43*$K43)/1000</f>
        <v>2850.1693354140693</v>
      </c>
      <c r="M43" s="293">
        <f t="shared" ref="M43:M47" si="22">(E43*$K43)/1000</f>
        <v>2534.4969999536515</v>
      </c>
      <c r="N43" s="293">
        <f t="shared" ref="N43:N47" si="23">(F43*$K43)/1000</f>
        <v>2116.428331724599</v>
      </c>
      <c r="O43" s="293">
        <f t="shared" ref="O43:O47" si="24">(G43*$K43)/1000</f>
        <v>1730.6441404159702</v>
      </c>
      <c r="P43" s="293">
        <f t="shared" ref="P43:P47" si="25">(H43*$K43)/1000</f>
        <v>1429.4208346292014</v>
      </c>
      <c r="Q43" s="293">
        <f t="shared" ref="Q43:Q47" si="26">(I43*$K43)/1000</f>
        <v>1301.2725091633527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286"/>
      <c r="AK43" s="286"/>
      <c r="AL43" s="286"/>
      <c r="AM43" s="286"/>
      <c r="AN43" s="286"/>
    </row>
    <row r="44" spans="1:40">
      <c r="A44" s="288"/>
      <c r="B44" s="351" t="str">
        <f>Summary!B16</f>
        <v>People receiving leuprolide</v>
      </c>
      <c r="C44" s="677">
        <f>'Inputs and eligible population'!H95</f>
        <v>4</v>
      </c>
      <c r="D44" s="128">
        <f>('Financial impact (cash)'!D17*$C$42+'Financial impact (cash)'!D26*'Capacity (local prices)'!$C$43)</f>
        <v>174648.67417005362</v>
      </c>
      <c r="E44" s="128">
        <f>('Financial impact (cash)'!E17*$C$42+'Financial impact (cash)'!E26*'Capacity (local prices)'!$C$43)</f>
        <v>162643.43033964487</v>
      </c>
      <c r="F44" s="128">
        <f>('Financial impact (cash)'!F17*$C$42+'Financial impact (cash)'!F26*'Capacity (local prices)'!$C$43)</f>
        <v>146488.99097747734</v>
      </c>
      <c r="G44" s="128">
        <f>('Financial impact (cash)'!G17*$C$42+'Financial impact (cash)'!G26*'Capacity (local prices)'!$C$43)</f>
        <v>137085.01623238352</v>
      </c>
      <c r="H44" s="128">
        <f>('Financial impact (cash)'!H17*$C$42+'Financial impact (cash)'!H26*'Capacity (local prices)'!$C$43)</f>
        <v>128215.67253154989</v>
      </c>
      <c r="I44" s="128">
        <f>('Financial impact (cash)'!I17*$C$42+'Financial impact (cash)'!I26*'Capacity (local prices)'!$C$43)</f>
        <v>121862.50281533937</v>
      </c>
      <c r="J44" s="221"/>
      <c r="K44" s="717">
        <f>'Unit costs'!$N$67</f>
        <v>141</v>
      </c>
      <c r="L44" s="293">
        <f t="shared" si="21"/>
        <v>24625.463057977562</v>
      </c>
      <c r="M44" s="293">
        <f t="shared" si="22"/>
        <v>22932.723677889924</v>
      </c>
      <c r="N44" s="293">
        <f t="shared" si="23"/>
        <v>20654.947727824303</v>
      </c>
      <c r="O44" s="293">
        <f t="shared" si="24"/>
        <v>19328.987288766079</v>
      </c>
      <c r="P44" s="293">
        <f t="shared" si="25"/>
        <v>18078.409826948533</v>
      </c>
      <c r="Q44" s="293">
        <f t="shared" si="26"/>
        <v>17182.612896962852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286"/>
      <c r="AK44" s="286"/>
      <c r="AL44" s="286"/>
      <c r="AM44" s="286"/>
      <c r="AN44" s="286"/>
    </row>
    <row r="45" spans="1:40">
      <c r="A45" s="288"/>
      <c r="B45" s="351" t="str">
        <f>Summary!B17</f>
        <v>People receiving triptorelin</v>
      </c>
      <c r="C45" s="677">
        <f>'Inputs and eligible population'!I95</f>
        <v>4</v>
      </c>
      <c r="D45" s="128">
        <f>('Financial impact (cash)'!D18*$C$42+'Financial impact (cash)'!D27*'Capacity (local prices)'!$C$43)</f>
        <v>111581.09738642315</v>
      </c>
      <c r="E45" s="128">
        <f>('Financial impact (cash)'!E18*$C$42+'Financial impact (cash)'!E27*'Capacity (local prices)'!$C$43)</f>
        <v>105666.80745878175</v>
      </c>
      <c r="F45" s="128">
        <f>('Financial impact (cash)'!F18*$C$42+'Financial impact (cash)'!F27*'Capacity (local prices)'!$C$43)</f>
        <v>97767.103432840959</v>
      </c>
      <c r="G45" s="128">
        <f>('Financial impact (cash)'!G18*$C$42+'Financial impact (cash)'!G27*'Capacity (local prices)'!$C$43)</f>
        <v>91691.92984223603</v>
      </c>
      <c r="H45" s="128">
        <f>('Financial impact (cash)'!H18*$C$42+'Financial impact (cash)'!H27*'Capacity (local prices)'!$C$43)</f>
        <v>84303.266374665807</v>
      </c>
      <c r="I45" s="128">
        <f>('Financial impact (cash)'!I18*$C$42+'Financial impact (cash)'!I27*'Capacity (local prices)'!$C$43)</f>
        <v>79395.466959697893</v>
      </c>
      <c r="J45" s="221"/>
      <c r="K45" s="717">
        <f>'Unit costs'!$N$67</f>
        <v>141</v>
      </c>
      <c r="L45" s="293">
        <f t="shared" si="21"/>
        <v>15732.934731485664</v>
      </c>
      <c r="M45" s="293">
        <f t="shared" si="22"/>
        <v>14899.019851688226</v>
      </c>
      <c r="N45" s="293">
        <f t="shared" si="23"/>
        <v>13785.161584030577</v>
      </c>
      <c r="O45" s="293">
        <f t="shared" si="24"/>
        <v>12928.562107755281</v>
      </c>
      <c r="P45" s="293">
        <f t="shared" si="25"/>
        <v>11886.760558827878</v>
      </c>
      <c r="Q45" s="293">
        <f t="shared" si="26"/>
        <v>11194.760841317402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286"/>
      <c r="AK45" s="286"/>
      <c r="AL45" s="286"/>
      <c r="AM45" s="286"/>
      <c r="AN45" s="286"/>
    </row>
    <row r="46" spans="1:40">
      <c r="A46" s="288"/>
      <c r="B46" s="351" t="str">
        <f>Summary!B18</f>
        <v>People receiving goserelin</v>
      </c>
      <c r="C46" s="677">
        <f>'Inputs and eligible population'!J95</f>
        <v>4</v>
      </c>
      <c r="D46" s="128">
        <f>('Financial impact (cash)'!D19*$C$42+'Financial impact (cash)'!D28*'Capacity (local prices)'!$C$43)</f>
        <v>37193.699128807712</v>
      </c>
      <c r="E46" s="128">
        <f>('Financial impact (cash)'!E19*$C$42+'Financial impact (cash)'!E28*'Capacity (local prices)'!$C$43)</f>
        <v>35479.204806196809</v>
      </c>
      <c r="F46" s="128">
        <f>('Financial impact (cash)'!F19*$C$42+'Financial impact (cash)'!F28*'Capacity (local prices)'!$C$43)</f>
        <v>33883.622040359216</v>
      </c>
      <c r="G46" s="128">
        <f>('Financial impact (cash)'!G19*$C$42+'Financial impact (cash)'!G28*'Capacity (local prices)'!$C$43)</f>
        <v>33752.416765677757</v>
      </c>
      <c r="H46" s="128">
        <f>('Financial impact (cash)'!H19*$C$42+'Financial impact (cash)'!H28*'Capacity (local prices)'!$C$43)</f>
        <v>33649.189676336704</v>
      </c>
      <c r="I46" s="128">
        <f>('Financial impact (cash)'!I19*$C$42+'Financial impact (cash)'!I28*'Capacity (local prices)'!$C$43)</f>
        <v>33574.210532612313</v>
      </c>
      <c r="J46" s="221"/>
      <c r="K46" s="717">
        <f>'Unit costs'!$N$67</f>
        <v>141</v>
      </c>
      <c r="L46" s="293">
        <f t="shared" si="21"/>
        <v>5244.3115771618877</v>
      </c>
      <c r="M46" s="293">
        <f t="shared" si="22"/>
        <v>5002.5678776737495</v>
      </c>
      <c r="N46" s="293">
        <f t="shared" si="23"/>
        <v>4777.5907076906497</v>
      </c>
      <c r="O46" s="293">
        <f t="shared" si="24"/>
        <v>4759.0907639605639</v>
      </c>
      <c r="P46" s="293">
        <f t="shared" si="25"/>
        <v>4744.5357443634757</v>
      </c>
      <c r="Q46" s="293">
        <f t="shared" si="26"/>
        <v>4733.9636850983361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286"/>
      <c r="AK46" s="286"/>
      <c r="AL46" s="286"/>
      <c r="AM46" s="286"/>
      <c r="AN46" s="286"/>
    </row>
    <row r="47" spans="1:40">
      <c r="A47" s="288"/>
      <c r="B47" s="351" t="str">
        <f>Summary!B19</f>
        <v>No ADT</v>
      </c>
      <c r="C47" s="677">
        <f>'Inputs and eligible population'!K95</f>
        <v>4</v>
      </c>
      <c r="D47" s="128">
        <f>('Financial impact (cash)'!D20*$C$42+'Financial impact (cash)'!D29*'Capacity (local prices)'!$C$43)</f>
        <v>60641.900753490831</v>
      </c>
      <c r="E47" s="128">
        <f>('Financial impact (cash)'!E20*$C$42+'Financial impact (cash)'!E29*'Capacity (local prices)'!$C$43)</f>
        <v>60862.730722398301</v>
      </c>
      <c r="F47" s="128">
        <f>('Financial impact (cash)'!F20*$C$42+'Financial impact (cash)'!F29*'Capacity (local prices)'!$C$43)</f>
        <v>61306.519860255736</v>
      </c>
      <c r="G47" s="128">
        <f>('Financial impact (cash)'!G20*$C$42+'Financial impact (cash)'!G29*'Capacity (local prices)'!$C$43)</f>
        <v>61802.26712536726</v>
      </c>
      <c r="H47" s="128">
        <f>('Financial impact (cash)'!H20*$C$42+'Financial impact (cash)'!H29*'Capacity (local prices)'!$C$43)</f>
        <v>60763.836406890405</v>
      </c>
      <c r="I47" s="128">
        <f>('Financial impact (cash)'!I20*$C$42+'Financial impact (cash)'!I29*'Capacity (local prices)'!$C$43)</f>
        <v>59763.072537193657</v>
      </c>
      <c r="J47" s="221"/>
      <c r="K47" s="717">
        <f>'Unit costs'!$N$67</f>
        <v>141</v>
      </c>
      <c r="L47" s="293">
        <f t="shared" si="21"/>
        <v>8550.5080062422057</v>
      </c>
      <c r="M47" s="293">
        <f t="shared" si="22"/>
        <v>8581.645031858161</v>
      </c>
      <c r="N47" s="293">
        <f t="shared" si="23"/>
        <v>8644.2193002960594</v>
      </c>
      <c r="O47" s="293">
        <f t="shared" si="24"/>
        <v>8714.1196646767839</v>
      </c>
      <c r="P47" s="293">
        <f t="shared" si="25"/>
        <v>8567.7009333715469</v>
      </c>
      <c r="Q47" s="293">
        <f t="shared" si="26"/>
        <v>8426.5932277443062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286"/>
      <c r="AK47" s="286"/>
      <c r="AL47" s="286"/>
      <c r="AM47" s="286"/>
      <c r="AN47" s="286"/>
    </row>
    <row r="48" spans="1:40">
      <c r="A48" s="288"/>
      <c r="B48" s="280"/>
      <c r="C48" s="283"/>
      <c r="D48" s="187">
        <f>SUM(D42:D47)</f>
        <v>404279.33835660561</v>
      </c>
      <c r="E48" s="187">
        <f t="shared" ref="E48:I48" si="27">SUM(E42:E47)</f>
        <v>405751.53814932203</v>
      </c>
      <c r="F48" s="187">
        <f t="shared" si="27"/>
        <v>408710.1324017049</v>
      </c>
      <c r="G48" s="187">
        <f t="shared" si="27"/>
        <v>412015.11416911508</v>
      </c>
      <c r="H48" s="187">
        <f t="shared" si="27"/>
        <v>415669.82325328037</v>
      </c>
      <c r="I48" s="187">
        <f t="shared" si="27"/>
        <v>419677.63165765384</v>
      </c>
      <c r="J48" s="221"/>
      <c r="K48" s="221"/>
      <c r="L48" s="294">
        <f>SUM(L42:L47)</f>
        <v>57003.386708281396</v>
      </c>
      <c r="M48" s="294">
        <f t="shared" ref="M48:P48" si="28">SUM(M42:M47)</f>
        <v>57210.966879054409</v>
      </c>
      <c r="N48" s="294">
        <f t="shared" si="28"/>
        <v>57628.128668640391</v>
      </c>
      <c r="O48" s="294">
        <f t="shared" si="28"/>
        <v>58094.131097845231</v>
      </c>
      <c r="P48" s="294">
        <f t="shared" si="28"/>
        <v>58609.445078712539</v>
      </c>
      <c r="Q48" s="294">
        <f>SUM(Q42:Q47)</f>
        <v>59174.546063729191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286"/>
      <c r="AK48" s="286"/>
      <c r="AL48" s="286"/>
      <c r="AM48" s="286"/>
      <c r="AN48" s="286"/>
    </row>
    <row r="49" spans="1:40">
      <c r="A49" s="288"/>
      <c r="B49" s="306"/>
      <c r="C49" s="259"/>
      <c r="D49" s="285" t="s">
        <v>1028</v>
      </c>
      <c r="E49" s="187">
        <f>E48-$D$48</f>
        <v>1472.1997927164193</v>
      </c>
      <c r="F49" s="187">
        <f>F48-$D$48</f>
        <v>4430.7940450992901</v>
      </c>
      <c r="G49" s="187">
        <f>G48-$D$48</f>
        <v>7735.7758125094697</v>
      </c>
      <c r="H49" s="187">
        <f>H48-$D$48</f>
        <v>11390.484896674752</v>
      </c>
      <c r="I49" s="187">
        <f>I48-$D$48</f>
        <v>15398.293301048223</v>
      </c>
      <c r="J49" s="221"/>
      <c r="K49" s="221"/>
      <c r="L49" s="221"/>
      <c r="M49" s="294">
        <f>M48-$L$48</f>
        <v>207.58017077301338</v>
      </c>
      <c r="N49" s="294">
        <f>N48-$L$48</f>
        <v>624.74196035899513</v>
      </c>
      <c r="O49" s="294">
        <f>O48-$L$48</f>
        <v>1090.7443895638353</v>
      </c>
      <c r="P49" s="294">
        <f>P48-$L$48</f>
        <v>1606.058370431143</v>
      </c>
      <c r="Q49" s="294">
        <f>Q48-$L$48</f>
        <v>2171.159355447795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286"/>
      <c r="AK49" s="286"/>
      <c r="AL49" s="286"/>
      <c r="AM49" s="286"/>
      <c r="AN49" s="286"/>
    </row>
    <row r="50" spans="1:40">
      <c r="A50" s="288"/>
      <c r="B50" s="288"/>
      <c r="C50" s="288"/>
      <c r="D50" s="709"/>
      <c r="E50" s="710"/>
      <c r="F50" s="710"/>
      <c r="G50" s="710"/>
      <c r="H50" s="710"/>
      <c r="I50" s="710"/>
      <c r="J50" s="221"/>
      <c r="K50" s="221"/>
      <c r="L50" s="221"/>
      <c r="M50" s="221"/>
      <c r="N50" s="221"/>
      <c r="O50" s="221"/>
      <c r="P50" s="221"/>
      <c r="Q50" s="221"/>
      <c r="R50" s="133"/>
      <c r="S50" s="133"/>
      <c r="T50" s="133"/>
      <c r="U50" s="133"/>
      <c r="V50" s="133"/>
      <c r="W50" s="133"/>
      <c r="X50" s="133"/>
      <c r="Y50" s="133"/>
      <c r="Z50" s="133"/>
      <c r="AJ50" s="286"/>
      <c r="AK50" s="286"/>
      <c r="AL50" s="286"/>
      <c r="AM50" s="286"/>
      <c r="AN50" s="286"/>
    </row>
    <row r="51" spans="1:40">
      <c r="A51" s="301"/>
      <c r="B51" s="389" t="s">
        <v>122</v>
      </c>
      <c r="C51" s="390"/>
      <c r="D51" s="390"/>
      <c r="E51" s="390"/>
      <c r="F51" s="390"/>
      <c r="G51" s="390"/>
      <c r="H51" s="390"/>
      <c r="I51" s="390"/>
      <c r="J51" s="431"/>
      <c r="K51" s="217"/>
      <c r="L51" s="217"/>
      <c r="M51" s="217"/>
      <c r="N51" s="217"/>
      <c r="O51" s="217"/>
      <c r="P51" s="217"/>
      <c r="Q51" s="217"/>
      <c r="R51" s="133"/>
      <c r="S51" s="133"/>
      <c r="T51" s="133"/>
      <c r="U51" s="133"/>
      <c r="V51" s="133"/>
      <c r="W51" s="133"/>
      <c r="X51" s="133"/>
      <c r="Y51" s="133"/>
      <c r="Z51" s="133"/>
      <c r="AJ51" s="286"/>
      <c r="AK51" s="286"/>
      <c r="AL51" s="286"/>
      <c r="AM51" s="286"/>
      <c r="AN51" s="286"/>
    </row>
    <row r="52" spans="1:40" ht="43.5">
      <c r="A52" s="301"/>
      <c r="B52" s="279" t="s">
        <v>123</v>
      </c>
      <c r="C52" s="795"/>
      <c r="D52" s="425" t="s">
        <v>730</v>
      </c>
      <c r="E52" s="258" t="s">
        <v>50</v>
      </c>
      <c r="F52" s="258" t="s">
        <v>51</v>
      </c>
      <c r="G52" s="165" t="s">
        <v>731</v>
      </c>
      <c r="H52" s="165" t="s">
        <v>732</v>
      </c>
      <c r="I52" s="258" t="s">
        <v>733</v>
      </c>
      <c r="J52" s="431"/>
      <c r="K52" s="715" t="s">
        <v>1045</v>
      </c>
      <c r="L52" s="425" t="s">
        <v>730</v>
      </c>
      <c r="M52" s="569" t="s">
        <v>50</v>
      </c>
      <c r="N52" s="569" t="s">
        <v>51</v>
      </c>
      <c r="O52" s="426" t="s">
        <v>731</v>
      </c>
      <c r="P52" s="426" t="s">
        <v>732</v>
      </c>
      <c r="Q52" s="569" t="s">
        <v>733</v>
      </c>
      <c r="R52" s="133"/>
      <c r="S52" s="133"/>
      <c r="T52" s="133"/>
      <c r="U52" s="133"/>
      <c r="V52" s="133"/>
      <c r="W52" s="133"/>
      <c r="X52" s="133"/>
      <c r="Y52" s="133"/>
      <c r="Z52" s="133"/>
      <c r="AJ52" s="286"/>
      <c r="AK52" s="286"/>
      <c r="AL52" s="286"/>
      <c r="AM52" s="286"/>
      <c r="AN52" s="286"/>
    </row>
    <row r="53" spans="1:40">
      <c r="A53" s="301"/>
      <c r="B53" s="201" t="s">
        <v>1016</v>
      </c>
      <c r="C53" s="794"/>
      <c r="D53" s="128">
        <f>SUM(D60:D64)</f>
        <v>137897.86305641558</v>
      </c>
      <c r="E53" s="128">
        <f t="shared" ref="E53:I53" si="29">SUM(E60:E64)</f>
        <v>143791.62362180336</v>
      </c>
      <c r="F53" s="128">
        <f t="shared" si="29"/>
        <v>152065.09382448421</v>
      </c>
      <c r="G53" s="128">
        <f t="shared" si="29"/>
        <v>158047.48542683493</v>
      </c>
      <c r="H53" s="128">
        <f t="shared" si="29"/>
        <v>165564.77105655786</v>
      </c>
      <c r="I53" s="128">
        <f t="shared" si="29"/>
        <v>171892.18394035762</v>
      </c>
      <c r="J53" s="431"/>
      <c r="K53" s="716">
        <f>'Unit costs'!O45</f>
        <v>76</v>
      </c>
      <c r="L53" s="293">
        <f>(D53*$K$53)/1000</f>
        <v>10480.237592287584</v>
      </c>
      <c r="M53" s="293">
        <f t="shared" ref="M53:P53" si="30">(E53*$K$53)/1000</f>
        <v>10928.163395257056</v>
      </c>
      <c r="N53" s="293">
        <f t="shared" si="30"/>
        <v>11556.947130660801</v>
      </c>
      <c r="O53" s="293">
        <f t="shared" si="30"/>
        <v>12011.608892439455</v>
      </c>
      <c r="P53" s="293">
        <f t="shared" si="30"/>
        <v>12582.922600298398</v>
      </c>
      <c r="Q53" s="293">
        <f>(I53*$K$53)/1000</f>
        <v>13063.805979467179</v>
      </c>
      <c r="R53" s="133"/>
      <c r="S53" s="133"/>
      <c r="T53" s="133"/>
      <c r="U53" s="133"/>
      <c r="V53" s="133"/>
      <c r="W53" s="133"/>
      <c r="X53" s="133"/>
      <c r="Y53" s="133"/>
      <c r="Z53" s="133"/>
      <c r="AJ53" s="286"/>
      <c r="AK53" s="286"/>
      <c r="AL53" s="286"/>
      <c r="AM53" s="286"/>
      <c r="AN53" s="286"/>
    </row>
    <row r="54" spans="1:40">
      <c r="A54" s="301"/>
      <c r="B54" s="201" t="s">
        <v>1154</v>
      </c>
      <c r="C54" s="794"/>
      <c r="D54" s="128">
        <f>SUM(D65:D69)</f>
        <v>551591.4522256623</v>
      </c>
      <c r="E54" s="128">
        <f t="shared" ref="E54:I54" si="31">SUM(E65:E69)</f>
        <v>575166.49448721344</v>
      </c>
      <c r="F54" s="128">
        <f t="shared" si="31"/>
        <v>608260.37529793684</v>
      </c>
      <c r="G54" s="128">
        <f t="shared" si="31"/>
        <v>632189.94170733972</v>
      </c>
      <c r="H54" s="128">
        <f t="shared" si="31"/>
        <v>662259.08422623144</v>
      </c>
      <c r="I54" s="128">
        <f t="shared" si="31"/>
        <v>687568.73576143046</v>
      </c>
      <c r="J54" s="431"/>
      <c r="K54" s="716">
        <v>0</v>
      </c>
      <c r="L54" s="293">
        <f>(D54*$K$54)/1000</f>
        <v>0</v>
      </c>
      <c r="M54" s="293">
        <f t="shared" ref="M54:Q54" si="32">(E54*$K$54)/1000</f>
        <v>0</v>
      </c>
      <c r="N54" s="293">
        <f t="shared" si="32"/>
        <v>0</v>
      </c>
      <c r="O54" s="293">
        <f t="shared" si="32"/>
        <v>0</v>
      </c>
      <c r="P54" s="293">
        <f t="shared" si="32"/>
        <v>0</v>
      </c>
      <c r="Q54" s="293">
        <f t="shared" si="32"/>
        <v>0</v>
      </c>
      <c r="R54" s="133"/>
      <c r="S54" s="133"/>
      <c r="T54" s="133"/>
      <c r="U54" s="133"/>
      <c r="V54" s="133"/>
      <c r="W54" s="133"/>
      <c r="X54" s="133"/>
      <c r="Y54" s="133"/>
      <c r="Z54" s="133"/>
      <c r="AJ54" s="286"/>
      <c r="AK54" s="286"/>
      <c r="AL54" s="286"/>
      <c r="AM54" s="286"/>
      <c r="AN54" s="286"/>
    </row>
    <row r="55" spans="1:40">
      <c r="A55" s="301"/>
      <c r="B55" s="280"/>
      <c r="C55" s="323"/>
      <c r="D55" s="187">
        <f>SUM(D53:D54)</f>
        <v>689489.31528207788</v>
      </c>
      <c r="E55" s="187">
        <f t="shared" ref="E55:I55" si="33">SUM(E53:E54)</f>
        <v>718958.1181090168</v>
      </c>
      <c r="F55" s="187">
        <f t="shared" si="33"/>
        <v>760325.469122421</v>
      </c>
      <c r="G55" s="187">
        <f t="shared" si="33"/>
        <v>790237.42713417462</v>
      </c>
      <c r="H55" s="187">
        <f t="shared" si="33"/>
        <v>827823.85528278933</v>
      </c>
      <c r="I55" s="187">
        <f t="shared" si="33"/>
        <v>859460.91970178811</v>
      </c>
      <c r="J55" s="431"/>
      <c r="K55" s="217"/>
      <c r="L55" s="294">
        <f>SUM(L53:L54)</f>
        <v>10480.237592287584</v>
      </c>
      <c r="M55" s="294">
        <f t="shared" ref="M55:Q55" si="34">SUM(M53:M54)</f>
        <v>10928.163395257056</v>
      </c>
      <c r="N55" s="294">
        <f t="shared" si="34"/>
        <v>11556.947130660801</v>
      </c>
      <c r="O55" s="294">
        <f t="shared" si="34"/>
        <v>12011.608892439455</v>
      </c>
      <c r="P55" s="294">
        <f t="shared" si="34"/>
        <v>12582.922600298398</v>
      </c>
      <c r="Q55" s="294">
        <f t="shared" si="34"/>
        <v>13063.805979467179</v>
      </c>
      <c r="R55" s="133"/>
      <c r="S55" s="133"/>
      <c r="T55" s="133"/>
      <c r="U55" s="133"/>
      <c r="V55" s="133"/>
      <c r="W55" s="133"/>
      <c r="X55" s="133"/>
      <c r="Y55" s="133"/>
      <c r="Z55" s="133"/>
      <c r="AJ55" s="286"/>
      <c r="AK55" s="286"/>
      <c r="AL55" s="286"/>
      <c r="AM55" s="286"/>
      <c r="AN55" s="286"/>
    </row>
    <row r="56" spans="1:40">
      <c r="A56" s="301"/>
      <c r="B56" s="259"/>
      <c r="C56" s="259"/>
      <c r="D56" s="285" t="s">
        <v>740</v>
      </c>
      <c r="E56" s="187">
        <f>E55-D55</f>
        <v>29468.802826938918</v>
      </c>
      <c r="F56" s="187">
        <f>F55-$D$55</f>
        <v>70836.153840343119</v>
      </c>
      <c r="G56" s="187">
        <f>G55-$D$55</f>
        <v>100748.11185209674</v>
      </c>
      <c r="H56" s="187">
        <f>H55-$D$55</f>
        <v>138334.54000071145</v>
      </c>
      <c r="I56" s="187">
        <f>I55-$D$55</f>
        <v>169971.60441971023</v>
      </c>
      <c r="J56" s="431"/>
      <c r="K56" s="217"/>
      <c r="L56" s="575"/>
      <c r="M56" s="294">
        <f>M55-$L$55</f>
        <v>447.92580296947199</v>
      </c>
      <c r="N56" s="294">
        <f>N55-$L$55</f>
        <v>1076.7095383732176</v>
      </c>
      <c r="O56" s="294">
        <f>O55-$L$55</f>
        <v>1531.3713001518718</v>
      </c>
      <c r="P56" s="294">
        <f>P55-$L$55</f>
        <v>2102.6850080108143</v>
      </c>
      <c r="Q56" s="294">
        <f>Q55-$L$55</f>
        <v>2583.5683871795954</v>
      </c>
      <c r="R56" s="133"/>
      <c r="S56" s="133"/>
      <c r="T56" s="133"/>
      <c r="U56" s="133"/>
      <c r="V56" s="133"/>
      <c r="W56" s="133"/>
      <c r="X56" s="133"/>
      <c r="Y56" s="133"/>
      <c r="Z56" s="133"/>
      <c r="AJ56" s="286"/>
      <c r="AK56" s="286"/>
      <c r="AL56" s="286"/>
      <c r="AM56" s="286"/>
      <c r="AN56" s="286"/>
    </row>
    <row r="57" spans="1:40">
      <c r="A57" s="296"/>
      <c r="B57" s="322"/>
      <c r="C57" s="299"/>
      <c r="D57" s="298"/>
      <c r="E57" s="299"/>
      <c r="F57" s="300"/>
      <c r="G57" s="296"/>
      <c r="H57" s="296"/>
      <c r="I57" s="297"/>
      <c r="J57" s="217"/>
      <c r="K57" s="217"/>
      <c r="L57" s="217"/>
      <c r="M57" s="217"/>
      <c r="N57" s="217"/>
      <c r="O57" s="217"/>
      <c r="P57" s="217"/>
      <c r="Q57" s="217"/>
      <c r="R57" s="133"/>
      <c r="S57" s="133"/>
      <c r="T57" s="133"/>
      <c r="U57" s="133"/>
      <c r="V57" s="133"/>
      <c r="W57" s="133"/>
      <c r="X57" s="133"/>
      <c r="Y57" s="133"/>
      <c r="Z57" s="133"/>
      <c r="AJ57" s="286"/>
      <c r="AK57" s="286"/>
      <c r="AL57" s="286"/>
      <c r="AM57" s="286"/>
      <c r="AN57" s="286"/>
    </row>
    <row r="58" spans="1:40">
      <c r="A58" s="301"/>
      <c r="B58" s="389" t="s">
        <v>741</v>
      </c>
      <c r="C58" s="390"/>
      <c r="D58" s="390"/>
      <c r="E58" s="390"/>
      <c r="F58" s="390"/>
      <c r="G58" s="390"/>
      <c r="H58" s="390"/>
      <c r="I58" s="390"/>
      <c r="J58" s="431"/>
      <c r="K58" s="217"/>
      <c r="L58" s="217"/>
      <c r="M58" s="217"/>
      <c r="N58" s="217"/>
      <c r="O58" s="217"/>
      <c r="P58" s="217"/>
      <c r="Q58" s="217"/>
      <c r="R58" s="133"/>
      <c r="S58" s="133"/>
      <c r="T58" s="133"/>
      <c r="U58" s="133"/>
      <c r="V58" s="133"/>
      <c r="W58" s="133"/>
      <c r="X58" s="133"/>
      <c r="Y58" s="133"/>
      <c r="Z58" s="133"/>
      <c r="AJ58" s="286"/>
      <c r="AK58" s="286"/>
      <c r="AL58" s="286"/>
      <c r="AM58" s="286"/>
      <c r="AN58" s="286"/>
    </row>
    <row r="59" spans="1:40" ht="43.5">
      <c r="A59" s="301"/>
      <c r="B59" s="320" t="s">
        <v>123</v>
      </c>
      <c r="C59" s="166" t="s">
        <v>742</v>
      </c>
      <c r="D59" s="425" t="s">
        <v>730</v>
      </c>
      <c r="E59" s="258" t="s">
        <v>50</v>
      </c>
      <c r="F59" s="258" t="s">
        <v>51</v>
      </c>
      <c r="G59" s="165" t="s">
        <v>731</v>
      </c>
      <c r="H59" s="165" t="s">
        <v>732</v>
      </c>
      <c r="I59" s="258" t="s">
        <v>733</v>
      </c>
      <c r="J59" s="431"/>
      <c r="K59" s="217"/>
      <c r="L59" s="217"/>
      <c r="M59" s="217"/>
      <c r="N59" s="217"/>
      <c r="O59" s="217"/>
      <c r="P59" s="217"/>
      <c r="Q59" s="217"/>
      <c r="R59" s="133"/>
      <c r="V59" s="133"/>
      <c r="AJ59" s="286"/>
      <c r="AK59" s="286"/>
      <c r="AL59" s="286"/>
      <c r="AM59" s="286"/>
      <c r="AN59" s="286"/>
    </row>
    <row r="60" spans="1:40">
      <c r="A60" s="301"/>
      <c r="B60" s="351" t="s">
        <v>1121</v>
      </c>
      <c r="C60" s="128">
        <f>'Unit costs'!K13*'Unit costs'!M45</f>
        <v>2.6</v>
      </c>
      <c r="D60" s="128">
        <f>('Financial impact (cash)'!D15+'Financial impact (cash)'!D24)*$C60</f>
        <v>0</v>
      </c>
      <c r="E60" s="128">
        <f>('Financial impact (cash)'!E15+'Financial impact (cash)'!E24)*$C60</f>
        <v>15030.735716269155</v>
      </c>
      <c r="F60" s="128">
        <f>('Financial impact (cash)'!F15+'Financial impact (cash)'!F24)*$C60</f>
        <v>35264.947951051319</v>
      </c>
      <c r="G60" s="128">
        <f>('Financial impact (cash)'!G15+'Financial impact (cash)'!G24)*$C60</f>
        <v>49016.1179856444</v>
      </c>
      <c r="H60" s="128">
        <f>('Financial impact (cash)'!H15+'Financial impact (cash)'!H24)*$C60</f>
        <v>64090.079201217974</v>
      </c>
      <c r="I60" s="128">
        <f>('Financial impact (cash)'!I15+'Financial impact (cash)'!I24)*$C60</f>
        <v>75304.772249914284</v>
      </c>
      <c r="J60" s="431"/>
      <c r="K60" s="217"/>
      <c r="L60" s="217"/>
      <c r="M60" s="217"/>
      <c r="N60" s="217"/>
      <c r="O60" s="217"/>
      <c r="P60" s="217"/>
      <c r="Q60" s="217"/>
      <c r="R60" s="133"/>
      <c r="V60" s="133"/>
      <c r="AJ60" s="286"/>
      <c r="AK60" s="286"/>
      <c r="AL60" s="286"/>
      <c r="AM60" s="286"/>
      <c r="AN60" s="286"/>
    </row>
    <row r="61" spans="1:40">
      <c r="A61" s="301"/>
      <c r="B61" s="351" t="s">
        <v>1122</v>
      </c>
      <c r="C61" s="128">
        <f>'Unit costs'!K21*'Unit costs'!M46</f>
        <v>2.6</v>
      </c>
      <c r="D61" s="128">
        <f>('Financial impact (cash)'!D16+'Financial impact (cash)'!D25)*$C61</f>
        <v>13139.078496589682</v>
      </c>
      <c r="E61" s="128">
        <f>('Financial impact (cash)'!E16+'Financial impact (cash)'!E25)*$C61</f>
        <v>11683.851418226053</v>
      </c>
      <c r="F61" s="128">
        <f>('Financial impact (cash)'!F16+'Financial impact (cash)'!F25)*$C61</f>
        <v>9756.5845079502797</v>
      </c>
      <c r="G61" s="128">
        <f>('Financial impact (cash)'!G16+'Financial impact (cash)'!G25)*$C61</f>
        <v>7978.1467465984451</v>
      </c>
      <c r="H61" s="128">
        <f>('Financial impact (cash)'!H16+'Financial impact (cash)'!H25)*$C61</f>
        <v>6589.5286702764606</v>
      </c>
      <c r="I61" s="128">
        <f>('Financial impact (cash)'!I16+'Financial impact (cash)'!I25)*$C61</f>
        <v>5998.7739784126188</v>
      </c>
      <c r="J61" s="431"/>
      <c r="K61" s="217"/>
      <c r="L61" s="217"/>
      <c r="M61" s="217"/>
      <c r="N61" s="217"/>
      <c r="O61" s="217"/>
      <c r="P61" s="217"/>
      <c r="Q61" s="217"/>
      <c r="R61" s="133"/>
      <c r="V61" s="133"/>
      <c r="AJ61" s="286"/>
      <c r="AK61" s="286"/>
      <c r="AL61" s="286"/>
      <c r="AM61" s="286"/>
      <c r="AN61" s="286"/>
    </row>
    <row r="62" spans="1:40">
      <c r="A62" s="301"/>
      <c r="B62" s="351" t="s">
        <v>1123</v>
      </c>
      <c r="C62" s="128">
        <f>(('Unit costs'!K25*'Unit costs'!M25)+('Unit costs'!K26*'Unit costs'!M26))*'Unit costs'!M47</f>
        <v>1.7055555555555557</v>
      </c>
      <c r="D62" s="128">
        <f>('Financial impact (cash)'!D17+'Financial impact (cash)'!D26)*$C62</f>
        <v>74468.254125286767</v>
      </c>
      <c r="E62" s="128">
        <f>('Financial impact (cash)'!E17+'Financial impact (cash)'!E26)*$C62</f>
        <v>69349.351547598577</v>
      </c>
      <c r="F62" s="128">
        <f>('Financial impact (cash)'!F17+'Financial impact (cash)'!F26)*$C62</f>
        <v>62461.278097341041</v>
      </c>
      <c r="G62" s="128">
        <f>('Financial impact (cash)'!G17+'Financial impact (cash)'!G26)*$C62</f>
        <v>58451.527754641313</v>
      </c>
      <c r="H62" s="128">
        <f>('Financial impact (cash)'!H17+'Financial impact (cash)'!H26)*$C62</f>
        <v>54669.738148869197</v>
      </c>
      <c r="I62" s="128">
        <f>('Financial impact (cash)'!I17+'Financial impact (cash)'!I26)*$C62</f>
        <v>51960.817172651652</v>
      </c>
      <c r="J62" s="431"/>
      <c r="K62" s="217"/>
      <c r="L62" s="217"/>
      <c r="M62" s="217"/>
      <c r="N62" s="217"/>
      <c r="O62" s="217"/>
      <c r="P62" s="217"/>
      <c r="Q62" s="217"/>
      <c r="R62" s="133"/>
      <c r="V62" s="133"/>
      <c r="AJ62" s="286"/>
      <c r="AK62" s="286"/>
      <c r="AL62" s="286"/>
      <c r="AM62" s="286"/>
      <c r="AN62" s="286"/>
    </row>
    <row r="63" spans="1:40">
      <c r="A63" s="301"/>
      <c r="B63" s="350" t="s">
        <v>1124</v>
      </c>
      <c r="C63" s="128">
        <f>(('Unit costs'!K30*'Unit costs'!M30)+('Unit costs'!K31*'Unit costs'!M31)+('Unit costs'!K32*'Unit costs'!M32))*'Unit costs'!M48</f>
        <v>1.2695000000000003</v>
      </c>
      <c r="D63" s="128">
        <f>('Financial impact (cash)'!D18+'Financial impact (cash)'!D27)*$C63</f>
        <v>35413.050783016057</v>
      </c>
      <c r="E63" s="128">
        <f>('Financial impact (cash)'!E18+'Financial impact (cash)'!E27)*$C63</f>
        <v>33536.003017230869</v>
      </c>
      <c r="F63" s="128">
        <f>('Financial impact (cash)'!F18+'Financial impact (cash)'!F27)*$C63</f>
        <v>31028.834451997907</v>
      </c>
      <c r="G63" s="128">
        <f>('Financial impact (cash)'!G18+'Financial impact (cash)'!G27)*$C63</f>
        <v>29100.726233679667</v>
      </c>
      <c r="H63" s="128">
        <f>('Financial impact (cash)'!H18+'Financial impact (cash)'!H27)*$C63</f>
        <v>26755.749165659567</v>
      </c>
      <c r="I63" s="128">
        <f>('Financial impact (cash)'!I18+'Financial impact (cash)'!I27)*$C63</f>
        <v>25198.136326334126</v>
      </c>
      <c r="J63" s="431"/>
      <c r="K63" s="217"/>
      <c r="L63" s="217"/>
      <c r="M63" s="217"/>
      <c r="N63" s="217"/>
      <c r="O63" s="217"/>
      <c r="P63" s="217"/>
      <c r="Q63" s="217"/>
      <c r="R63" s="133"/>
      <c r="V63" s="133"/>
      <c r="AJ63" s="286"/>
      <c r="AK63" s="286"/>
      <c r="AL63" s="286"/>
      <c r="AM63" s="286"/>
      <c r="AN63" s="286"/>
    </row>
    <row r="64" spans="1:40">
      <c r="A64" s="301"/>
      <c r="B64" s="678" t="s">
        <v>1125</v>
      </c>
      <c r="C64" s="128">
        <f>(('Unit costs'!K36*'Unit costs'!M36)+('Unit costs'!K37*'Unit costs'!M37))*'Unit costs'!M49</f>
        <v>1.6</v>
      </c>
      <c r="D64" s="128">
        <f>('Financial impact (cash)'!D19+'Financial impact (cash)'!D28)*$C64</f>
        <v>14877.479651523085</v>
      </c>
      <c r="E64" s="128">
        <f>('Financial impact (cash)'!E19+'Financial impact (cash)'!E28)*$C64</f>
        <v>14191.681922478725</v>
      </c>
      <c r="F64" s="128">
        <f>('Financial impact (cash)'!F19+'Financial impact (cash)'!F28)*$C64</f>
        <v>13553.448816143688</v>
      </c>
      <c r="G64" s="128">
        <f>('Financial impact (cash)'!G19+'Financial impact (cash)'!G28)*$C64</f>
        <v>13500.966706271103</v>
      </c>
      <c r="H64" s="128">
        <f>('Financial impact (cash)'!H19+'Financial impact (cash)'!H28)*$C64</f>
        <v>13459.675870534682</v>
      </c>
      <c r="I64" s="128">
        <f>('Financial impact (cash)'!I19+'Financial impact (cash)'!I28)*$C64</f>
        <v>13429.684213044926</v>
      </c>
      <c r="J64" s="217"/>
      <c r="K64" s="217"/>
      <c r="L64" s="217"/>
      <c r="M64" s="217"/>
      <c r="N64" s="217"/>
      <c r="O64" s="217"/>
      <c r="P64" s="217"/>
      <c r="Q64" s="217"/>
      <c r="R64" s="133"/>
      <c r="V64" s="133"/>
      <c r="AJ64" s="286"/>
      <c r="AK64" s="286"/>
      <c r="AL64" s="286"/>
      <c r="AM64" s="286"/>
      <c r="AN64" s="286"/>
    </row>
    <row r="65" spans="1:40">
      <c r="A65" s="301"/>
      <c r="B65" s="351" t="s">
        <v>1173</v>
      </c>
      <c r="C65" s="128">
        <f>'Unit costs'!K13*'Unit costs'!L45</f>
        <v>10.4</v>
      </c>
      <c r="D65" s="128">
        <f>('Financial impact (cash)'!D15+'Financial impact (cash)'!D24)*$C65</f>
        <v>0</v>
      </c>
      <c r="E65" s="128">
        <f>('Financial impact (cash)'!E15+'Financial impact (cash)'!E24)*$C65</f>
        <v>60122.94286507662</v>
      </c>
      <c r="F65" s="128">
        <f>('Financial impact (cash)'!F15+'Financial impact (cash)'!F24)*$C65</f>
        <v>141059.79180420528</v>
      </c>
      <c r="G65" s="128">
        <f>('Financial impact (cash)'!G15+'Financial impact (cash)'!G24)*$C65</f>
        <v>196064.4719425776</v>
      </c>
      <c r="H65" s="128">
        <f>('Financial impact (cash)'!H15+'Financial impact (cash)'!H24)*$C65</f>
        <v>256360.31680487189</v>
      </c>
      <c r="I65" s="128">
        <f>('Financial impact (cash)'!I15+'Financial impact (cash)'!I24)*$C65</f>
        <v>301219.08899965713</v>
      </c>
      <c r="J65" s="431"/>
      <c r="K65" s="217"/>
      <c r="L65" s="217"/>
      <c r="M65" s="217"/>
      <c r="N65" s="217"/>
      <c r="O65" s="217"/>
      <c r="P65" s="217"/>
      <c r="Q65" s="217"/>
      <c r="R65" s="133"/>
      <c r="V65" s="133"/>
      <c r="AJ65" s="286"/>
      <c r="AK65" s="286"/>
      <c r="AL65" s="286"/>
      <c r="AM65" s="286"/>
      <c r="AN65" s="286"/>
    </row>
    <row r="66" spans="1:40">
      <c r="A66" s="301"/>
      <c r="B66" s="351" t="s">
        <v>1174</v>
      </c>
      <c r="C66" s="128">
        <f>'Unit costs'!K21*'Unit costs'!L46</f>
        <v>10.4</v>
      </c>
      <c r="D66" s="128">
        <f>('Financial impact (cash)'!D16+'Financial impact (cash)'!D25)*$C66</f>
        <v>52556.313986358728</v>
      </c>
      <c r="E66" s="128">
        <f>('Financial impact (cash)'!E16+'Financial impact (cash)'!E25)*$C66</f>
        <v>46735.405672904213</v>
      </c>
      <c r="F66" s="128">
        <f>('Financial impact (cash)'!F16+'Financial impact (cash)'!F25)*$C66</f>
        <v>39026.338031801119</v>
      </c>
      <c r="G66" s="128">
        <f>('Financial impact (cash)'!G16+'Financial impact (cash)'!G25)*$C66</f>
        <v>31912.586986393781</v>
      </c>
      <c r="H66" s="128">
        <f>('Financial impact (cash)'!H16+'Financial impact (cash)'!H25)*$C66</f>
        <v>26358.114681105842</v>
      </c>
      <c r="I66" s="128">
        <f>('Financial impact (cash)'!I16+'Financial impact (cash)'!I25)*$C66</f>
        <v>23995.095913650475</v>
      </c>
      <c r="J66" s="431"/>
      <c r="K66" s="217"/>
      <c r="L66" s="217"/>
      <c r="M66" s="217"/>
      <c r="N66" s="217"/>
      <c r="O66" s="217"/>
      <c r="P66" s="217"/>
      <c r="Q66" s="217"/>
      <c r="R66" s="133"/>
      <c r="V66" s="133"/>
      <c r="AJ66" s="286"/>
      <c r="AK66" s="286"/>
      <c r="AL66" s="286"/>
      <c r="AM66" s="286"/>
      <c r="AN66" s="286"/>
    </row>
    <row r="67" spans="1:40">
      <c r="A67" s="301"/>
      <c r="B67" s="351" t="s">
        <v>1175</v>
      </c>
      <c r="C67" s="128">
        <f>(('Unit costs'!K25*'Unit costs'!M25)+('Unit costs'!K26*'Unit costs'!M26))*'Unit costs'!L47</f>
        <v>6.8222222222222229</v>
      </c>
      <c r="D67" s="128">
        <f>('Financial impact (cash)'!D17+'Financial impact (cash)'!D26)*$C67</f>
        <v>297873.01650114707</v>
      </c>
      <c r="E67" s="128">
        <f>('Financial impact (cash)'!E17+'Financial impact (cash)'!E26)*$C67</f>
        <v>277397.40619039431</v>
      </c>
      <c r="F67" s="128">
        <f>('Financial impact (cash)'!F17+'Financial impact (cash)'!F26)*$C67</f>
        <v>249845.11238936416</v>
      </c>
      <c r="G67" s="128">
        <f>('Financial impact (cash)'!G17+'Financial impact (cash)'!G26)*$C67</f>
        <v>233806.11101856525</v>
      </c>
      <c r="H67" s="128">
        <f>('Financial impact (cash)'!H17+'Financial impact (cash)'!H26)*$C67</f>
        <v>218678.95259547679</v>
      </c>
      <c r="I67" s="128">
        <f>('Financial impact (cash)'!I17+'Financial impact (cash)'!I26)*$C67</f>
        <v>207843.26869060661</v>
      </c>
      <c r="J67" s="431"/>
      <c r="K67" s="217"/>
      <c r="L67" s="217"/>
      <c r="M67" s="217"/>
      <c r="N67" s="217"/>
      <c r="O67" s="217"/>
      <c r="P67" s="217"/>
      <c r="Q67" s="217"/>
      <c r="R67" s="133"/>
      <c r="V67" s="133"/>
      <c r="AJ67" s="286"/>
      <c r="AK67" s="286"/>
      <c r="AL67" s="286"/>
      <c r="AM67" s="286"/>
      <c r="AN67" s="286"/>
    </row>
    <row r="68" spans="1:40">
      <c r="A68" s="301"/>
      <c r="B68" s="350" t="s">
        <v>1176</v>
      </c>
      <c r="C68" s="128">
        <f>(('Unit costs'!K30*'Unit costs'!M30)+('Unit costs'!K31*'Unit costs'!M31)+('Unit costs'!K32*'Unit costs'!M32))*'Unit costs'!L48</f>
        <v>5.0780000000000012</v>
      </c>
      <c r="D68" s="128">
        <f>('Financial impact (cash)'!D18+'Financial impact (cash)'!D27)*$C68</f>
        <v>141652.20313206423</v>
      </c>
      <c r="E68" s="128">
        <f>('Financial impact (cash)'!E18+'Financial impact (cash)'!E27)*$C68</f>
        <v>134144.01206892348</v>
      </c>
      <c r="F68" s="128">
        <f>('Financial impact (cash)'!F18+'Financial impact (cash)'!F27)*$C68</f>
        <v>124115.33780799163</v>
      </c>
      <c r="G68" s="128">
        <f>('Financial impact (cash)'!G18+'Financial impact (cash)'!G27)*$C68</f>
        <v>116402.90493471867</v>
      </c>
      <c r="H68" s="128">
        <f>('Financial impact (cash)'!H18+'Financial impact (cash)'!H27)*$C68</f>
        <v>107022.99666263827</v>
      </c>
      <c r="I68" s="128">
        <f>('Financial impact (cash)'!I18+'Financial impact (cash)'!I27)*$C68</f>
        <v>100792.54530533651</v>
      </c>
      <c r="J68" s="431"/>
      <c r="K68" s="217"/>
      <c r="L68" s="217"/>
      <c r="M68" s="217"/>
      <c r="N68" s="217"/>
      <c r="O68" s="217"/>
      <c r="P68" s="217"/>
      <c r="Q68" s="217"/>
      <c r="R68" s="133"/>
      <c r="V68" s="133"/>
      <c r="AJ68" s="286"/>
      <c r="AK68" s="286"/>
      <c r="AL68" s="286"/>
      <c r="AM68" s="286"/>
      <c r="AN68" s="286"/>
    </row>
    <row r="69" spans="1:40">
      <c r="A69" s="301"/>
      <c r="B69" s="678" t="s">
        <v>1177</v>
      </c>
      <c r="C69" s="128">
        <f>(('Unit costs'!K36*'Unit costs'!M36)+('Unit costs'!K37*'Unit costs'!M37))*'Unit costs'!L49</f>
        <v>6.4</v>
      </c>
      <c r="D69" s="128">
        <f>('Financial impact (cash)'!D19+'Financial impact (cash)'!D28)*$C69</f>
        <v>59509.918606092338</v>
      </c>
      <c r="E69" s="128">
        <f>('Financial impact (cash)'!E19+'Financial impact (cash)'!E28)*$C69</f>
        <v>56766.7276899149</v>
      </c>
      <c r="F69" s="128">
        <f>('Financial impact (cash)'!F19+'Financial impact (cash)'!F28)*$C69</f>
        <v>54213.79526457475</v>
      </c>
      <c r="G69" s="128">
        <f>('Financial impact (cash)'!G19+'Financial impact (cash)'!G28)*$C69</f>
        <v>54003.866825084413</v>
      </c>
      <c r="H69" s="128">
        <f>('Financial impact (cash)'!H19+'Financial impact (cash)'!H28)*$C69</f>
        <v>53838.703482138728</v>
      </c>
      <c r="I69" s="128">
        <f>('Financial impact (cash)'!I19+'Financial impact (cash)'!I28)*$C69</f>
        <v>53718.736852179703</v>
      </c>
      <c r="J69" s="431"/>
      <c r="K69" s="217"/>
      <c r="L69" s="217"/>
      <c r="M69" s="217"/>
      <c r="N69" s="217"/>
      <c r="O69" s="217"/>
      <c r="P69" s="217"/>
      <c r="Q69" s="217"/>
      <c r="R69" s="133"/>
      <c r="V69" s="133"/>
      <c r="AJ69" s="286"/>
      <c r="AK69" s="286"/>
      <c r="AL69" s="286"/>
      <c r="AM69" s="286"/>
      <c r="AN69" s="286"/>
    </row>
    <row r="70" spans="1:40">
      <c r="A70" s="301"/>
      <c r="B70" s="323"/>
      <c r="C70" s="323"/>
      <c r="D70" s="187">
        <f>SUM(D60:D69)</f>
        <v>689489.31528207788</v>
      </c>
      <c r="E70" s="187">
        <f t="shared" ref="E70:I70" si="35">SUM(E60:E69)</f>
        <v>718958.1181090168</v>
      </c>
      <c r="F70" s="187">
        <f t="shared" si="35"/>
        <v>760325.46912242111</v>
      </c>
      <c r="G70" s="187">
        <f t="shared" si="35"/>
        <v>790237.42713417462</v>
      </c>
      <c r="H70" s="187">
        <f t="shared" si="35"/>
        <v>827823.85528278933</v>
      </c>
      <c r="I70" s="187">
        <f t="shared" si="35"/>
        <v>859460.91970178799</v>
      </c>
      <c r="J70" s="296"/>
      <c r="K70" s="296"/>
      <c r="L70" s="296"/>
      <c r="M70" s="296"/>
      <c r="N70" s="296"/>
      <c r="O70" s="296"/>
      <c r="P70" s="296"/>
      <c r="Q70" s="296"/>
      <c r="R70" s="133"/>
      <c r="V70" s="133"/>
      <c r="AJ70" s="286"/>
      <c r="AK70" s="286"/>
      <c r="AL70" s="286"/>
      <c r="AM70" s="286"/>
      <c r="AN70" s="286"/>
    </row>
    <row r="71" spans="1:40">
      <c r="A71" s="301"/>
      <c r="B71" s="259"/>
      <c r="C71" s="259"/>
      <c r="D71" s="285" t="s">
        <v>743</v>
      </c>
      <c r="E71" s="187">
        <f>E70-$D$70</f>
        <v>29468.802826938918</v>
      </c>
      <c r="F71" s="187">
        <f>F70-$D$70</f>
        <v>70836.153840343235</v>
      </c>
      <c r="G71" s="187">
        <f>G70-$D$70</f>
        <v>100748.11185209674</v>
      </c>
      <c r="H71" s="187">
        <f>H70-$D$70</f>
        <v>138334.54000071145</v>
      </c>
      <c r="I71" s="187">
        <f>I70-$D$70</f>
        <v>169971.60441971011</v>
      </c>
      <c r="J71" s="296"/>
      <c r="K71" s="296"/>
      <c r="L71" s="296"/>
      <c r="M71" s="296"/>
      <c r="N71" s="296"/>
      <c r="O71" s="296"/>
      <c r="P71" s="296"/>
      <c r="Q71" s="296"/>
      <c r="R71" s="133"/>
      <c r="S71" s="133"/>
      <c r="T71" s="133"/>
      <c r="U71" s="133"/>
      <c r="V71" s="133"/>
      <c r="W71" s="133"/>
      <c r="X71" s="133"/>
      <c r="Y71" s="133"/>
      <c r="Z71" s="133"/>
      <c r="AJ71" s="286"/>
      <c r="AK71" s="286"/>
      <c r="AL71" s="286"/>
      <c r="AM71" s="286"/>
      <c r="AN71" s="286"/>
    </row>
    <row r="72" spans="1:40">
      <c r="A72" s="296"/>
      <c r="B72" s="322"/>
      <c r="C72" s="299"/>
      <c r="D72" s="299"/>
      <c r="E72" s="300"/>
      <c r="F72" s="296"/>
      <c r="G72" s="296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133"/>
      <c r="S72" s="133"/>
      <c r="T72" s="133"/>
      <c r="U72" s="133"/>
      <c r="V72" s="133"/>
      <c r="W72" s="133"/>
      <c r="X72" s="133"/>
      <c r="Y72" s="133"/>
      <c r="Z72" s="133"/>
      <c r="AJ72" s="286"/>
      <c r="AK72" s="286"/>
      <c r="AL72" s="286"/>
      <c r="AM72" s="286"/>
      <c r="AN72" s="286"/>
    </row>
    <row r="73" spans="1:40">
      <c r="A73" s="287"/>
      <c r="B73" s="324" t="s">
        <v>744</v>
      </c>
      <c r="C73" s="302"/>
      <c r="D73" s="302"/>
      <c r="E73" s="303"/>
      <c r="F73" s="304"/>
      <c r="G73" s="305"/>
      <c r="H73" s="305"/>
      <c r="I73" s="305"/>
      <c r="J73" s="436"/>
      <c r="K73" s="287"/>
      <c r="L73" s="287"/>
      <c r="M73" s="287"/>
      <c r="N73" s="287"/>
      <c r="O73" s="287"/>
      <c r="P73" s="287"/>
      <c r="Q73" s="219"/>
      <c r="R73" s="133"/>
      <c r="V73" s="133"/>
    </row>
    <row r="74" spans="1:40">
      <c r="A74" s="287"/>
      <c r="B74" s="391" t="s">
        <v>745</v>
      </c>
      <c r="C74" s="392"/>
      <c r="D74" s="392"/>
      <c r="E74" s="392"/>
      <c r="F74" s="392"/>
      <c r="G74" s="392"/>
      <c r="H74" s="392"/>
      <c r="I74" s="218"/>
      <c r="J74" s="433"/>
      <c r="K74" s="219"/>
      <c r="L74" s="287"/>
      <c r="M74" s="287"/>
      <c r="N74" s="287"/>
      <c r="O74" s="287"/>
      <c r="P74" s="287"/>
      <c r="Q74" s="219"/>
      <c r="R74" s="133"/>
      <c r="V74" s="133"/>
    </row>
    <row r="75" spans="1:40" ht="58">
      <c r="A75" s="287"/>
      <c r="B75" s="282" t="s">
        <v>123</v>
      </c>
      <c r="C75" s="166" t="s">
        <v>746</v>
      </c>
      <c r="D75" s="425" t="s">
        <v>730</v>
      </c>
      <c r="E75" s="258" t="s">
        <v>50</v>
      </c>
      <c r="F75" s="258" t="s">
        <v>51</v>
      </c>
      <c r="G75" s="165" t="s">
        <v>731</v>
      </c>
      <c r="H75" s="165" t="s">
        <v>732</v>
      </c>
      <c r="I75" s="258" t="s">
        <v>733</v>
      </c>
      <c r="J75" s="287"/>
      <c r="K75" s="287"/>
      <c r="L75" s="287"/>
      <c r="M75" s="287"/>
      <c r="N75" s="287"/>
      <c r="O75" s="287"/>
      <c r="P75" s="287"/>
      <c r="Q75" s="219"/>
      <c r="R75" s="133"/>
      <c r="V75" s="133"/>
    </row>
    <row r="76" spans="1:40">
      <c r="A76" s="287"/>
      <c r="B76" s="351" t="s">
        <v>1080</v>
      </c>
      <c r="C76" s="149">
        <f>'Inputs and eligible population'!F97</f>
        <v>0</v>
      </c>
      <c r="D76" s="128">
        <f>((D60+D65)*$C$76)/60</f>
        <v>0</v>
      </c>
      <c r="E76" s="128">
        <f t="shared" ref="E76:I76" si="36">((E60+E65)*$C$76)/60</f>
        <v>0</v>
      </c>
      <c r="F76" s="128">
        <f t="shared" si="36"/>
        <v>0</v>
      </c>
      <c r="G76" s="128">
        <f t="shared" si="36"/>
        <v>0</v>
      </c>
      <c r="H76" s="128">
        <f t="shared" si="36"/>
        <v>0</v>
      </c>
      <c r="I76" s="128">
        <f t="shared" si="36"/>
        <v>0</v>
      </c>
      <c r="J76" s="287"/>
      <c r="K76" s="287"/>
      <c r="L76" s="287"/>
      <c r="M76" s="287"/>
      <c r="N76" s="287"/>
      <c r="O76" s="287"/>
      <c r="P76" s="287"/>
      <c r="Q76" s="219"/>
      <c r="R76" s="133"/>
      <c r="S76" s="133"/>
      <c r="T76" s="133"/>
      <c r="U76" s="133"/>
      <c r="V76" s="133"/>
      <c r="W76" s="133"/>
      <c r="X76" s="133"/>
      <c r="Y76" s="133"/>
      <c r="Z76" s="133"/>
      <c r="AJ76" s="286"/>
      <c r="AK76" s="286"/>
      <c r="AL76" s="286"/>
      <c r="AM76" s="286"/>
      <c r="AN76" s="286"/>
    </row>
    <row r="77" spans="1:40">
      <c r="A77" s="287"/>
      <c r="B77" s="351" t="s">
        <v>1081</v>
      </c>
      <c r="C77" s="149">
        <f>'Inputs and eligible population'!G97</f>
        <v>15</v>
      </c>
      <c r="D77" s="128">
        <f>((D61+D66)*$C$77)/60</f>
        <v>16423.848120737101</v>
      </c>
      <c r="E77" s="128">
        <f t="shared" ref="E77:I77" si="37">((E61+E66)*$C$77)/60</f>
        <v>14604.814272782567</v>
      </c>
      <c r="F77" s="128">
        <f t="shared" si="37"/>
        <v>12195.730634937849</v>
      </c>
      <c r="G77" s="128">
        <f t="shared" si="37"/>
        <v>9972.6834332480557</v>
      </c>
      <c r="H77" s="128">
        <f t="shared" si="37"/>
        <v>8236.9108378455749</v>
      </c>
      <c r="I77" s="128">
        <f t="shared" si="37"/>
        <v>7498.4674730157731</v>
      </c>
      <c r="J77" s="287"/>
      <c r="K77" s="287"/>
      <c r="L77" s="287"/>
      <c r="M77" s="287"/>
      <c r="N77" s="287"/>
      <c r="O77" s="287"/>
      <c r="P77" s="287"/>
      <c r="Q77" s="219"/>
      <c r="R77" s="133"/>
      <c r="S77" s="133"/>
      <c r="T77" s="133"/>
      <c r="U77" s="133"/>
      <c r="V77" s="133"/>
      <c r="W77" s="133"/>
      <c r="X77" s="133"/>
      <c r="Y77" s="133"/>
      <c r="Z77" s="133"/>
      <c r="AJ77" s="286"/>
      <c r="AK77" s="286"/>
      <c r="AL77" s="286"/>
      <c r="AM77" s="286"/>
      <c r="AN77" s="286"/>
    </row>
    <row r="78" spans="1:40">
      <c r="A78" s="287"/>
      <c r="B78" s="351" t="s">
        <v>1082</v>
      </c>
      <c r="C78" s="149">
        <f>'Inputs and eligible population'!H97</f>
        <v>15</v>
      </c>
      <c r="D78" s="128">
        <f>((D62+D67)*$C$78)/60</f>
        <v>93085.317656608458</v>
      </c>
      <c r="E78" s="128">
        <f t="shared" ref="E78:I78" si="38">((E62+E67)*$C$78)/60</f>
        <v>86686.689434498228</v>
      </c>
      <c r="F78" s="128">
        <f t="shared" si="38"/>
        <v>78076.597621676308</v>
      </c>
      <c r="G78" s="128">
        <f t="shared" si="38"/>
        <v>73064.409693301641</v>
      </c>
      <c r="H78" s="128">
        <f t="shared" si="38"/>
        <v>68337.172686086502</v>
      </c>
      <c r="I78" s="128">
        <f t="shared" si="38"/>
        <v>64951.021465814563</v>
      </c>
      <c r="J78" s="287"/>
      <c r="K78" s="287"/>
      <c r="L78" s="287"/>
      <c r="M78" s="287"/>
      <c r="N78" s="287"/>
      <c r="O78" s="287"/>
      <c r="P78" s="287"/>
      <c r="Q78" s="219"/>
      <c r="R78" s="133"/>
      <c r="S78" s="133"/>
      <c r="T78" s="133"/>
      <c r="U78" s="133"/>
      <c r="V78" s="133"/>
      <c r="W78" s="133"/>
      <c r="X78" s="133"/>
      <c r="Y78" s="133"/>
      <c r="Z78" s="133"/>
      <c r="AJ78" s="286"/>
      <c r="AK78" s="286"/>
      <c r="AL78" s="286"/>
      <c r="AM78" s="286"/>
      <c r="AN78" s="286"/>
    </row>
    <row r="79" spans="1:40">
      <c r="A79" s="287"/>
      <c r="B79" s="351" t="s">
        <v>1083</v>
      </c>
      <c r="C79" s="149">
        <f>'Inputs and eligible population'!I97</f>
        <v>15</v>
      </c>
      <c r="D79" s="128">
        <f>((D63+D68)*$C$79)/60</f>
        <v>44266.313478770069</v>
      </c>
      <c r="E79" s="128">
        <f t="shared" ref="E79:I79" si="39">((E63+E68)*$C$79)/60</f>
        <v>41920.003771538584</v>
      </c>
      <c r="F79" s="128">
        <f t="shared" si="39"/>
        <v>38786.043064997386</v>
      </c>
      <c r="G79" s="128">
        <f t="shared" si="39"/>
        <v>36375.907792099584</v>
      </c>
      <c r="H79" s="128">
        <f t="shared" si="39"/>
        <v>33444.686457074458</v>
      </c>
      <c r="I79" s="128">
        <f t="shared" si="39"/>
        <v>31497.670407917656</v>
      </c>
      <c r="J79" s="287"/>
      <c r="K79" s="287"/>
      <c r="L79" s="287"/>
      <c r="M79" s="287"/>
      <c r="N79" s="287"/>
      <c r="O79" s="287"/>
      <c r="P79" s="287"/>
      <c r="Q79" s="219"/>
      <c r="R79" s="133"/>
      <c r="S79" s="133"/>
      <c r="T79" s="133"/>
      <c r="U79" s="133"/>
      <c r="V79" s="133"/>
      <c r="W79" s="133"/>
      <c r="X79" s="133"/>
      <c r="Y79" s="133"/>
      <c r="Z79" s="133"/>
      <c r="AJ79" s="286"/>
      <c r="AK79" s="286"/>
      <c r="AL79" s="286"/>
      <c r="AM79" s="286"/>
      <c r="AN79" s="286"/>
    </row>
    <row r="80" spans="1:40">
      <c r="A80" s="287"/>
      <c r="B80" s="351" t="s">
        <v>1084</v>
      </c>
      <c r="C80" s="149">
        <f>'Inputs and eligible population'!J97</f>
        <v>15</v>
      </c>
      <c r="D80" s="128">
        <f>((D64+D69)*$C$80)/60</f>
        <v>18596.849564403856</v>
      </c>
      <c r="E80" s="128">
        <f t="shared" ref="E80:I80" si="40">((E64+E69)*$C$80)/60</f>
        <v>17739.602403098404</v>
      </c>
      <c r="F80" s="128">
        <f t="shared" si="40"/>
        <v>16941.811020179608</v>
      </c>
      <c r="G80" s="128">
        <f t="shared" si="40"/>
        <v>16876.208382838879</v>
      </c>
      <c r="H80" s="128">
        <f t="shared" si="40"/>
        <v>16824.594838168352</v>
      </c>
      <c r="I80" s="128">
        <f t="shared" si="40"/>
        <v>16787.105266306156</v>
      </c>
      <c r="J80" s="287"/>
      <c r="K80" s="287"/>
      <c r="L80" s="287"/>
      <c r="M80" s="287"/>
      <c r="N80" s="287"/>
      <c r="O80" s="287"/>
      <c r="P80" s="287"/>
      <c r="Q80" s="219"/>
      <c r="R80" s="133"/>
      <c r="S80" s="133"/>
      <c r="T80" s="133"/>
      <c r="U80" s="133"/>
      <c r="V80" s="133"/>
      <c r="W80" s="133"/>
      <c r="X80" s="133"/>
      <c r="Y80" s="133"/>
      <c r="Z80" s="133"/>
      <c r="AJ80" s="286"/>
      <c r="AK80" s="286"/>
      <c r="AL80" s="286"/>
      <c r="AM80" s="286"/>
      <c r="AN80" s="286"/>
    </row>
    <row r="81" spans="1:40">
      <c r="A81" s="287"/>
      <c r="B81" s="283" t="s">
        <v>747</v>
      </c>
      <c r="C81" s="323"/>
      <c r="D81" s="187">
        <f t="shared" ref="D81:I81" si="41">SUM(D76:D80)</f>
        <v>172372.32882051947</v>
      </c>
      <c r="E81" s="187">
        <f t="shared" si="41"/>
        <v>160951.10988191777</v>
      </c>
      <c r="F81" s="187">
        <f t="shared" si="41"/>
        <v>146000.18234179117</v>
      </c>
      <c r="G81" s="187">
        <f t="shared" si="41"/>
        <v>136289.20930148815</v>
      </c>
      <c r="H81" s="187">
        <f t="shared" si="41"/>
        <v>126843.36481917489</v>
      </c>
      <c r="I81" s="187">
        <f t="shared" si="41"/>
        <v>120734.26461305415</v>
      </c>
      <c r="J81" s="287"/>
      <c r="K81" s="287"/>
      <c r="L81" s="287"/>
      <c r="M81" s="287"/>
      <c r="N81" s="287"/>
      <c r="O81" s="287"/>
      <c r="P81" s="287"/>
      <c r="Q81" s="219"/>
      <c r="R81" s="133"/>
      <c r="S81" s="133"/>
      <c r="T81" s="133"/>
      <c r="U81" s="133"/>
      <c r="V81" s="133"/>
      <c r="W81" s="133"/>
      <c r="X81" s="133"/>
      <c r="Y81" s="133"/>
      <c r="Z81" s="133"/>
      <c r="AJ81" s="286"/>
      <c r="AK81" s="286"/>
      <c r="AL81" s="286"/>
      <c r="AM81" s="286"/>
      <c r="AN81" s="286"/>
    </row>
    <row r="82" spans="1:40">
      <c r="A82" s="287"/>
      <c r="B82" s="306"/>
      <c r="C82" s="259"/>
      <c r="D82" s="285" t="s">
        <v>748</v>
      </c>
      <c r="E82" s="187">
        <f>E81-$D$81</f>
        <v>-11421.218938601698</v>
      </c>
      <c r="F82" s="187">
        <f>F81-$D$81</f>
        <v>-26372.146478728304</v>
      </c>
      <c r="G82" s="187">
        <f>G81-$D$81</f>
        <v>-36083.119519031316</v>
      </c>
      <c r="H82" s="187">
        <f>H81-$D$81</f>
        <v>-45528.964001344575</v>
      </c>
      <c r="I82" s="187">
        <f>I81-$D$81</f>
        <v>-51638.064207465315</v>
      </c>
      <c r="J82" s="287"/>
      <c r="K82" s="287"/>
      <c r="L82" s="287"/>
      <c r="M82" s="287"/>
      <c r="N82" s="287"/>
      <c r="O82" s="287"/>
      <c r="P82" s="287"/>
      <c r="Q82" s="219"/>
      <c r="R82" s="133"/>
      <c r="S82" s="133"/>
      <c r="T82" s="133"/>
      <c r="U82" s="133"/>
      <c r="V82" s="133"/>
      <c r="W82" s="133"/>
      <c r="X82" s="133"/>
      <c r="Y82" s="133"/>
      <c r="Z82" s="133"/>
      <c r="AJ82" s="286"/>
      <c r="AK82" s="286"/>
      <c r="AL82" s="286"/>
      <c r="AM82" s="286"/>
      <c r="AN82" s="286"/>
    </row>
    <row r="83" spans="1:40">
      <c r="A83" s="287"/>
      <c r="B83" s="325"/>
      <c r="C83" s="219"/>
      <c r="D83" s="219"/>
      <c r="E83" s="219"/>
      <c r="F83" s="219"/>
      <c r="G83" s="219"/>
      <c r="H83" s="219"/>
      <c r="I83" s="219"/>
      <c r="J83" s="219"/>
      <c r="K83" s="219"/>
      <c r="L83" s="287"/>
      <c r="M83" s="287"/>
      <c r="N83" s="287"/>
      <c r="O83" s="287"/>
      <c r="P83" s="287"/>
      <c r="Q83" s="219"/>
      <c r="R83" s="133"/>
      <c r="S83" s="133"/>
      <c r="T83" s="133"/>
      <c r="U83" s="133"/>
      <c r="V83" s="133"/>
      <c r="W83" s="133"/>
      <c r="X83" s="133"/>
      <c r="Y83" s="133"/>
      <c r="Z83" s="133"/>
      <c r="AJ83" s="286"/>
      <c r="AK83" s="286"/>
      <c r="AL83" s="286"/>
      <c r="AM83" s="286"/>
      <c r="AN83" s="286"/>
    </row>
    <row r="84" spans="1:40">
      <c r="A84" s="287"/>
      <c r="B84" s="393" t="s">
        <v>749</v>
      </c>
      <c r="C84" s="392"/>
      <c r="D84" s="392"/>
      <c r="E84" s="392"/>
      <c r="F84" s="392"/>
      <c r="G84" s="392"/>
      <c r="H84" s="392"/>
      <c r="I84" s="218"/>
      <c r="J84" s="433"/>
      <c r="K84" s="219"/>
      <c r="L84" s="287"/>
      <c r="M84" s="287"/>
      <c r="N84" s="287"/>
      <c r="O84" s="287"/>
      <c r="P84" s="287"/>
      <c r="Q84" s="219"/>
      <c r="R84" s="133"/>
      <c r="S84" s="133"/>
      <c r="T84" s="133"/>
      <c r="U84" s="133"/>
      <c r="V84" s="133"/>
      <c r="W84" s="133"/>
      <c r="X84" s="133"/>
      <c r="Y84" s="133"/>
      <c r="Z84" s="133"/>
      <c r="AJ84" s="286"/>
      <c r="AK84" s="286"/>
      <c r="AL84" s="286"/>
      <c r="AM84" s="286"/>
      <c r="AN84" s="286"/>
    </row>
    <row r="85" spans="1:40" ht="72.5">
      <c r="A85" s="287"/>
      <c r="B85" s="282" t="s">
        <v>123</v>
      </c>
      <c r="C85" s="166" t="s">
        <v>87</v>
      </c>
      <c r="D85" s="425" t="s">
        <v>730</v>
      </c>
      <c r="E85" s="258" t="s">
        <v>50</v>
      </c>
      <c r="F85" s="258" t="s">
        <v>51</v>
      </c>
      <c r="G85" s="165" t="s">
        <v>731</v>
      </c>
      <c r="H85" s="165" t="s">
        <v>732</v>
      </c>
      <c r="I85" s="258" t="s">
        <v>733</v>
      </c>
      <c r="J85" s="287"/>
      <c r="K85" s="287"/>
      <c r="L85" s="287"/>
      <c r="M85" s="287"/>
      <c r="N85" s="287"/>
      <c r="O85" s="287"/>
      <c r="P85" s="287"/>
      <c r="Q85" s="219"/>
      <c r="R85" s="133"/>
      <c r="S85" s="133"/>
      <c r="T85" s="133"/>
      <c r="U85" s="133"/>
      <c r="V85" s="133"/>
      <c r="W85" s="133"/>
      <c r="X85" s="133"/>
      <c r="Y85" s="133"/>
      <c r="Z85" s="133"/>
      <c r="AJ85" s="286"/>
      <c r="AK85" s="286"/>
      <c r="AL85" s="286"/>
      <c r="AM85" s="286"/>
      <c r="AN85" s="286"/>
    </row>
    <row r="86" spans="1:40">
      <c r="A86" s="287"/>
      <c r="B86" s="351" t="s">
        <v>1080</v>
      </c>
      <c r="C86" s="149">
        <f>'Inputs and eligible population'!F98</f>
        <v>0</v>
      </c>
      <c r="D86" s="128">
        <f>((D60+D65)*$C$86)/60</f>
        <v>0</v>
      </c>
      <c r="E86" s="128">
        <f t="shared" ref="E86:I86" si="42">((E60+E65)*$C$86)/60</f>
        <v>0</v>
      </c>
      <c r="F86" s="128">
        <f t="shared" si="42"/>
        <v>0</v>
      </c>
      <c r="G86" s="128">
        <f t="shared" si="42"/>
        <v>0</v>
      </c>
      <c r="H86" s="128">
        <f t="shared" si="42"/>
        <v>0</v>
      </c>
      <c r="I86" s="128">
        <f t="shared" si="42"/>
        <v>0</v>
      </c>
      <c r="J86" s="287"/>
      <c r="K86" s="287"/>
      <c r="L86" s="287"/>
      <c r="M86" s="287"/>
      <c r="N86" s="287"/>
      <c r="O86" s="287"/>
      <c r="P86" s="287"/>
      <c r="Q86" s="219"/>
      <c r="R86" s="133"/>
      <c r="S86" s="133"/>
      <c r="T86" s="133"/>
      <c r="U86" s="133"/>
      <c r="V86" s="133"/>
      <c r="W86" s="133"/>
      <c r="X86" s="133"/>
      <c r="Y86" s="133"/>
      <c r="Z86" s="133"/>
      <c r="AJ86" s="286"/>
      <c r="AK86" s="286"/>
      <c r="AL86" s="286"/>
      <c r="AM86" s="286"/>
      <c r="AN86" s="286"/>
    </row>
    <row r="87" spans="1:40">
      <c r="A87" s="287"/>
      <c r="B87" s="351" t="s">
        <v>1081</v>
      </c>
      <c r="C87" s="149">
        <f>'Inputs and eligible population'!G98</f>
        <v>15</v>
      </c>
      <c r="D87" s="128">
        <f>((D61+D66)*$C$87)/60</f>
        <v>16423.848120737101</v>
      </c>
      <c r="E87" s="128">
        <f t="shared" ref="E87:I87" si="43">((E61+E66)*$C$87)/60</f>
        <v>14604.814272782567</v>
      </c>
      <c r="F87" s="128">
        <f t="shared" si="43"/>
        <v>12195.730634937849</v>
      </c>
      <c r="G87" s="128">
        <f t="shared" si="43"/>
        <v>9972.6834332480557</v>
      </c>
      <c r="H87" s="128">
        <f t="shared" si="43"/>
        <v>8236.9108378455749</v>
      </c>
      <c r="I87" s="128">
        <f t="shared" si="43"/>
        <v>7498.4674730157731</v>
      </c>
      <c r="J87" s="287"/>
      <c r="K87" s="287"/>
      <c r="L87" s="287"/>
      <c r="M87" s="287"/>
      <c r="N87" s="287"/>
      <c r="O87" s="287"/>
      <c r="P87" s="287"/>
      <c r="Q87" s="219"/>
      <c r="R87" s="133"/>
      <c r="S87" s="133"/>
      <c r="T87" s="133"/>
      <c r="U87" s="133"/>
      <c r="V87" s="133"/>
      <c r="W87" s="133"/>
      <c r="X87" s="133"/>
      <c r="Y87" s="133"/>
      <c r="Z87" s="133"/>
      <c r="AJ87" s="286"/>
      <c r="AK87" s="286"/>
      <c r="AL87" s="286"/>
      <c r="AM87" s="286"/>
      <c r="AN87" s="286"/>
    </row>
    <row r="88" spans="1:40">
      <c r="A88" s="287"/>
      <c r="B88" s="351" t="s">
        <v>1082</v>
      </c>
      <c r="C88" s="149">
        <f>'Inputs and eligible population'!H98</f>
        <v>15</v>
      </c>
      <c r="D88" s="128">
        <f>((D62+D67)*$C$88)/60</f>
        <v>93085.317656608458</v>
      </c>
      <c r="E88" s="128">
        <f t="shared" ref="E88:I88" si="44">((E62+E67)*$C$88)/60</f>
        <v>86686.689434498228</v>
      </c>
      <c r="F88" s="128">
        <f t="shared" si="44"/>
        <v>78076.597621676308</v>
      </c>
      <c r="G88" s="128">
        <f t="shared" si="44"/>
        <v>73064.409693301641</v>
      </c>
      <c r="H88" s="128">
        <f t="shared" si="44"/>
        <v>68337.172686086502</v>
      </c>
      <c r="I88" s="128">
        <f t="shared" si="44"/>
        <v>64951.021465814563</v>
      </c>
      <c r="J88" s="287"/>
      <c r="K88" s="287"/>
      <c r="L88" s="287"/>
      <c r="M88" s="287"/>
      <c r="N88" s="287"/>
      <c r="O88" s="287"/>
      <c r="P88" s="287"/>
      <c r="Q88" s="219"/>
      <c r="R88" s="133"/>
      <c r="S88" s="133"/>
      <c r="T88" s="133"/>
      <c r="U88" s="133"/>
      <c r="V88" s="133"/>
      <c r="W88" s="133"/>
      <c r="X88" s="133"/>
      <c r="Y88" s="133"/>
      <c r="Z88" s="133"/>
      <c r="AJ88" s="286"/>
      <c r="AK88" s="286"/>
      <c r="AL88" s="286"/>
      <c r="AM88" s="286"/>
      <c r="AN88" s="286"/>
    </row>
    <row r="89" spans="1:40">
      <c r="A89" s="287"/>
      <c r="B89" s="351" t="s">
        <v>1083</v>
      </c>
      <c r="C89" s="149">
        <f>'Inputs and eligible population'!I98</f>
        <v>15</v>
      </c>
      <c r="D89" s="128">
        <f>((D63+D68)*$C$89)/60</f>
        <v>44266.313478770069</v>
      </c>
      <c r="E89" s="128">
        <f t="shared" ref="E89:I89" si="45">((E63+E68)*$C$89)/60</f>
        <v>41920.003771538584</v>
      </c>
      <c r="F89" s="128">
        <f t="shared" si="45"/>
        <v>38786.043064997386</v>
      </c>
      <c r="G89" s="128">
        <f t="shared" si="45"/>
        <v>36375.907792099584</v>
      </c>
      <c r="H89" s="128">
        <f t="shared" si="45"/>
        <v>33444.686457074458</v>
      </c>
      <c r="I89" s="128">
        <f t="shared" si="45"/>
        <v>31497.670407917656</v>
      </c>
      <c r="J89" s="287"/>
      <c r="K89" s="287"/>
      <c r="L89" s="287"/>
      <c r="M89" s="287"/>
      <c r="N89" s="287"/>
      <c r="O89" s="287"/>
      <c r="P89" s="287"/>
      <c r="Q89" s="219"/>
      <c r="R89" s="133"/>
      <c r="S89" s="133"/>
      <c r="T89" s="133"/>
      <c r="U89" s="133"/>
      <c r="V89" s="133"/>
      <c r="W89" s="133"/>
      <c r="X89" s="133"/>
      <c r="Y89" s="133"/>
      <c r="Z89" s="133"/>
      <c r="AJ89" s="286"/>
      <c r="AK89" s="286"/>
      <c r="AL89" s="286"/>
      <c r="AM89" s="286"/>
      <c r="AN89" s="286"/>
    </row>
    <row r="90" spans="1:40">
      <c r="A90" s="287"/>
      <c r="B90" s="351" t="s">
        <v>1084</v>
      </c>
      <c r="C90" s="149">
        <f>'Inputs and eligible population'!J98</f>
        <v>15</v>
      </c>
      <c r="D90" s="128">
        <f>((D64+D69)*$C$90)/60</f>
        <v>18596.849564403856</v>
      </c>
      <c r="E90" s="128">
        <f t="shared" ref="E90:I90" si="46">((E64+E69)*$C$90)/60</f>
        <v>17739.602403098404</v>
      </c>
      <c r="F90" s="128">
        <f t="shared" si="46"/>
        <v>16941.811020179608</v>
      </c>
      <c r="G90" s="128">
        <f t="shared" si="46"/>
        <v>16876.208382838879</v>
      </c>
      <c r="H90" s="128">
        <f t="shared" si="46"/>
        <v>16824.594838168352</v>
      </c>
      <c r="I90" s="128">
        <f t="shared" si="46"/>
        <v>16787.105266306156</v>
      </c>
      <c r="J90" s="287"/>
      <c r="K90" s="287"/>
      <c r="L90" s="287"/>
      <c r="M90" s="287"/>
      <c r="N90" s="287"/>
      <c r="O90" s="287"/>
      <c r="P90" s="287"/>
      <c r="Q90" s="219"/>
      <c r="R90" s="133"/>
      <c r="S90" s="133"/>
      <c r="T90" s="133"/>
      <c r="U90" s="133"/>
      <c r="V90" s="133"/>
      <c r="W90" s="133"/>
      <c r="X90" s="133"/>
      <c r="Y90" s="133"/>
      <c r="Z90" s="133"/>
      <c r="AJ90" s="286"/>
      <c r="AK90" s="286"/>
      <c r="AL90" s="286"/>
      <c r="AM90" s="286"/>
      <c r="AN90" s="286"/>
    </row>
    <row r="91" spans="1:40">
      <c r="A91" s="287"/>
      <c r="B91" s="283"/>
      <c r="C91" s="283"/>
      <c r="D91" s="187">
        <f t="shared" ref="D91:I91" si="47">SUM(D86:D90)</f>
        <v>172372.32882051947</v>
      </c>
      <c r="E91" s="187">
        <f t="shared" si="47"/>
        <v>160951.10988191777</v>
      </c>
      <c r="F91" s="187">
        <f t="shared" si="47"/>
        <v>146000.18234179117</v>
      </c>
      <c r="G91" s="187">
        <f t="shared" si="47"/>
        <v>136289.20930148815</v>
      </c>
      <c r="H91" s="187">
        <f t="shared" si="47"/>
        <v>126843.36481917489</v>
      </c>
      <c r="I91" s="187">
        <f t="shared" si="47"/>
        <v>120734.26461305415</v>
      </c>
      <c r="J91" s="287"/>
      <c r="K91" s="287"/>
      <c r="L91" s="287"/>
      <c r="M91" s="287"/>
      <c r="N91" s="287"/>
      <c r="O91" s="287"/>
      <c r="P91" s="287"/>
      <c r="Q91" s="219"/>
      <c r="S91" s="133"/>
      <c r="T91" s="133"/>
      <c r="U91" s="133"/>
      <c r="V91" s="133"/>
      <c r="W91" s="133"/>
      <c r="X91" s="133"/>
      <c r="Y91" s="133"/>
      <c r="Z91" s="133"/>
      <c r="AJ91" s="286"/>
      <c r="AK91" s="286"/>
      <c r="AL91" s="286"/>
      <c r="AM91" s="286"/>
      <c r="AN91" s="286"/>
    </row>
    <row r="92" spans="1:40">
      <c r="A92" s="287"/>
      <c r="B92" s="283"/>
      <c r="C92" s="283"/>
      <c r="D92" s="285" t="s">
        <v>750</v>
      </c>
      <c r="E92" s="187">
        <f>E91-$D$91</f>
        <v>-11421.218938601698</v>
      </c>
      <c r="F92" s="187">
        <f>F91-$D$91</f>
        <v>-26372.146478728304</v>
      </c>
      <c r="G92" s="187">
        <f>G91-$D$91</f>
        <v>-36083.119519031316</v>
      </c>
      <c r="H92" s="187">
        <f>H91-$D$91</f>
        <v>-45528.964001344575</v>
      </c>
      <c r="I92" s="187">
        <f>I91-$D$91</f>
        <v>-51638.064207465315</v>
      </c>
      <c r="J92" s="287"/>
      <c r="K92" s="287"/>
      <c r="L92" s="287"/>
      <c r="M92" s="287"/>
      <c r="N92" s="287"/>
      <c r="O92" s="287"/>
      <c r="P92" s="287"/>
      <c r="Q92" s="219"/>
      <c r="S92" s="133"/>
      <c r="T92" s="133"/>
      <c r="U92" s="133"/>
      <c r="V92" s="133"/>
      <c r="W92" s="133"/>
      <c r="X92" s="133"/>
      <c r="Y92" s="133"/>
      <c r="Z92" s="133"/>
      <c r="AJ92" s="286"/>
      <c r="AK92" s="286"/>
      <c r="AL92" s="286"/>
      <c r="AM92" s="286"/>
      <c r="AN92" s="286"/>
    </row>
    <row r="93" spans="1:40">
      <c r="A93" s="287"/>
      <c r="B93" s="325"/>
      <c r="C93" s="219"/>
      <c r="D93" s="219"/>
      <c r="E93" s="219"/>
      <c r="F93" s="219"/>
      <c r="G93" s="219"/>
      <c r="H93" s="219"/>
      <c r="I93" s="219"/>
      <c r="J93" s="219"/>
      <c r="K93" s="219"/>
      <c r="L93" s="287"/>
      <c r="M93" s="287"/>
      <c r="N93" s="287"/>
      <c r="O93" s="287"/>
      <c r="P93" s="287"/>
      <c r="Q93" s="219"/>
      <c r="S93" s="133"/>
      <c r="T93" s="133"/>
      <c r="U93" s="133"/>
      <c r="V93" s="133"/>
      <c r="W93" s="133"/>
      <c r="X93" s="133"/>
      <c r="Y93" s="133"/>
      <c r="Z93" s="133"/>
      <c r="AJ93" s="286"/>
      <c r="AK93" s="286"/>
      <c r="AL93" s="286"/>
      <c r="AM93" s="286"/>
      <c r="AN93" s="286"/>
    </row>
    <row r="94" spans="1:40">
      <c r="A94" s="287"/>
      <c r="B94" s="393" t="s">
        <v>169</v>
      </c>
      <c r="C94" s="392"/>
      <c r="D94" s="392"/>
      <c r="E94" s="392"/>
      <c r="F94" s="392"/>
      <c r="G94" s="392"/>
      <c r="H94" s="392"/>
      <c r="I94" s="218"/>
      <c r="J94" s="433"/>
      <c r="K94" s="219"/>
      <c r="L94" s="287"/>
      <c r="M94" s="287"/>
      <c r="N94" s="287"/>
      <c r="O94" s="287"/>
      <c r="P94" s="287"/>
      <c r="Q94" s="219"/>
      <c r="V94" s="133"/>
      <c r="AJ94" s="286"/>
      <c r="AK94" s="286"/>
      <c r="AL94" s="286"/>
      <c r="AM94" s="286"/>
      <c r="AN94" s="286"/>
    </row>
    <row r="95" spans="1:40" ht="58">
      <c r="A95" s="287"/>
      <c r="B95" s="282" t="s">
        <v>123</v>
      </c>
      <c r="C95" s="166" t="s">
        <v>88</v>
      </c>
      <c r="D95" s="425" t="s">
        <v>730</v>
      </c>
      <c r="E95" s="258" t="s">
        <v>50</v>
      </c>
      <c r="F95" s="258" t="s">
        <v>51</v>
      </c>
      <c r="G95" s="165" t="s">
        <v>731</v>
      </c>
      <c r="H95" s="165" t="s">
        <v>732</v>
      </c>
      <c r="I95" s="258" t="s">
        <v>733</v>
      </c>
      <c r="J95" s="287"/>
      <c r="K95" s="287"/>
      <c r="L95" s="287"/>
      <c r="M95" s="287"/>
      <c r="N95" s="287"/>
      <c r="O95" s="287"/>
      <c r="P95" s="287"/>
      <c r="Q95" s="219"/>
      <c r="V95" s="133"/>
      <c r="AJ95" s="286"/>
      <c r="AK95" s="286"/>
      <c r="AL95" s="286"/>
      <c r="AM95" s="286"/>
      <c r="AN95" s="286"/>
    </row>
    <row r="96" spans="1:40">
      <c r="A96" s="287"/>
      <c r="B96" s="351" t="s">
        <v>1080</v>
      </c>
      <c r="C96" s="149">
        <f>'Inputs and eligible population'!F99</f>
        <v>0</v>
      </c>
      <c r="D96" s="128">
        <f>((D60+D65)*$C$96)/60</f>
        <v>0</v>
      </c>
      <c r="E96" s="128">
        <f t="shared" ref="E96:I96" si="48">((E60+E65)*$C$96)/60</f>
        <v>0</v>
      </c>
      <c r="F96" s="128">
        <f t="shared" si="48"/>
        <v>0</v>
      </c>
      <c r="G96" s="128">
        <f t="shared" si="48"/>
        <v>0</v>
      </c>
      <c r="H96" s="128">
        <f t="shared" si="48"/>
        <v>0</v>
      </c>
      <c r="I96" s="128">
        <f t="shared" si="48"/>
        <v>0</v>
      </c>
      <c r="J96" s="287"/>
      <c r="K96" s="287"/>
      <c r="L96" s="287"/>
      <c r="M96" s="287"/>
      <c r="N96" s="287"/>
      <c r="O96" s="287"/>
      <c r="P96" s="287"/>
      <c r="Q96" s="219"/>
      <c r="V96" s="133"/>
      <c r="AJ96" s="286"/>
      <c r="AK96" s="286"/>
      <c r="AL96" s="286"/>
      <c r="AM96" s="286"/>
      <c r="AN96" s="286"/>
    </row>
    <row r="97" spans="1:40">
      <c r="A97" s="287"/>
      <c r="B97" s="351" t="s">
        <v>1081</v>
      </c>
      <c r="C97" s="149">
        <f>'Inputs and eligible population'!G99</f>
        <v>15</v>
      </c>
      <c r="D97" s="128">
        <f>((D61+D66)*$C$97)/60</f>
        <v>16423.848120737101</v>
      </c>
      <c r="E97" s="128">
        <f t="shared" ref="E97:I97" si="49">((E61+E66)*$C$97)/60</f>
        <v>14604.814272782567</v>
      </c>
      <c r="F97" s="128">
        <f t="shared" si="49"/>
        <v>12195.730634937849</v>
      </c>
      <c r="G97" s="128">
        <f t="shared" si="49"/>
        <v>9972.6834332480557</v>
      </c>
      <c r="H97" s="128">
        <f t="shared" si="49"/>
        <v>8236.9108378455749</v>
      </c>
      <c r="I97" s="128">
        <f t="shared" si="49"/>
        <v>7498.4674730157731</v>
      </c>
      <c r="J97" s="287"/>
      <c r="K97" s="287"/>
      <c r="L97" s="287"/>
      <c r="M97" s="287"/>
      <c r="N97" s="287"/>
      <c r="O97" s="287"/>
      <c r="P97" s="287"/>
      <c r="Q97" s="219"/>
      <c r="V97" s="133"/>
      <c r="AJ97" s="286"/>
      <c r="AK97" s="286"/>
      <c r="AL97" s="286"/>
      <c r="AM97" s="286"/>
      <c r="AN97" s="286"/>
    </row>
    <row r="98" spans="1:40">
      <c r="A98" s="287"/>
      <c r="B98" s="351" t="s">
        <v>1082</v>
      </c>
      <c r="C98" s="149">
        <f>'Inputs and eligible population'!H99</f>
        <v>15</v>
      </c>
      <c r="D98" s="128">
        <f>((D62+D67)*$C$98)/60</f>
        <v>93085.317656608458</v>
      </c>
      <c r="E98" s="128">
        <f t="shared" ref="E98:I98" si="50">((E62+E67)*$C$98)/60</f>
        <v>86686.689434498228</v>
      </c>
      <c r="F98" s="128">
        <f t="shared" si="50"/>
        <v>78076.597621676308</v>
      </c>
      <c r="G98" s="128">
        <f t="shared" si="50"/>
        <v>73064.409693301641</v>
      </c>
      <c r="H98" s="128">
        <f t="shared" si="50"/>
        <v>68337.172686086502</v>
      </c>
      <c r="I98" s="128">
        <f t="shared" si="50"/>
        <v>64951.021465814563</v>
      </c>
      <c r="J98" s="287"/>
      <c r="K98" s="287"/>
      <c r="L98" s="287"/>
      <c r="M98" s="287"/>
      <c r="N98" s="287"/>
      <c r="O98" s="287"/>
      <c r="P98" s="287"/>
      <c r="Q98" s="219"/>
      <c r="V98" s="133"/>
      <c r="AJ98" s="286"/>
      <c r="AK98" s="286"/>
      <c r="AL98" s="286"/>
      <c r="AM98" s="286"/>
      <c r="AN98" s="286"/>
    </row>
    <row r="99" spans="1:40">
      <c r="A99" s="287"/>
      <c r="B99" s="351" t="s">
        <v>1083</v>
      </c>
      <c r="C99" s="149">
        <f>'Inputs and eligible population'!I99</f>
        <v>15</v>
      </c>
      <c r="D99" s="128">
        <f>((D63+D68)*$C$99)/60</f>
        <v>44266.313478770069</v>
      </c>
      <c r="E99" s="128">
        <f t="shared" ref="E99:I99" si="51">((E63+E68)*$C$99)/60</f>
        <v>41920.003771538584</v>
      </c>
      <c r="F99" s="128">
        <f t="shared" si="51"/>
        <v>38786.043064997386</v>
      </c>
      <c r="G99" s="128">
        <f t="shared" si="51"/>
        <v>36375.907792099584</v>
      </c>
      <c r="H99" s="128">
        <f t="shared" si="51"/>
        <v>33444.686457074458</v>
      </c>
      <c r="I99" s="128">
        <f t="shared" si="51"/>
        <v>31497.670407917656</v>
      </c>
      <c r="J99" s="287"/>
      <c r="K99" s="287"/>
      <c r="L99" s="287"/>
      <c r="M99" s="287"/>
      <c r="N99" s="287"/>
      <c r="O99" s="287"/>
      <c r="P99" s="287"/>
      <c r="Q99" s="219"/>
      <c r="V99" s="133"/>
      <c r="AJ99" s="286"/>
      <c r="AK99" s="286"/>
      <c r="AL99" s="286"/>
      <c r="AM99" s="286"/>
      <c r="AN99" s="286"/>
    </row>
    <row r="100" spans="1:40">
      <c r="A100" s="287"/>
      <c r="B100" s="351" t="s">
        <v>1084</v>
      </c>
      <c r="C100" s="149">
        <f>'Inputs and eligible population'!J99</f>
        <v>15</v>
      </c>
      <c r="D100" s="128">
        <f>((D64+D69)*$C$100)/60</f>
        <v>18596.849564403856</v>
      </c>
      <c r="E100" s="128">
        <f t="shared" ref="E100:I100" si="52">((E64+E69)*$C$100)/60</f>
        <v>17739.602403098404</v>
      </c>
      <c r="F100" s="128">
        <f t="shared" si="52"/>
        <v>16941.811020179608</v>
      </c>
      <c r="G100" s="128">
        <f t="shared" si="52"/>
        <v>16876.208382838879</v>
      </c>
      <c r="H100" s="128">
        <f t="shared" si="52"/>
        <v>16824.594838168352</v>
      </c>
      <c r="I100" s="128">
        <f t="shared" si="52"/>
        <v>16787.105266306156</v>
      </c>
      <c r="J100" s="287"/>
      <c r="K100" s="287"/>
      <c r="L100" s="287"/>
      <c r="M100" s="287"/>
      <c r="N100" s="287"/>
      <c r="O100" s="287"/>
      <c r="P100" s="287"/>
      <c r="Q100" s="219"/>
      <c r="V100" s="133"/>
      <c r="AJ100" s="286"/>
      <c r="AK100" s="286"/>
      <c r="AL100" s="286"/>
      <c r="AM100" s="286"/>
      <c r="AN100" s="286"/>
    </row>
    <row r="101" spans="1:40">
      <c r="A101" s="287"/>
      <c r="B101" s="283"/>
      <c r="C101" s="283"/>
      <c r="D101" s="187">
        <f t="shared" ref="D101:I101" si="53">SUM(D96:D100)</f>
        <v>172372.32882051947</v>
      </c>
      <c r="E101" s="187">
        <f t="shared" si="53"/>
        <v>160951.10988191777</v>
      </c>
      <c r="F101" s="187">
        <f t="shared" si="53"/>
        <v>146000.18234179117</v>
      </c>
      <c r="G101" s="187">
        <f t="shared" si="53"/>
        <v>136289.20930148815</v>
      </c>
      <c r="H101" s="187">
        <f t="shared" si="53"/>
        <v>126843.36481917489</v>
      </c>
      <c r="I101" s="187">
        <f t="shared" si="53"/>
        <v>120734.26461305415</v>
      </c>
      <c r="J101" s="287"/>
      <c r="K101" s="287"/>
      <c r="L101" s="287"/>
      <c r="M101" s="287"/>
      <c r="N101" s="287"/>
      <c r="O101" s="287"/>
      <c r="P101" s="287"/>
      <c r="Q101" s="219"/>
      <c r="R101" s="133"/>
      <c r="S101" s="133"/>
      <c r="T101" s="133"/>
      <c r="U101" s="133"/>
      <c r="V101" s="133"/>
      <c r="W101" s="133"/>
      <c r="X101" s="133"/>
      <c r="Y101" s="133"/>
      <c r="Z101" s="133"/>
      <c r="AJ101" s="286"/>
      <c r="AK101" s="286"/>
      <c r="AL101" s="286"/>
      <c r="AM101" s="286"/>
      <c r="AN101" s="286"/>
    </row>
    <row r="102" spans="1:40">
      <c r="A102" s="287"/>
      <c r="B102" s="306"/>
      <c r="C102" s="283"/>
      <c r="D102" s="285" t="s">
        <v>751</v>
      </c>
      <c r="E102" s="187">
        <f>E101-$D$101</f>
        <v>-11421.218938601698</v>
      </c>
      <c r="F102" s="187">
        <f>F101-$D$101</f>
        <v>-26372.146478728304</v>
      </c>
      <c r="G102" s="187">
        <f>G101-$D$101</f>
        <v>-36083.119519031316</v>
      </c>
      <c r="H102" s="187">
        <f>H101-$D$101</f>
        <v>-45528.964001344575</v>
      </c>
      <c r="I102" s="187">
        <f>I101-$D$101</f>
        <v>-51638.064207465315</v>
      </c>
      <c r="J102" s="287"/>
      <c r="K102" s="287"/>
      <c r="L102" s="287"/>
      <c r="M102" s="287"/>
      <c r="N102" s="287"/>
      <c r="O102" s="287"/>
      <c r="P102" s="287"/>
      <c r="Q102" s="219"/>
      <c r="R102" s="133"/>
      <c r="S102" s="133"/>
      <c r="T102" s="133"/>
      <c r="U102" s="133"/>
      <c r="V102" s="133"/>
      <c r="W102" s="133"/>
      <c r="X102" s="133"/>
      <c r="Y102" s="133"/>
      <c r="Z102" s="133"/>
      <c r="AJ102" s="286"/>
      <c r="AK102" s="286"/>
      <c r="AL102" s="286"/>
      <c r="AM102" s="286"/>
      <c r="AN102" s="286"/>
    </row>
    <row r="103" spans="1:40">
      <c r="A103" s="287"/>
      <c r="B103" s="325"/>
      <c r="C103" s="219"/>
      <c r="D103" s="219"/>
      <c r="E103" s="219"/>
      <c r="F103" s="219"/>
      <c r="G103" s="219"/>
      <c r="H103" s="219"/>
      <c r="I103" s="219"/>
      <c r="J103" s="287"/>
      <c r="K103" s="287"/>
      <c r="L103" s="287"/>
      <c r="M103" s="287"/>
      <c r="N103" s="287"/>
      <c r="O103" s="287"/>
      <c r="P103" s="287"/>
      <c r="Q103" s="219"/>
      <c r="R103" s="133"/>
      <c r="S103" s="133"/>
      <c r="T103" s="133"/>
      <c r="U103" s="133"/>
      <c r="V103" s="133"/>
      <c r="W103" s="133"/>
      <c r="X103" s="133"/>
      <c r="Y103" s="133"/>
      <c r="Z103" s="133"/>
      <c r="AJ103" s="286"/>
      <c r="AK103" s="286"/>
      <c r="AL103" s="286"/>
      <c r="AM103" s="286"/>
      <c r="AN103" s="286"/>
    </row>
    <row r="104" spans="1:40">
      <c r="A104" s="289"/>
      <c r="B104" s="326" t="s">
        <v>752</v>
      </c>
      <c r="C104" s="309"/>
      <c r="D104" s="308"/>
      <c r="E104" s="309"/>
      <c r="F104" s="310"/>
      <c r="G104" s="311"/>
      <c r="H104" s="311"/>
      <c r="I104" s="364"/>
      <c r="J104" s="289"/>
      <c r="K104" s="289"/>
      <c r="L104" s="289"/>
      <c r="M104" s="289"/>
      <c r="N104" s="289"/>
      <c r="O104" s="289"/>
      <c r="P104" s="289"/>
      <c r="Q104" s="289"/>
      <c r="R104" s="133"/>
      <c r="S104" s="133"/>
      <c r="T104" s="133"/>
      <c r="U104" s="133"/>
      <c r="V104" s="133"/>
      <c r="W104" s="133"/>
      <c r="X104" s="133"/>
      <c r="Y104" s="133"/>
      <c r="Z104" s="133"/>
      <c r="AJ104" s="286"/>
      <c r="AK104" s="286"/>
      <c r="AL104" s="286"/>
      <c r="AM104" s="286"/>
      <c r="AN104" s="286"/>
    </row>
    <row r="105" spans="1:40" hidden="1">
      <c r="A105" s="289"/>
      <c r="B105" s="394" t="s">
        <v>753</v>
      </c>
      <c r="C105" s="395"/>
      <c r="D105" s="395"/>
      <c r="E105" s="395"/>
      <c r="F105" s="395"/>
      <c r="G105" s="395"/>
      <c r="H105" s="395"/>
      <c r="I105" s="222"/>
      <c r="J105" s="289"/>
      <c r="K105" s="289"/>
      <c r="L105" s="289"/>
      <c r="M105" s="289"/>
      <c r="N105" s="289"/>
      <c r="O105" s="289"/>
      <c r="P105" s="289"/>
      <c r="Q105" s="289"/>
      <c r="R105" s="133"/>
      <c r="S105" s="133"/>
      <c r="T105" s="133"/>
      <c r="U105" s="133"/>
      <c r="V105" s="133"/>
      <c r="W105" s="133"/>
      <c r="X105" s="133"/>
      <c r="Y105" s="133"/>
      <c r="Z105" s="133"/>
      <c r="AJ105" s="286"/>
      <c r="AK105" s="286"/>
      <c r="AL105" s="286"/>
      <c r="AM105" s="286"/>
      <c r="AN105" s="286"/>
    </row>
    <row r="106" spans="1:40" ht="72.5" hidden="1">
      <c r="A106" s="289"/>
      <c r="B106" s="279" t="s">
        <v>123</v>
      </c>
      <c r="C106" s="166" t="s">
        <v>754</v>
      </c>
      <c r="D106" s="425" t="s">
        <v>730</v>
      </c>
      <c r="E106" s="258" t="s">
        <v>50</v>
      </c>
      <c r="F106" s="258" t="s">
        <v>51</v>
      </c>
      <c r="G106" s="165" t="s">
        <v>731</v>
      </c>
      <c r="H106" s="165" t="s">
        <v>732</v>
      </c>
      <c r="I106" s="258" t="s">
        <v>733</v>
      </c>
      <c r="J106" s="289"/>
      <c r="K106" s="289"/>
      <c r="L106" s="289"/>
      <c r="M106" s="289"/>
      <c r="N106" s="289"/>
      <c r="O106" s="289"/>
      <c r="P106" s="289"/>
      <c r="Q106" s="289"/>
      <c r="R106" s="133"/>
      <c r="S106" s="133"/>
      <c r="T106" s="133"/>
      <c r="U106" s="133"/>
      <c r="V106" s="133"/>
      <c r="W106" s="133"/>
      <c r="X106" s="133"/>
      <c r="Y106" s="133"/>
      <c r="Z106" s="133"/>
      <c r="AJ106" s="286"/>
      <c r="AK106" s="286"/>
      <c r="AL106" s="286"/>
      <c r="AM106" s="286"/>
      <c r="AN106" s="286"/>
    </row>
    <row r="107" spans="1:40" hidden="1">
      <c r="A107" s="289"/>
      <c r="B107" s="351" t="s">
        <v>1024</v>
      </c>
      <c r="C107" s="149">
        <f>'Inputs and eligible population'!F100</f>
        <v>0</v>
      </c>
      <c r="D107" s="128" t="e">
        <f>D$7*'Inputs and eligible population'!#REF!*'Unit costs'!$O$9*'Capacity (local prices)'!$C108</f>
        <v>#REF!</v>
      </c>
      <c r="E107" s="128" t="e">
        <f>E$7*'Inputs and eligible population'!#REF!*'Unit costs'!$O$9*'Capacity (local prices)'!$C108</f>
        <v>#REF!</v>
      </c>
      <c r="F107" s="128" t="e">
        <f>F$7*'Inputs and eligible population'!#REF!*'Unit costs'!$O$9*'Capacity (local prices)'!$C108</f>
        <v>#REF!</v>
      </c>
      <c r="G107" s="128" t="e">
        <f>G$7*'Inputs and eligible population'!#REF!*'Unit costs'!$O$9*'Capacity (local prices)'!$C108</f>
        <v>#REF!</v>
      </c>
      <c r="H107" s="128" t="e">
        <f>H$7*'Inputs and eligible population'!#REF!*'Unit costs'!$O$9*'Capacity (local prices)'!$C108</f>
        <v>#REF!</v>
      </c>
      <c r="I107" s="128" t="e">
        <f>I$7*'Inputs and eligible population'!#REF!*'Unit costs'!$O$9*'Capacity (local prices)'!$C108</f>
        <v>#REF!</v>
      </c>
      <c r="J107" s="289"/>
      <c r="K107" s="289"/>
      <c r="L107" s="289"/>
      <c r="M107" s="289"/>
      <c r="N107" s="289"/>
      <c r="O107" s="289"/>
      <c r="P107" s="289"/>
      <c r="Q107" s="289"/>
      <c r="R107" s="133"/>
      <c r="S107" s="133"/>
      <c r="T107" s="133"/>
      <c r="U107" s="133"/>
      <c r="V107" s="133"/>
      <c r="W107" s="133"/>
      <c r="X107" s="133"/>
      <c r="Y107" s="133"/>
      <c r="Z107" s="133"/>
      <c r="AJ107" s="286"/>
      <c r="AK107" s="286"/>
      <c r="AL107" s="286"/>
      <c r="AM107" s="286"/>
      <c r="AN107" s="286"/>
    </row>
    <row r="108" spans="1:40" hidden="1">
      <c r="A108" s="289"/>
      <c r="B108" s="351" t="s">
        <v>1025</v>
      </c>
      <c r="C108" s="149">
        <f>'Inputs and eligible population'!H100</f>
        <v>0</v>
      </c>
      <c r="D108" s="128" t="e">
        <f>D$7*'Inputs and eligible population'!#REF!*'Unit costs'!#REF!*'Capacity (local prices)'!$C109</f>
        <v>#REF!</v>
      </c>
      <c r="E108" s="128" t="e">
        <f>E$7*'Inputs and eligible population'!#REF!*'Unit costs'!#REF!*'Capacity (local prices)'!$C109</f>
        <v>#REF!</v>
      </c>
      <c r="F108" s="128" t="e">
        <f>F$7*'Inputs and eligible population'!#REF!*'Unit costs'!#REF!*'Capacity (local prices)'!$C109</f>
        <v>#REF!</v>
      </c>
      <c r="G108" s="128" t="e">
        <f>G$7*'Inputs and eligible population'!#REF!*'Unit costs'!#REF!*'Capacity (local prices)'!$C109</f>
        <v>#REF!</v>
      </c>
      <c r="H108" s="128" t="e">
        <f>H$7*'Inputs and eligible population'!#REF!*'Unit costs'!#REF!*'Capacity (local prices)'!$C109</f>
        <v>#REF!</v>
      </c>
      <c r="I108" s="128" t="e">
        <f>I$7*'Inputs and eligible population'!#REF!*'Unit costs'!#REF!*'Capacity (local prices)'!$C109</f>
        <v>#REF!</v>
      </c>
      <c r="J108" s="289"/>
      <c r="K108" s="289"/>
      <c r="L108" s="289"/>
      <c r="M108" s="289"/>
      <c r="N108" s="289"/>
      <c r="O108" s="289"/>
      <c r="P108" s="289"/>
      <c r="Q108" s="289"/>
      <c r="R108" s="133"/>
      <c r="S108" s="133"/>
      <c r="T108" s="133"/>
      <c r="U108" s="133"/>
      <c r="V108" s="133"/>
      <c r="W108" s="133"/>
      <c r="X108" s="133"/>
      <c r="Y108" s="133"/>
      <c r="Z108" s="133"/>
      <c r="AJ108" s="286"/>
      <c r="AK108" s="286"/>
      <c r="AL108" s="286"/>
      <c r="AM108" s="286"/>
      <c r="AN108" s="286"/>
    </row>
    <row r="109" spans="1:40" hidden="1">
      <c r="A109" s="289"/>
      <c r="B109" s="351" t="s">
        <v>1026</v>
      </c>
      <c r="C109" s="149">
        <f>'Inputs and eligible population'!I100</f>
        <v>0</v>
      </c>
      <c r="D109" s="128" t="e">
        <f>D$7*'Inputs and eligible population'!#REF!*'Unit costs'!#REF!*'Capacity (local prices)'!$C110</f>
        <v>#REF!</v>
      </c>
      <c r="E109" s="128" t="e">
        <f>E$7*'Inputs and eligible population'!#REF!*'Unit costs'!#REF!*'Capacity (local prices)'!$C110</f>
        <v>#REF!</v>
      </c>
      <c r="F109" s="128" t="e">
        <f>F$7*'Inputs and eligible population'!#REF!*'Unit costs'!#REF!*'Capacity (local prices)'!$C110</f>
        <v>#REF!</v>
      </c>
      <c r="G109" s="128" t="e">
        <f>G$7*'Inputs and eligible population'!#REF!*'Unit costs'!#REF!*'Capacity (local prices)'!$C110</f>
        <v>#REF!</v>
      </c>
      <c r="H109" s="128" t="e">
        <f>H$7*'Inputs and eligible population'!#REF!*'Unit costs'!#REF!*'Capacity (local prices)'!$C110</f>
        <v>#REF!</v>
      </c>
      <c r="I109" s="128" t="e">
        <f>I$7*'Inputs and eligible population'!#REF!*'Unit costs'!#REF!*'Capacity (local prices)'!$C110</f>
        <v>#REF!</v>
      </c>
      <c r="J109" s="289"/>
      <c r="K109" s="289"/>
      <c r="L109" s="289"/>
      <c r="M109" s="289"/>
      <c r="N109" s="289"/>
      <c r="O109" s="289"/>
      <c r="P109" s="289"/>
      <c r="Q109" s="289"/>
      <c r="R109" s="133"/>
      <c r="S109" s="133"/>
      <c r="T109" s="133"/>
      <c r="U109" s="133"/>
      <c r="V109" s="133"/>
      <c r="W109" s="133"/>
      <c r="X109" s="133"/>
      <c r="Y109" s="133"/>
      <c r="Z109" s="133"/>
      <c r="AJ109" s="286"/>
      <c r="AK109" s="286"/>
      <c r="AL109" s="286"/>
      <c r="AM109" s="286"/>
      <c r="AN109" s="286"/>
    </row>
    <row r="110" spans="1:40" hidden="1">
      <c r="A110" s="289"/>
      <c r="B110" s="283"/>
      <c r="C110" s="209"/>
      <c r="D110" s="187" t="e">
        <f t="shared" ref="D110:I110" si="54">SUM(D107:D109)</f>
        <v>#REF!</v>
      </c>
      <c r="E110" s="187" t="e">
        <f>SUM(E107:E109)</f>
        <v>#REF!</v>
      </c>
      <c r="F110" s="187" t="e">
        <f t="shared" si="54"/>
        <v>#REF!</v>
      </c>
      <c r="G110" s="187" t="e">
        <f t="shared" si="54"/>
        <v>#REF!</v>
      </c>
      <c r="H110" s="187" t="e">
        <f t="shared" si="54"/>
        <v>#REF!</v>
      </c>
      <c r="I110" s="187" t="e">
        <f t="shared" si="54"/>
        <v>#REF!</v>
      </c>
      <c r="J110" s="289"/>
      <c r="K110" s="289"/>
      <c r="L110" s="289"/>
      <c r="M110" s="289"/>
      <c r="N110" s="289"/>
      <c r="O110" s="289"/>
      <c r="P110" s="289"/>
      <c r="Q110" s="289"/>
      <c r="R110" s="133"/>
      <c r="S110" s="133"/>
      <c r="T110" s="133"/>
      <c r="U110" s="133"/>
      <c r="V110" s="133"/>
      <c r="W110" s="133"/>
      <c r="X110" s="133"/>
      <c r="Y110" s="133"/>
      <c r="Z110" s="133"/>
      <c r="AJ110" s="286"/>
      <c r="AK110" s="286"/>
      <c r="AL110" s="286"/>
      <c r="AM110" s="286"/>
      <c r="AN110" s="286"/>
    </row>
    <row r="111" spans="1:40" hidden="1">
      <c r="A111" s="289"/>
      <c r="B111" s="306"/>
      <c r="C111" s="227"/>
      <c r="D111" s="285" t="s">
        <v>171</v>
      </c>
      <c r="E111" s="187" t="e">
        <f>E110-$D$110</f>
        <v>#REF!</v>
      </c>
      <c r="F111" s="187" t="e">
        <f>F110-$D$110</f>
        <v>#REF!</v>
      </c>
      <c r="G111" s="187" t="e">
        <f>G110-$D$110</f>
        <v>#REF!</v>
      </c>
      <c r="H111" s="187" t="e">
        <f>H110-$D$110</f>
        <v>#REF!</v>
      </c>
      <c r="I111" s="187" t="e">
        <f>I110-$D$110</f>
        <v>#REF!</v>
      </c>
      <c r="J111" s="289"/>
      <c r="K111" s="289"/>
      <c r="L111" s="289"/>
      <c r="M111" s="289"/>
      <c r="N111" s="289"/>
      <c r="O111" s="289"/>
      <c r="P111" s="289"/>
      <c r="Q111" s="289"/>
      <c r="R111" s="133"/>
      <c r="S111" s="133"/>
      <c r="T111" s="133"/>
      <c r="U111" s="133"/>
      <c r="V111" s="133"/>
      <c r="W111" s="133"/>
      <c r="X111" s="133"/>
      <c r="Y111" s="133"/>
      <c r="Z111" s="133"/>
      <c r="AJ111" s="286"/>
      <c r="AK111" s="286"/>
      <c r="AL111" s="286"/>
      <c r="AM111" s="286"/>
      <c r="AN111" s="286"/>
    </row>
    <row r="112" spans="1:40" hidden="1">
      <c r="A112" s="289"/>
      <c r="B112" s="327"/>
      <c r="C112" s="395"/>
      <c r="D112" s="223"/>
      <c r="E112" s="223"/>
      <c r="F112" s="223"/>
      <c r="G112" s="223"/>
      <c r="H112" s="311"/>
      <c r="I112" s="311"/>
      <c r="J112" s="289"/>
      <c r="K112" s="289"/>
      <c r="L112" s="289"/>
      <c r="M112" s="289"/>
      <c r="N112" s="289"/>
      <c r="O112" s="289"/>
      <c r="P112" s="289"/>
      <c r="Q112" s="289"/>
      <c r="R112" s="133"/>
      <c r="S112" s="133"/>
      <c r="T112" s="133"/>
      <c r="U112" s="133"/>
      <c r="V112" s="133"/>
      <c r="W112" s="133"/>
      <c r="X112" s="133"/>
      <c r="Y112" s="133"/>
      <c r="Z112" s="133"/>
      <c r="AJ112" s="286"/>
      <c r="AK112" s="286"/>
      <c r="AL112" s="286"/>
      <c r="AM112" s="286"/>
      <c r="AN112" s="286"/>
    </row>
    <row r="113" spans="1:40" hidden="1">
      <c r="A113" s="289"/>
      <c r="B113" s="394" t="s">
        <v>755</v>
      </c>
      <c r="C113" s="395"/>
      <c r="D113" s="395"/>
      <c r="E113" s="395"/>
      <c r="F113" s="395"/>
      <c r="G113" s="395"/>
      <c r="H113" s="395"/>
      <c r="I113" s="222"/>
      <c r="J113" s="289"/>
      <c r="K113" s="289"/>
      <c r="L113" s="289"/>
      <c r="M113" s="289"/>
      <c r="N113" s="289"/>
      <c r="O113" s="289"/>
      <c r="P113" s="289"/>
      <c r="Q113" s="289"/>
      <c r="R113" s="133"/>
      <c r="S113" s="133"/>
      <c r="T113" s="133"/>
      <c r="U113" s="133"/>
      <c r="V113" s="133"/>
      <c r="W113" s="133"/>
      <c r="X113" s="133"/>
      <c r="Y113" s="133"/>
      <c r="Z113" s="133"/>
      <c r="AJ113" s="286"/>
      <c r="AK113" s="286"/>
      <c r="AL113" s="286"/>
      <c r="AM113" s="286"/>
      <c r="AN113" s="286"/>
    </row>
    <row r="114" spans="1:40" ht="72.5" hidden="1">
      <c r="A114" s="289"/>
      <c r="B114" s="279" t="s">
        <v>123</v>
      </c>
      <c r="C114" s="166" t="s">
        <v>756</v>
      </c>
      <c r="D114" s="425" t="s">
        <v>730</v>
      </c>
      <c r="E114" s="258" t="s">
        <v>50</v>
      </c>
      <c r="F114" s="258" t="s">
        <v>51</v>
      </c>
      <c r="G114" s="165" t="s">
        <v>731</v>
      </c>
      <c r="H114" s="165" t="s">
        <v>732</v>
      </c>
      <c r="I114" s="258" t="s">
        <v>733</v>
      </c>
      <c r="J114" s="289"/>
      <c r="K114" s="289"/>
      <c r="L114" s="289"/>
      <c r="M114" s="289"/>
      <c r="N114" s="289"/>
      <c r="O114" s="289"/>
      <c r="P114" s="289"/>
      <c r="Q114" s="289"/>
      <c r="R114" s="133"/>
      <c r="S114" s="133"/>
      <c r="T114" s="133"/>
      <c r="U114" s="133"/>
      <c r="V114" s="133"/>
      <c r="W114" s="133"/>
      <c r="X114" s="133"/>
      <c r="Y114" s="133"/>
      <c r="Z114" s="133"/>
      <c r="AJ114" s="286"/>
      <c r="AK114" s="286"/>
      <c r="AL114" s="286"/>
      <c r="AM114" s="286"/>
      <c r="AN114" s="286"/>
    </row>
    <row r="115" spans="1:40" hidden="1">
      <c r="A115" s="289"/>
      <c r="B115" s="351" t="s">
        <v>1024</v>
      </c>
      <c r="C115" s="149">
        <f>'Inputs and eligible population'!F101</f>
        <v>0</v>
      </c>
      <c r="D115" s="128" t="e">
        <f>D$7*'Inputs and eligible population'!#REF!*'Unit costs'!$O$9*'Capacity (local prices)'!$C116</f>
        <v>#REF!</v>
      </c>
      <c r="E115" s="128" t="e">
        <f>E$7*'Inputs and eligible population'!#REF!*'Unit costs'!$O$9*'Capacity (local prices)'!$C116</f>
        <v>#REF!</v>
      </c>
      <c r="F115" s="128" t="e">
        <f>F$7*'Inputs and eligible population'!#REF!*'Unit costs'!$O$9*'Capacity (local prices)'!$C116</f>
        <v>#REF!</v>
      </c>
      <c r="G115" s="128" t="e">
        <f>G$7*'Inputs and eligible population'!#REF!*'Unit costs'!$O$9*'Capacity (local prices)'!$C116</f>
        <v>#REF!</v>
      </c>
      <c r="H115" s="128" t="e">
        <f>H$7*'Inputs and eligible population'!#REF!*'Unit costs'!$O$9*'Capacity (local prices)'!$C116</f>
        <v>#REF!</v>
      </c>
      <c r="I115" s="128" t="e">
        <f>I$7*'Inputs and eligible population'!#REF!*'Unit costs'!$O$9*'Capacity (local prices)'!$C116</f>
        <v>#REF!</v>
      </c>
      <c r="J115" s="289"/>
      <c r="K115" s="289"/>
      <c r="L115" s="223"/>
      <c r="M115" s="223"/>
      <c r="N115" s="289"/>
      <c r="O115" s="223"/>
      <c r="P115" s="223"/>
      <c r="Q115" s="223"/>
      <c r="R115" s="133"/>
      <c r="S115" s="133"/>
      <c r="T115" s="133"/>
      <c r="U115" s="133"/>
      <c r="V115" s="133"/>
      <c r="W115" s="133"/>
      <c r="X115" s="133"/>
      <c r="Y115" s="133"/>
      <c r="Z115" s="133"/>
      <c r="AJ115" s="286"/>
      <c r="AK115" s="286"/>
      <c r="AL115" s="286"/>
      <c r="AM115" s="286"/>
      <c r="AN115" s="286"/>
    </row>
    <row r="116" spans="1:40" hidden="1">
      <c r="A116" s="289"/>
      <c r="B116" s="351" t="s">
        <v>1025</v>
      </c>
      <c r="C116" s="149">
        <f>'Inputs and eligible population'!H101</f>
        <v>0</v>
      </c>
      <c r="D116" s="128" t="e">
        <f>D$7*'Inputs and eligible population'!#REF!*'Unit costs'!#REF!*'Capacity (local prices)'!$C117</f>
        <v>#REF!</v>
      </c>
      <c r="E116" s="128" t="e">
        <f>E$7*'Inputs and eligible population'!#REF!*'Unit costs'!#REF!*'Capacity (local prices)'!$C117</f>
        <v>#REF!</v>
      </c>
      <c r="F116" s="128" t="e">
        <f>F$7*'Inputs and eligible population'!#REF!*'Unit costs'!#REF!*'Capacity (local prices)'!$C117</f>
        <v>#REF!</v>
      </c>
      <c r="G116" s="128" t="e">
        <f>G$7*'Inputs and eligible population'!#REF!*'Unit costs'!#REF!*'Capacity (local prices)'!$C117</f>
        <v>#REF!</v>
      </c>
      <c r="H116" s="128" t="e">
        <f>H$7*'Inputs and eligible population'!#REF!*'Unit costs'!#REF!*'Capacity (local prices)'!$C117</f>
        <v>#REF!</v>
      </c>
      <c r="I116" s="128" t="e">
        <f>I$7*'Inputs and eligible population'!#REF!*'Unit costs'!#REF!*'Capacity (local prices)'!$C117</f>
        <v>#REF!</v>
      </c>
      <c r="J116" s="289"/>
      <c r="K116" s="289"/>
      <c r="L116" s="223"/>
      <c r="M116" s="223"/>
      <c r="N116" s="289"/>
      <c r="O116" s="223"/>
      <c r="P116" s="223"/>
      <c r="Q116" s="223"/>
      <c r="R116" s="133"/>
      <c r="S116" s="133"/>
      <c r="T116" s="133"/>
      <c r="U116" s="133"/>
      <c r="V116" s="133"/>
      <c r="W116" s="133"/>
      <c r="X116" s="133"/>
      <c r="Y116" s="133"/>
      <c r="Z116" s="133"/>
      <c r="AJ116" s="286"/>
      <c r="AK116" s="286"/>
      <c r="AL116" s="286"/>
      <c r="AM116" s="286"/>
      <c r="AN116" s="286"/>
    </row>
    <row r="117" spans="1:40" hidden="1">
      <c r="A117" s="289"/>
      <c r="B117" s="351" t="s">
        <v>1026</v>
      </c>
      <c r="C117" s="149">
        <f>'Inputs and eligible population'!I101</f>
        <v>0</v>
      </c>
      <c r="D117" s="128" t="e">
        <f>D$7*'Inputs and eligible population'!#REF!*'Unit costs'!#REF!*'Capacity (local prices)'!$C118</f>
        <v>#REF!</v>
      </c>
      <c r="E117" s="128" t="e">
        <f>E$7*'Inputs and eligible population'!#REF!*'Unit costs'!#REF!*'Capacity (local prices)'!$C118</f>
        <v>#REF!</v>
      </c>
      <c r="F117" s="128" t="e">
        <f>F$7*'Inputs and eligible population'!#REF!*'Unit costs'!#REF!*'Capacity (local prices)'!$C118</f>
        <v>#REF!</v>
      </c>
      <c r="G117" s="128" t="e">
        <f>G$7*'Inputs and eligible population'!#REF!*'Unit costs'!#REF!*'Capacity (local prices)'!$C118</f>
        <v>#REF!</v>
      </c>
      <c r="H117" s="128" t="e">
        <f>H$7*'Inputs and eligible population'!#REF!*'Unit costs'!#REF!*'Capacity (local prices)'!$C118</f>
        <v>#REF!</v>
      </c>
      <c r="I117" s="128" t="e">
        <f>I$7*'Inputs and eligible population'!#REF!*'Unit costs'!#REF!*'Capacity (local prices)'!$C118</f>
        <v>#REF!</v>
      </c>
      <c r="J117" s="289"/>
      <c r="K117" s="289"/>
      <c r="L117" s="223"/>
      <c r="M117" s="223"/>
      <c r="N117" s="289"/>
      <c r="O117" s="223"/>
      <c r="P117" s="223"/>
      <c r="Q117" s="223"/>
      <c r="R117" s="133"/>
      <c r="S117" s="133"/>
      <c r="T117" s="133"/>
      <c r="U117" s="133"/>
      <c r="V117" s="133"/>
      <c r="W117" s="133"/>
      <c r="X117" s="133"/>
      <c r="Y117" s="133"/>
      <c r="Z117" s="133"/>
      <c r="AJ117" s="286"/>
      <c r="AK117" s="286"/>
      <c r="AL117" s="286"/>
      <c r="AM117" s="286"/>
      <c r="AN117" s="286"/>
    </row>
    <row r="118" spans="1:40" hidden="1">
      <c r="A118" s="289"/>
      <c r="B118" s="283"/>
      <c r="C118" s="209"/>
      <c r="D118" s="187" t="e">
        <f t="shared" ref="D118:I118" si="55">SUM(D115:D117)</f>
        <v>#REF!</v>
      </c>
      <c r="E118" s="187" t="e">
        <f t="shared" si="55"/>
        <v>#REF!</v>
      </c>
      <c r="F118" s="187" t="e">
        <f t="shared" si="55"/>
        <v>#REF!</v>
      </c>
      <c r="G118" s="187" t="e">
        <f t="shared" si="55"/>
        <v>#REF!</v>
      </c>
      <c r="H118" s="187" t="e">
        <f t="shared" si="55"/>
        <v>#REF!</v>
      </c>
      <c r="I118" s="187" t="e">
        <f t="shared" si="55"/>
        <v>#REF!</v>
      </c>
      <c r="J118" s="289"/>
      <c r="K118" s="289"/>
      <c r="L118" s="223"/>
      <c r="M118" s="223"/>
      <c r="N118" s="289"/>
      <c r="O118" s="223"/>
      <c r="P118" s="223"/>
      <c r="Q118" s="223"/>
      <c r="V118" s="133"/>
    </row>
    <row r="119" spans="1:40" hidden="1">
      <c r="A119" s="289"/>
      <c r="B119" s="306"/>
      <c r="C119" s="227"/>
      <c r="D119" s="285" t="s">
        <v>172</v>
      </c>
      <c r="E119" s="187" t="e">
        <f>E118-$D$118</f>
        <v>#REF!</v>
      </c>
      <c r="F119" s="187" t="e">
        <f>F118-$D$118</f>
        <v>#REF!</v>
      </c>
      <c r="G119" s="187" t="e">
        <f>G118-$D$118</f>
        <v>#REF!</v>
      </c>
      <c r="H119" s="187" t="e">
        <f>H118-$D$118</f>
        <v>#REF!</v>
      </c>
      <c r="I119" s="187" t="e">
        <f>I118-$D$118</f>
        <v>#REF!</v>
      </c>
      <c r="J119" s="289"/>
      <c r="K119" s="289"/>
      <c r="L119" s="223"/>
      <c r="M119" s="223"/>
      <c r="N119" s="289"/>
      <c r="O119" s="223"/>
      <c r="P119" s="223"/>
      <c r="Q119" s="223"/>
      <c r="V119" s="133"/>
    </row>
    <row r="120" spans="1:40" hidden="1">
      <c r="A120" s="289"/>
      <c r="B120" s="327"/>
      <c r="C120" s="395"/>
      <c r="D120" s="223"/>
      <c r="E120" s="223"/>
      <c r="F120" s="223"/>
      <c r="G120" s="223"/>
      <c r="H120" s="311"/>
      <c r="I120" s="311"/>
      <c r="J120" s="289"/>
      <c r="K120" s="289"/>
      <c r="L120" s="223"/>
      <c r="M120" s="223"/>
      <c r="N120" s="289"/>
      <c r="O120" s="223"/>
      <c r="P120" s="223"/>
      <c r="Q120" s="223"/>
      <c r="V120" s="133"/>
    </row>
    <row r="121" spans="1:40" hidden="1">
      <c r="A121" s="289"/>
      <c r="B121" s="394" t="s">
        <v>757</v>
      </c>
      <c r="C121" s="395"/>
      <c r="D121" s="395"/>
      <c r="E121" s="395"/>
      <c r="F121" s="395"/>
      <c r="G121" s="395"/>
      <c r="H121" s="395"/>
      <c r="I121" s="222"/>
      <c r="J121" s="289"/>
      <c r="K121" s="289"/>
      <c r="L121" s="223"/>
      <c r="M121" s="223"/>
      <c r="N121" s="289"/>
      <c r="O121" s="223"/>
      <c r="P121" s="223"/>
      <c r="Q121" s="223"/>
      <c r="V121" s="133"/>
    </row>
    <row r="122" spans="1:40" ht="72.5" hidden="1">
      <c r="A122" s="289"/>
      <c r="B122" s="279" t="s">
        <v>123</v>
      </c>
      <c r="C122" s="166" t="s">
        <v>758</v>
      </c>
      <c r="D122" s="425" t="s">
        <v>730</v>
      </c>
      <c r="E122" s="258" t="s">
        <v>50</v>
      </c>
      <c r="F122" s="258" t="s">
        <v>51</v>
      </c>
      <c r="G122" s="165" t="s">
        <v>731</v>
      </c>
      <c r="H122" s="165" t="s">
        <v>732</v>
      </c>
      <c r="I122" s="258" t="s">
        <v>733</v>
      </c>
      <c r="J122" s="289"/>
      <c r="K122" s="289"/>
      <c r="L122" s="223"/>
      <c r="M122" s="223"/>
      <c r="N122" s="289"/>
      <c r="O122" s="223"/>
      <c r="P122" s="223"/>
      <c r="Q122" s="223"/>
      <c r="V122" s="133"/>
    </row>
    <row r="123" spans="1:40" hidden="1">
      <c r="A123" s="289"/>
      <c r="B123" s="351" t="s">
        <v>1024</v>
      </c>
      <c r="C123" s="149">
        <f>'Inputs and eligible population'!F102</f>
        <v>0</v>
      </c>
      <c r="D123" s="128" t="e">
        <f>(D$7*'Inputs and eligible population'!#REF!*'Unit costs'!$O$9*'Capacity (local prices)'!$C124)/60</f>
        <v>#REF!</v>
      </c>
      <c r="E123" s="128" t="e">
        <f>(E$7*'Inputs and eligible population'!#REF!*'Unit costs'!$O$9*'Capacity (local prices)'!$C124)/60</f>
        <v>#REF!</v>
      </c>
      <c r="F123" s="128" t="e">
        <f>(F$7*'Inputs and eligible population'!#REF!*'Unit costs'!$O$9*'Capacity (local prices)'!$C124)/60</f>
        <v>#REF!</v>
      </c>
      <c r="G123" s="128" t="e">
        <f>(G$7*'Inputs and eligible population'!#REF!*'Unit costs'!$O$9*'Capacity (local prices)'!$C124)/60</f>
        <v>#REF!</v>
      </c>
      <c r="H123" s="128" t="e">
        <f>(H$7*'Inputs and eligible population'!#REF!*'Unit costs'!$O$9*'Capacity (local prices)'!$C124)/60</f>
        <v>#REF!</v>
      </c>
      <c r="I123" s="128" t="e">
        <f>(I$7*'Inputs and eligible population'!#REF!*'Unit costs'!$O$9*'Capacity (local prices)'!$C124)/60</f>
        <v>#REF!</v>
      </c>
      <c r="J123" s="289"/>
      <c r="K123" s="289"/>
      <c r="L123" s="223"/>
      <c r="M123" s="223"/>
      <c r="N123" s="289"/>
      <c r="O123" s="223"/>
      <c r="P123" s="223"/>
      <c r="Q123" s="223"/>
      <c r="V123" s="133"/>
    </row>
    <row r="124" spans="1:40" hidden="1">
      <c r="A124" s="289"/>
      <c r="B124" s="351" t="s">
        <v>1025</v>
      </c>
      <c r="C124" s="149">
        <f>'Inputs and eligible population'!H102</f>
        <v>0</v>
      </c>
      <c r="D124" s="128" t="e">
        <f>(D$7*'Inputs and eligible population'!#REF!*'Unit costs'!#REF!*'Capacity (local prices)'!$C125)/60</f>
        <v>#REF!</v>
      </c>
      <c r="E124" s="128" t="e">
        <f>(E$7*'Inputs and eligible population'!#REF!*'Unit costs'!#REF!*'Capacity (local prices)'!$C125)/60</f>
        <v>#REF!</v>
      </c>
      <c r="F124" s="128" t="e">
        <f>(F$7*'Inputs and eligible population'!#REF!*'Unit costs'!#REF!*'Capacity (local prices)'!$C125)/60</f>
        <v>#REF!</v>
      </c>
      <c r="G124" s="128" t="e">
        <f>(G$7*'Inputs and eligible population'!#REF!*'Unit costs'!#REF!*'Capacity (local prices)'!$C125)/60</f>
        <v>#REF!</v>
      </c>
      <c r="H124" s="128" t="e">
        <f>(H$7*'Inputs and eligible population'!#REF!*'Unit costs'!#REF!*'Capacity (local prices)'!$C125)/60</f>
        <v>#REF!</v>
      </c>
      <c r="I124" s="128" t="e">
        <f>(I$7*'Inputs and eligible population'!#REF!*'Unit costs'!#REF!*'Capacity (local prices)'!$C125)/60</f>
        <v>#REF!</v>
      </c>
      <c r="J124" s="289"/>
      <c r="K124" s="289"/>
      <c r="L124" s="223"/>
      <c r="M124" s="223"/>
      <c r="N124" s="289"/>
      <c r="O124" s="223"/>
      <c r="P124" s="223"/>
      <c r="Q124" s="223"/>
      <c r="V124" s="133"/>
    </row>
    <row r="125" spans="1:40" hidden="1">
      <c r="A125" s="289"/>
      <c r="B125" s="351" t="s">
        <v>1026</v>
      </c>
      <c r="C125" s="149">
        <f>'Inputs and eligible population'!I102</f>
        <v>0</v>
      </c>
      <c r="D125" s="128" t="e">
        <f>(D$7*'Inputs and eligible population'!#REF!*'Unit costs'!#REF!*'Capacity (local prices)'!$C126)/60</f>
        <v>#REF!</v>
      </c>
      <c r="E125" s="128" t="e">
        <f>(E$7*'Inputs and eligible population'!#REF!*'Unit costs'!#REF!*'Capacity (local prices)'!$C126)/60</f>
        <v>#REF!</v>
      </c>
      <c r="F125" s="128" t="e">
        <f>(F$7*'Inputs and eligible population'!#REF!*'Unit costs'!#REF!*'Capacity (local prices)'!$C126)/60</f>
        <v>#REF!</v>
      </c>
      <c r="G125" s="128" t="e">
        <f>(G$7*'Inputs and eligible population'!#REF!*'Unit costs'!#REF!*'Capacity (local prices)'!$C126)/60</f>
        <v>#REF!</v>
      </c>
      <c r="H125" s="128" t="e">
        <f>(H$7*'Inputs and eligible population'!#REF!*'Unit costs'!#REF!*'Capacity (local prices)'!$C126)/60</f>
        <v>#REF!</v>
      </c>
      <c r="I125" s="128" t="e">
        <f>(I$7*'Inputs and eligible population'!#REF!*'Unit costs'!#REF!*'Capacity (local prices)'!$C126)/60</f>
        <v>#REF!</v>
      </c>
      <c r="J125" s="289"/>
      <c r="K125" s="289"/>
      <c r="L125" s="223"/>
      <c r="M125" s="223"/>
      <c r="N125" s="289"/>
      <c r="O125" s="223"/>
      <c r="P125" s="223"/>
      <c r="Q125" s="223"/>
      <c r="V125" s="133"/>
    </row>
    <row r="126" spans="1:40" hidden="1">
      <c r="A126" s="289"/>
      <c r="B126" s="283"/>
      <c r="C126" s="209"/>
      <c r="D126" s="187" t="e">
        <f t="shared" ref="D126:I126" si="56">SUM(D123:D125)</f>
        <v>#REF!</v>
      </c>
      <c r="E126" s="187" t="e">
        <f t="shared" si="56"/>
        <v>#REF!</v>
      </c>
      <c r="F126" s="187" t="e">
        <f t="shared" si="56"/>
        <v>#REF!</v>
      </c>
      <c r="G126" s="187" t="e">
        <f t="shared" si="56"/>
        <v>#REF!</v>
      </c>
      <c r="H126" s="187" t="e">
        <f t="shared" si="56"/>
        <v>#REF!</v>
      </c>
      <c r="I126" s="187" t="e">
        <f t="shared" si="56"/>
        <v>#REF!</v>
      </c>
      <c r="J126" s="289"/>
      <c r="K126" s="289"/>
      <c r="L126" s="223"/>
      <c r="M126" s="223"/>
      <c r="N126" s="289"/>
      <c r="O126" s="223"/>
      <c r="P126" s="223"/>
      <c r="Q126" s="223"/>
      <c r="V126" s="133"/>
    </row>
    <row r="127" spans="1:40" hidden="1">
      <c r="A127" s="289"/>
      <c r="B127" s="306"/>
      <c r="C127" s="227"/>
      <c r="D127" s="285" t="s">
        <v>173</v>
      </c>
      <c r="E127" s="187" t="e">
        <f>E126-$D$126</f>
        <v>#REF!</v>
      </c>
      <c r="F127" s="187" t="e">
        <f>F126-$D$126</f>
        <v>#REF!</v>
      </c>
      <c r="G127" s="187" t="e">
        <f>G126-$D$126</f>
        <v>#REF!</v>
      </c>
      <c r="H127" s="187" t="e">
        <f>H126-$D$126</f>
        <v>#REF!</v>
      </c>
      <c r="I127" s="187" t="e">
        <f>I126-$D$126</f>
        <v>#REF!</v>
      </c>
      <c r="J127" s="289"/>
      <c r="K127" s="289"/>
      <c r="L127" s="223"/>
      <c r="M127" s="223"/>
      <c r="N127" s="289"/>
      <c r="O127" s="223"/>
      <c r="P127" s="223"/>
      <c r="Q127" s="223"/>
      <c r="V127" s="133"/>
    </row>
    <row r="128" spans="1:40" hidden="1">
      <c r="A128" s="289"/>
      <c r="B128" s="327"/>
      <c r="C128" s="395"/>
      <c r="D128" s="223"/>
      <c r="E128" s="223"/>
      <c r="F128" s="223"/>
      <c r="G128" s="223"/>
      <c r="H128" s="311"/>
      <c r="I128" s="311"/>
      <c r="J128" s="289"/>
      <c r="K128" s="289"/>
      <c r="L128" s="223"/>
      <c r="M128" s="223"/>
      <c r="N128" s="289"/>
      <c r="O128" s="223"/>
      <c r="P128" s="223"/>
      <c r="Q128" s="223"/>
      <c r="V128" s="133"/>
    </row>
    <row r="129" spans="1:22" hidden="1">
      <c r="A129" s="289"/>
      <c r="B129" s="394" t="s">
        <v>759</v>
      </c>
      <c r="C129" s="395"/>
      <c r="D129" s="395"/>
      <c r="E129" s="395"/>
      <c r="F129" s="395"/>
      <c r="G129" s="395"/>
      <c r="H129" s="395"/>
      <c r="I129" s="222"/>
      <c r="J129" s="289"/>
      <c r="K129" s="289"/>
      <c r="L129" s="223"/>
      <c r="M129" s="223"/>
      <c r="N129" s="289"/>
      <c r="O129" s="223"/>
      <c r="P129" s="223"/>
      <c r="Q129" s="223"/>
      <c r="V129" s="133"/>
    </row>
    <row r="130" spans="1:22" ht="72.5" hidden="1">
      <c r="A130" s="289"/>
      <c r="B130" s="279" t="s">
        <v>123</v>
      </c>
      <c r="C130" s="166" t="s">
        <v>760</v>
      </c>
      <c r="D130" s="425" t="s">
        <v>730</v>
      </c>
      <c r="E130" s="258" t="s">
        <v>50</v>
      </c>
      <c r="F130" s="258" t="s">
        <v>51</v>
      </c>
      <c r="G130" s="165" t="s">
        <v>731</v>
      </c>
      <c r="H130" s="165" t="s">
        <v>732</v>
      </c>
      <c r="I130" s="258" t="s">
        <v>733</v>
      </c>
      <c r="J130" s="289"/>
      <c r="K130" s="289"/>
      <c r="L130" s="223"/>
      <c r="M130" s="223"/>
      <c r="N130" s="289"/>
      <c r="O130" s="223"/>
      <c r="P130" s="223"/>
      <c r="Q130" s="223"/>
      <c r="V130" s="133"/>
    </row>
    <row r="131" spans="1:22" hidden="1">
      <c r="A131" s="289"/>
      <c r="B131" s="351" t="s">
        <v>1024</v>
      </c>
      <c r="C131" s="149">
        <f>'Inputs and eligible population'!F103</f>
        <v>0</v>
      </c>
      <c r="D131" s="128" t="e">
        <f>(D$7*'Inputs and eligible population'!#REF!*'Unit costs'!$O$9*'Capacity (local prices)'!$C132)/60</f>
        <v>#REF!</v>
      </c>
      <c r="E131" s="128" t="e">
        <f>(E$7*'Inputs and eligible population'!#REF!*'Unit costs'!$O$9*'Capacity (local prices)'!$C132)/60</f>
        <v>#REF!</v>
      </c>
      <c r="F131" s="128" t="e">
        <f>(F$7*'Inputs and eligible population'!#REF!*'Unit costs'!$O$9*'Capacity (local prices)'!$C132)/60</f>
        <v>#REF!</v>
      </c>
      <c r="G131" s="128" t="e">
        <f>(G$7*'Inputs and eligible population'!#REF!*'Unit costs'!$O$9*'Capacity (local prices)'!$C132)/60</f>
        <v>#REF!</v>
      </c>
      <c r="H131" s="128" t="e">
        <f>(H$7*'Inputs and eligible population'!#REF!*'Unit costs'!$O$9*'Capacity (local prices)'!$C132)/60</f>
        <v>#REF!</v>
      </c>
      <c r="I131" s="128" t="e">
        <f>(I$7*'Inputs and eligible population'!#REF!*'Unit costs'!$O$9*'Capacity (local prices)'!$C132)/60</f>
        <v>#REF!</v>
      </c>
      <c r="J131" s="289"/>
      <c r="K131" s="289"/>
      <c r="L131" s="223"/>
      <c r="M131" s="223"/>
      <c r="N131" s="289"/>
      <c r="O131" s="223"/>
      <c r="P131" s="223"/>
      <c r="Q131" s="223"/>
      <c r="V131" s="133"/>
    </row>
    <row r="132" spans="1:22" hidden="1">
      <c r="A132" s="289"/>
      <c r="B132" s="351" t="s">
        <v>1025</v>
      </c>
      <c r="C132" s="149">
        <f>'Inputs and eligible population'!H103</f>
        <v>0</v>
      </c>
      <c r="D132" s="128" t="e">
        <f>(D$7*'Inputs and eligible population'!#REF!*'Unit costs'!#REF!*'Capacity (local prices)'!$C133)/60</f>
        <v>#REF!</v>
      </c>
      <c r="E132" s="128" t="e">
        <f>(E$7*'Inputs and eligible population'!#REF!*'Unit costs'!#REF!*'Capacity (local prices)'!$C133)/60</f>
        <v>#REF!</v>
      </c>
      <c r="F132" s="128" t="e">
        <f>(F$7*'Inputs and eligible population'!#REF!*'Unit costs'!#REF!*'Capacity (local prices)'!$C133)/60</f>
        <v>#REF!</v>
      </c>
      <c r="G132" s="128" t="e">
        <f>(G$7*'Inputs and eligible population'!#REF!*'Unit costs'!#REF!*'Capacity (local prices)'!$C133)/60</f>
        <v>#REF!</v>
      </c>
      <c r="H132" s="128" t="e">
        <f>(H$7*'Inputs and eligible population'!#REF!*'Unit costs'!#REF!*'Capacity (local prices)'!$C133)/60</f>
        <v>#REF!</v>
      </c>
      <c r="I132" s="128" t="e">
        <f>(I$7*'Inputs and eligible population'!#REF!*'Unit costs'!#REF!*'Capacity (local prices)'!$C133)/60</f>
        <v>#REF!</v>
      </c>
      <c r="J132" s="289"/>
      <c r="K132" s="289"/>
      <c r="L132" s="223"/>
      <c r="M132" s="223"/>
      <c r="N132" s="289"/>
      <c r="O132" s="223"/>
      <c r="P132" s="223"/>
      <c r="Q132" s="223"/>
      <c r="V132" s="133"/>
    </row>
    <row r="133" spans="1:22" hidden="1">
      <c r="A133" s="289"/>
      <c r="B133" s="351" t="s">
        <v>1026</v>
      </c>
      <c r="C133" s="149">
        <f>'Inputs and eligible population'!I103</f>
        <v>0</v>
      </c>
      <c r="D133" s="128" t="e">
        <f>(D$7*'Inputs and eligible population'!#REF!*'Unit costs'!#REF!*'Capacity (local prices)'!$C134)/60</f>
        <v>#REF!</v>
      </c>
      <c r="E133" s="128" t="e">
        <f>(E$7*'Inputs and eligible population'!#REF!*'Unit costs'!#REF!*'Capacity (local prices)'!$C134)/60</f>
        <v>#REF!</v>
      </c>
      <c r="F133" s="128" t="e">
        <f>(F$7*'Inputs and eligible population'!#REF!*'Unit costs'!#REF!*'Capacity (local prices)'!$C134)/60</f>
        <v>#REF!</v>
      </c>
      <c r="G133" s="128" t="e">
        <f>(G$7*'Inputs and eligible population'!#REF!*'Unit costs'!#REF!*'Capacity (local prices)'!$C134)/60</f>
        <v>#REF!</v>
      </c>
      <c r="H133" s="128" t="e">
        <f>(H$7*'Inputs and eligible population'!#REF!*'Unit costs'!#REF!*'Capacity (local prices)'!$C134)/60</f>
        <v>#REF!</v>
      </c>
      <c r="I133" s="128" t="e">
        <f>(I$7*'Inputs and eligible population'!#REF!*'Unit costs'!#REF!*'Capacity (local prices)'!$C134)/60</f>
        <v>#REF!</v>
      </c>
      <c r="J133" s="289"/>
      <c r="K133" s="289"/>
      <c r="L133" s="223"/>
      <c r="M133" s="223"/>
      <c r="N133" s="289"/>
      <c r="O133" s="223"/>
      <c r="P133" s="223"/>
      <c r="Q133" s="223"/>
      <c r="V133" s="133"/>
    </row>
    <row r="134" spans="1:22" hidden="1">
      <c r="A134" s="289"/>
      <c r="B134" s="283"/>
      <c r="C134" s="209"/>
      <c r="D134" s="187" t="e">
        <f t="shared" ref="D134:I134" si="57">SUM(D131:D133)</f>
        <v>#REF!</v>
      </c>
      <c r="E134" s="187" t="e">
        <f t="shared" si="57"/>
        <v>#REF!</v>
      </c>
      <c r="F134" s="187" t="e">
        <f t="shared" si="57"/>
        <v>#REF!</v>
      </c>
      <c r="G134" s="187" t="e">
        <f t="shared" si="57"/>
        <v>#REF!</v>
      </c>
      <c r="H134" s="187" t="e">
        <f t="shared" si="57"/>
        <v>#REF!</v>
      </c>
      <c r="I134" s="187" t="e">
        <f t="shared" si="57"/>
        <v>#REF!</v>
      </c>
      <c r="J134" s="289"/>
      <c r="K134" s="289"/>
      <c r="L134" s="223"/>
      <c r="M134" s="223"/>
      <c r="N134" s="289"/>
      <c r="O134" s="223"/>
      <c r="P134" s="223"/>
      <c r="Q134" s="223"/>
      <c r="V134" s="133"/>
    </row>
    <row r="135" spans="1:22" hidden="1">
      <c r="A135" s="289"/>
      <c r="B135" s="306"/>
      <c r="C135" s="227"/>
      <c r="D135" s="285" t="s">
        <v>174</v>
      </c>
      <c r="E135" s="187" t="e">
        <f>E134-$D$134</f>
        <v>#REF!</v>
      </c>
      <c r="F135" s="187" t="e">
        <f>F134-$D$134</f>
        <v>#REF!</v>
      </c>
      <c r="G135" s="187" t="e">
        <f>G134-$D$134</f>
        <v>#REF!</v>
      </c>
      <c r="H135" s="187" t="e">
        <f>H134-$D$134</f>
        <v>#REF!</v>
      </c>
      <c r="I135" s="187" t="e">
        <f>I134-$D$134</f>
        <v>#REF!</v>
      </c>
      <c r="J135" s="289"/>
      <c r="K135" s="289"/>
      <c r="L135" s="223"/>
      <c r="M135" s="223"/>
      <c r="N135" s="289"/>
      <c r="O135" s="223"/>
      <c r="P135" s="223"/>
      <c r="Q135" s="223"/>
      <c r="V135" s="133"/>
    </row>
    <row r="136" spans="1:22" hidden="1">
      <c r="A136" s="289"/>
      <c r="B136" s="327"/>
      <c r="C136" s="395"/>
      <c r="D136" s="223"/>
      <c r="E136" s="223"/>
      <c r="F136" s="223"/>
      <c r="G136" s="223"/>
      <c r="H136" s="311"/>
      <c r="I136" s="311"/>
      <c r="J136" s="289"/>
      <c r="K136" s="289"/>
      <c r="L136" s="223"/>
      <c r="M136" s="223"/>
      <c r="N136" s="289"/>
      <c r="O136" s="223"/>
      <c r="P136" s="223"/>
      <c r="Q136" s="223"/>
      <c r="V136" s="133"/>
    </row>
    <row r="137" spans="1:22">
      <c r="A137" s="289"/>
      <c r="B137" s="394" t="s">
        <v>761</v>
      </c>
      <c r="C137" s="395"/>
      <c r="D137" s="395"/>
      <c r="E137" s="395"/>
      <c r="F137" s="395"/>
      <c r="G137" s="395"/>
      <c r="H137" s="395"/>
      <c r="I137" s="222"/>
      <c r="J137" s="289"/>
      <c r="K137" s="289"/>
      <c r="L137" s="223"/>
      <c r="M137" s="223"/>
      <c r="N137" s="289"/>
      <c r="O137" s="223"/>
      <c r="P137" s="223"/>
      <c r="Q137" s="223"/>
      <c r="V137" s="133"/>
    </row>
    <row r="138" spans="1:22" ht="43.5">
      <c r="A138" s="289"/>
      <c r="B138" s="279" t="s">
        <v>123</v>
      </c>
      <c r="C138" s="166" t="s">
        <v>94</v>
      </c>
      <c r="D138" s="425" t="s">
        <v>730</v>
      </c>
      <c r="E138" s="258" t="s">
        <v>50</v>
      </c>
      <c r="F138" s="258" t="s">
        <v>51</v>
      </c>
      <c r="G138" s="165" t="s">
        <v>731</v>
      </c>
      <c r="H138" s="165" t="s">
        <v>732</v>
      </c>
      <c r="I138" s="258" t="s">
        <v>733</v>
      </c>
      <c r="J138" s="289"/>
      <c r="K138" s="289"/>
      <c r="L138" s="223"/>
      <c r="M138" s="223"/>
      <c r="N138" s="289"/>
      <c r="O138" s="223"/>
      <c r="P138" s="223"/>
      <c r="Q138" s="223"/>
      <c r="V138" s="133"/>
    </row>
    <row r="139" spans="1:22">
      <c r="A139" s="289"/>
      <c r="B139" s="351" t="s">
        <v>1080</v>
      </c>
      <c r="C139" s="149">
        <f>'Inputs and eligible population'!F104</f>
        <v>0</v>
      </c>
      <c r="D139" s="128">
        <f>($C139*(D60+D65))/60</f>
        <v>0</v>
      </c>
      <c r="E139" s="128">
        <f t="shared" ref="E139:I139" si="58">($C139*(E60+E65))/60</f>
        <v>0</v>
      </c>
      <c r="F139" s="128">
        <f t="shared" si="58"/>
        <v>0</v>
      </c>
      <c r="G139" s="128">
        <f t="shared" si="58"/>
        <v>0</v>
      </c>
      <c r="H139" s="128">
        <f t="shared" si="58"/>
        <v>0</v>
      </c>
      <c r="I139" s="128">
        <f t="shared" si="58"/>
        <v>0</v>
      </c>
      <c r="J139" s="289"/>
      <c r="K139" s="289"/>
      <c r="L139" s="223"/>
      <c r="M139" s="223"/>
      <c r="N139" s="289"/>
      <c r="O139" s="223"/>
      <c r="P139" s="223"/>
      <c r="Q139" s="223"/>
      <c r="V139" s="133"/>
    </row>
    <row r="140" spans="1:22">
      <c r="A140" s="289"/>
      <c r="B140" s="351" t="s">
        <v>1081</v>
      </c>
      <c r="C140" s="149">
        <f>'Inputs and eligible population'!G104</f>
        <v>0</v>
      </c>
      <c r="D140" s="128">
        <f t="shared" ref="D140:I143" si="59">($C140*(D61+D66))/60</f>
        <v>0</v>
      </c>
      <c r="E140" s="128">
        <f t="shared" si="59"/>
        <v>0</v>
      </c>
      <c r="F140" s="128">
        <f t="shared" si="59"/>
        <v>0</v>
      </c>
      <c r="G140" s="128">
        <f t="shared" si="59"/>
        <v>0</v>
      </c>
      <c r="H140" s="128">
        <f t="shared" si="59"/>
        <v>0</v>
      </c>
      <c r="I140" s="128">
        <f t="shared" si="59"/>
        <v>0</v>
      </c>
      <c r="J140" s="289"/>
      <c r="K140" s="289"/>
      <c r="L140" s="223"/>
      <c r="M140" s="223"/>
      <c r="N140" s="289"/>
      <c r="O140" s="223"/>
      <c r="P140" s="223"/>
      <c r="Q140" s="223"/>
      <c r="V140" s="133"/>
    </row>
    <row r="141" spans="1:22">
      <c r="A141" s="289"/>
      <c r="B141" s="351" t="s">
        <v>1082</v>
      </c>
      <c r="C141" s="149">
        <f>'Inputs and eligible population'!H104</f>
        <v>0</v>
      </c>
      <c r="D141" s="128">
        <f t="shared" si="59"/>
        <v>0</v>
      </c>
      <c r="E141" s="128">
        <f t="shared" si="59"/>
        <v>0</v>
      </c>
      <c r="F141" s="128">
        <f t="shared" si="59"/>
        <v>0</v>
      </c>
      <c r="G141" s="128">
        <f t="shared" si="59"/>
        <v>0</v>
      </c>
      <c r="H141" s="128">
        <f t="shared" si="59"/>
        <v>0</v>
      </c>
      <c r="I141" s="128">
        <f t="shared" si="59"/>
        <v>0</v>
      </c>
      <c r="J141" s="289"/>
      <c r="K141" s="289"/>
      <c r="L141" s="223"/>
      <c r="M141" s="223"/>
      <c r="N141" s="289"/>
      <c r="O141" s="223"/>
      <c r="P141" s="223"/>
      <c r="Q141" s="223"/>
      <c r="V141" s="133"/>
    </row>
    <row r="142" spans="1:22">
      <c r="A142" s="289"/>
      <c r="B142" s="351" t="s">
        <v>1083</v>
      </c>
      <c r="C142" s="149">
        <f>'Inputs and eligible population'!I104</f>
        <v>0</v>
      </c>
      <c r="D142" s="128">
        <f t="shared" si="59"/>
        <v>0</v>
      </c>
      <c r="E142" s="128">
        <f t="shared" si="59"/>
        <v>0</v>
      </c>
      <c r="F142" s="128">
        <f t="shared" si="59"/>
        <v>0</v>
      </c>
      <c r="G142" s="128">
        <f t="shared" si="59"/>
        <v>0</v>
      </c>
      <c r="H142" s="128">
        <f t="shared" si="59"/>
        <v>0</v>
      </c>
      <c r="I142" s="128">
        <f t="shared" si="59"/>
        <v>0</v>
      </c>
      <c r="J142" s="289"/>
      <c r="K142" s="289"/>
      <c r="L142" s="223"/>
      <c r="M142" s="223"/>
      <c r="N142" s="289"/>
      <c r="O142" s="223"/>
      <c r="P142" s="223"/>
      <c r="Q142" s="223"/>
      <c r="V142" s="133"/>
    </row>
    <row r="143" spans="1:22">
      <c r="A143" s="289"/>
      <c r="B143" s="351" t="s">
        <v>1084</v>
      </c>
      <c r="C143" s="149">
        <f>'Inputs and eligible population'!J104</f>
        <v>0</v>
      </c>
      <c r="D143" s="128">
        <f t="shared" si="59"/>
        <v>0</v>
      </c>
      <c r="E143" s="128">
        <f t="shared" si="59"/>
        <v>0</v>
      </c>
      <c r="F143" s="128">
        <f t="shared" si="59"/>
        <v>0</v>
      </c>
      <c r="G143" s="128">
        <f t="shared" si="59"/>
        <v>0</v>
      </c>
      <c r="H143" s="128">
        <f t="shared" si="59"/>
        <v>0</v>
      </c>
      <c r="I143" s="128">
        <f t="shared" si="59"/>
        <v>0</v>
      </c>
      <c r="J143" s="289"/>
      <c r="K143" s="289"/>
      <c r="L143" s="223"/>
      <c r="M143" s="223"/>
      <c r="N143" s="289"/>
      <c r="O143" s="223"/>
      <c r="P143" s="223"/>
      <c r="Q143" s="223"/>
      <c r="V143" s="133"/>
    </row>
    <row r="144" spans="1:22">
      <c r="A144" s="289"/>
      <c r="B144" s="283"/>
      <c r="C144" s="209"/>
      <c r="D144" s="187">
        <f>SUM(D139:D143)</f>
        <v>0</v>
      </c>
      <c r="E144" s="187">
        <f t="shared" ref="E144:I144" si="60">SUM(E139:E143)</f>
        <v>0</v>
      </c>
      <c r="F144" s="187">
        <f t="shared" si="60"/>
        <v>0</v>
      </c>
      <c r="G144" s="187">
        <f t="shared" si="60"/>
        <v>0</v>
      </c>
      <c r="H144" s="187">
        <f t="shared" si="60"/>
        <v>0</v>
      </c>
      <c r="I144" s="187">
        <f t="shared" si="60"/>
        <v>0</v>
      </c>
      <c r="J144" s="289"/>
      <c r="K144" s="289"/>
      <c r="L144" s="223"/>
      <c r="M144" s="223"/>
      <c r="N144" s="289"/>
      <c r="O144" s="223"/>
      <c r="P144" s="223"/>
      <c r="Q144" s="223"/>
      <c r="V144" s="133"/>
    </row>
    <row r="145" spans="1:40">
      <c r="A145" s="289"/>
      <c r="B145" s="306"/>
      <c r="C145" s="227"/>
      <c r="D145" s="285" t="s">
        <v>175</v>
      </c>
      <c r="E145" s="187">
        <f>E144-$D$144</f>
        <v>0</v>
      </c>
      <c r="F145" s="187">
        <f>F144-$D$144</f>
        <v>0</v>
      </c>
      <c r="G145" s="187">
        <f>G144-$D$144</f>
        <v>0</v>
      </c>
      <c r="H145" s="187">
        <f>H144-$D$144</f>
        <v>0</v>
      </c>
      <c r="I145" s="187">
        <f>I144-$D$144</f>
        <v>0</v>
      </c>
      <c r="J145" s="289"/>
      <c r="K145" s="289"/>
      <c r="L145" s="223"/>
      <c r="M145" s="223"/>
      <c r="N145" s="289"/>
      <c r="O145" s="223"/>
      <c r="P145" s="223"/>
      <c r="Q145" s="223"/>
      <c r="V145" s="133"/>
    </row>
    <row r="146" spans="1:40">
      <c r="A146" s="289"/>
      <c r="B146" s="327"/>
      <c r="C146" s="395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89"/>
      <c r="O146" s="223"/>
      <c r="P146" s="223"/>
      <c r="Q146" s="223"/>
      <c r="R146" s="133"/>
      <c r="S146" s="133"/>
      <c r="T146" s="133"/>
      <c r="U146" s="133"/>
      <c r="V146" s="133"/>
      <c r="W146" s="133"/>
      <c r="X146" s="133"/>
      <c r="Y146" s="133"/>
      <c r="Z146" s="133"/>
      <c r="AJ146" s="286"/>
      <c r="AK146" s="286"/>
      <c r="AL146" s="286"/>
      <c r="AM146" s="286"/>
      <c r="AN146" s="286"/>
    </row>
    <row r="147" spans="1:40">
      <c r="A147" s="332"/>
      <c r="B147" s="333" t="s">
        <v>762</v>
      </c>
      <c r="C147" s="334"/>
      <c r="D147" s="334"/>
      <c r="E147" s="335"/>
      <c r="F147" s="336"/>
      <c r="G147" s="337"/>
      <c r="H147" s="337"/>
      <c r="I147" s="388"/>
      <c r="J147" s="332"/>
      <c r="K147" s="332"/>
      <c r="L147" s="332"/>
      <c r="M147" s="332"/>
      <c r="N147" s="332"/>
      <c r="O147" s="332"/>
      <c r="P147" s="332"/>
      <c r="Q147" s="409"/>
      <c r="R147" s="133"/>
      <c r="S147" s="133"/>
      <c r="T147" s="133"/>
      <c r="U147" s="133"/>
      <c r="V147" s="133"/>
      <c r="W147" s="133"/>
      <c r="X147" s="133"/>
      <c r="Y147" s="133"/>
      <c r="Z147" s="133"/>
      <c r="AJ147" s="286"/>
      <c r="AK147" s="286"/>
      <c r="AL147" s="286"/>
      <c r="AM147" s="286"/>
      <c r="AN147" s="286"/>
    </row>
    <row r="148" spans="1:40">
      <c r="A148" s="332"/>
      <c r="B148" s="398" t="s">
        <v>98</v>
      </c>
      <c r="C148" s="399"/>
      <c r="D148" s="399"/>
      <c r="E148" s="399"/>
      <c r="F148" s="399"/>
      <c r="G148" s="399"/>
      <c r="H148" s="399"/>
      <c r="I148" s="338"/>
      <c r="J148" s="409"/>
      <c r="K148" s="409"/>
      <c r="L148" s="437"/>
      <c r="M148" s="437"/>
      <c r="N148" s="437"/>
      <c r="O148" s="437"/>
      <c r="P148" s="437"/>
      <c r="Q148" s="437"/>
      <c r="R148" s="133"/>
      <c r="S148" s="133"/>
      <c r="T148" s="133"/>
      <c r="U148" s="133"/>
      <c r="V148" s="133"/>
      <c r="W148" s="133"/>
      <c r="X148" s="133"/>
      <c r="Y148" s="133"/>
      <c r="Z148" s="133"/>
      <c r="AJ148" s="286"/>
      <c r="AK148" s="286"/>
      <c r="AL148" s="286"/>
      <c r="AM148" s="286"/>
      <c r="AN148" s="286"/>
    </row>
    <row r="149" spans="1:40" ht="43.5">
      <c r="A149" s="332"/>
      <c r="B149" s="279" t="s">
        <v>123</v>
      </c>
      <c r="C149" s="166" t="s">
        <v>98</v>
      </c>
      <c r="D149" s="425" t="s">
        <v>730</v>
      </c>
      <c r="E149" s="258" t="s">
        <v>50</v>
      </c>
      <c r="F149" s="258" t="s">
        <v>51</v>
      </c>
      <c r="G149" s="165" t="s">
        <v>731</v>
      </c>
      <c r="H149" s="165" t="s">
        <v>732</v>
      </c>
      <c r="I149" s="258" t="s">
        <v>733</v>
      </c>
      <c r="J149" s="332"/>
      <c r="K149" s="715" t="s">
        <v>1045</v>
      </c>
      <c r="L149" s="425" t="s">
        <v>730</v>
      </c>
      <c r="M149" s="258" t="s">
        <v>50</v>
      </c>
      <c r="N149" s="258" t="s">
        <v>51</v>
      </c>
      <c r="O149" s="165" t="s">
        <v>731</v>
      </c>
      <c r="P149" s="165" t="s">
        <v>732</v>
      </c>
      <c r="Q149" s="258" t="s">
        <v>733</v>
      </c>
      <c r="R149" s="133"/>
      <c r="S149" s="133"/>
      <c r="T149" s="133"/>
      <c r="U149" s="133"/>
      <c r="V149" s="133"/>
      <c r="W149" s="133"/>
      <c r="X149" s="133"/>
      <c r="Y149" s="133"/>
      <c r="Z149" s="133"/>
      <c r="AJ149" s="286"/>
      <c r="AK149" s="286"/>
      <c r="AL149" s="286"/>
      <c r="AM149" s="286"/>
      <c r="AN149" s="286"/>
    </row>
    <row r="150" spans="1:40">
      <c r="A150" s="332"/>
      <c r="B150" s="351" t="s">
        <v>1080</v>
      </c>
      <c r="C150" s="149">
        <f>'Inputs and eligible population'!F105</f>
        <v>0</v>
      </c>
      <c r="D150" s="128">
        <f>('Financial impact (cash)'!D15+'Financial impact (cash)'!D24)*$C150</f>
        <v>0</v>
      </c>
      <c r="E150" s="128">
        <f>('Financial impact (cash)'!E15+'Financial impact (cash)'!E24)*$C150</f>
        <v>0</v>
      </c>
      <c r="F150" s="128">
        <f>('Financial impact (cash)'!F15+'Financial impact (cash)'!F24)*$C150</f>
        <v>0</v>
      </c>
      <c r="G150" s="128">
        <f>('Financial impact (cash)'!G15+'Financial impact (cash)'!G24)*$C150</f>
        <v>0</v>
      </c>
      <c r="H150" s="128">
        <f>('Financial impact (cash)'!H15+'Financial impact (cash)'!H24)*$C150</f>
        <v>0</v>
      </c>
      <c r="I150" s="128">
        <f>('Financial impact (cash)'!I15+'Financial impact (cash)'!I24)*$C150</f>
        <v>0</v>
      </c>
      <c r="J150" s="332"/>
      <c r="K150" s="716">
        <f>'Unit costs'!$N$57</f>
        <v>0</v>
      </c>
      <c r="L150" s="293">
        <f>(D150*'Unit costs'!$N$57)/1000</f>
        <v>0</v>
      </c>
      <c r="M150" s="293">
        <f>(E150*'Unit costs'!$N$57)/1000</f>
        <v>0</v>
      </c>
      <c r="N150" s="293">
        <f>(F150*'Unit costs'!$N$57)/1000</f>
        <v>0</v>
      </c>
      <c r="O150" s="293">
        <f>(G150*'Unit costs'!$N$57)/1000</f>
        <v>0</v>
      </c>
      <c r="P150" s="293">
        <f>(H150*'Unit costs'!$N$57)/1000</f>
        <v>0</v>
      </c>
      <c r="Q150" s="293">
        <f>(I150*'Unit costs'!$N$57)/1000</f>
        <v>0</v>
      </c>
      <c r="R150" s="133"/>
      <c r="S150" s="133"/>
      <c r="T150" s="133"/>
      <c r="U150" s="133"/>
      <c r="V150" s="133"/>
      <c r="W150" s="133"/>
      <c r="X150" s="133"/>
      <c r="Y150" s="133"/>
      <c r="Z150" s="133"/>
      <c r="AJ150" s="286"/>
      <c r="AK150" s="286"/>
      <c r="AL150" s="286"/>
      <c r="AM150" s="286"/>
      <c r="AN150" s="286"/>
    </row>
    <row r="151" spans="1:40">
      <c r="A151" s="332"/>
      <c r="B151" s="351" t="s">
        <v>1081</v>
      </c>
      <c r="C151" s="149">
        <f>'Inputs and eligible population'!G105</f>
        <v>0</v>
      </c>
      <c r="D151" s="128">
        <f>('Financial impact (cash)'!D16+'Financial impact (cash)'!D25)*$C151</f>
        <v>0</v>
      </c>
      <c r="E151" s="128">
        <f>('Financial impact (cash)'!E16+'Financial impact (cash)'!E25)*$C151</f>
        <v>0</v>
      </c>
      <c r="F151" s="128">
        <f>('Financial impact (cash)'!F16+'Financial impact (cash)'!F25)*$C151</f>
        <v>0</v>
      </c>
      <c r="G151" s="128">
        <f>('Financial impact (cash)'!G16+'Financial impact (cash)'!G25)*$C151</f>
        <v>0</v>
      </c>
      <c r="H151" s="128">
        <f>('Financial impact (cash)'!H16+'Financial impact (cash)'!H25)*$C151</f>
        <v>0</v>
      </c>
      <c r="I151" s="128">
        <f>('Financial impact (cash)'!I16+'Financial impact (cash)'!I25)*$C151</f>
        <v>0</v>
      </c>
      <c r="J151" s="332"/>
      <c r="K151" s="716">
        <f>'Unit costs'!$N$57</f>
        <v>0</v>
      </c>
      <c r="L151" s="293">
        <f>(D151*'Unit costs'!$N$57)/1000</f>
        <v>0</v>
      </c>
      <c r="M151" s="293">
        <f>(E151*'Unit costs'!$N$57)/1000</f>
        <v>0</v>
      </c>
      <c r="N151" s="293">
        <f>(F151*'Unit costs'!$N$57)/1000</f>
        <v>0</v>
      </c>
      <c r="O151" s="293">
        <f>(G151*'Unit costs'!$N$57)/1000</f>
        <v>0</v>
      </c>
      <c r="P151" s="293">
        <f>(H151*'Unit costs'!$N$57)/1000</f>
        <v>0</v>
      </c>
      <c r="Q151" s="293">
        <f>(I151*'Unit costs'!$N$57)/1000</f>
        <v>0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286"/>
      <c r="AK151" s="286"/>
      <c r="AL151" s="286"/>
      <c r="AM151" s="286"/>
      <c r="AN151" s="286"/>
    </row>
    <row r="152" spans="1:40">
      <c r="A152" s="332"/>
      <c r="B152" s="351" t="s">
        <v>1082</v>
      </c>
      <c r="C152" s="149">
        <f>'Inputs and eligible population'!H105</f>
        <v>0</v>
      </c>
      <c r="D152" s="128">
        <f>('Financial impact (cash)'!D17+'Financial impact (cash)'!D26)*$C152</f>
        <v>0</v>
      </c>
      <c r="E152" s="128">
        <f>('Financial impact (cash)'!E17+'Financial impact (cash)'!E26)*$C152</f>
        <v>0</v>
      </c>
      <c r="F152" s="128">
        <f>('Financial impact (cash)'!F17+'Financial impact (cash)'!F26)*$C152</f>
        <v>0</v>
      </c>
      <c r="G152" s="128">
        <f>('Financial impact (cash)'!G17+'Financial impact (cash)'!G26)*$C152</f>
        <v>0</v>
      </c>
      <c r="H152" s="128">
        <f>('Financial impact (cash)'!H17+'Financial impact (cash)'!H26)*$C152</f>
        <v>0</v>
      </c>
      <c r="I152" s="128">
        <f>('Financial impact (cash)'!I17+'Financial impact (cash)'!I26)*$C152</f>
        <v>0</v>
      </c>
      <c r="J152" s="332"/>
      <c r="K152" s="716">
        <f>'Unit costs'!$N$57</f>
        <v>0</v>
      </c>
      <c r="L152" s="293">
        <f>(D152*'Unit costs'!$N$57)/1000</f>
        <v>0</v>
      </c>
      <c r="M152" s="293">
        <f>(E152*'Unit costs'!$N$57)/1000</f>
        <v>0</v>
      </c>
      <c r="N152" s="293">
        <f>(F152*'Unit costs'!$N$57)/1000</f>
        <v>0</v>
      </c>
      <c r="O152" s="293">
        <f>(G152*'Unit costs'!$N$57)/1000</f>
        <v>0</v>
      </c>
      <c r="P152" s="293">
        <f>(H152*'Unit costs'!$N$57)/1000</f>
        <v>0</v>
      </c>
      <c r="Q152" s="293">
        <f>(I152*'Unit costs'!$N$57)/1000</f>
        <v>0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286"/>
      <c r="AK152" s="286"/>
      <c r="AL152" s="286"/>
      <c r="AM152" s="286"/>
      <c r="AN152" s="286"/>
    </row>
    <row r="153" spans="1:40">
      <c r="A153" s="332"/>
      <c r="B153" s="351" t="s">
        <v>1083</v>
      </c>
      <c r="C153" s="149">
        <f>'Inputs and eligible population'!I105</f>
        <v>0</v>
      </c>
      <c r="D153" s="128">
        <f>('Financial impact (cash)'!D18+'Financial impact (cash)'!D27)*$C153</f>
        <v>0</v>
      </c>
      <c r="E153" s="128">
        <f>('Financial impact (cash)'!E18+'Financial impact (cash)'!E27)*$C153</f>
        <v>0</v>
      </c>
      <c r="F153" s="128">
        <f>('Financial impact (cash)'!F18+'Financial impact (cash)'!F27)*$C153</f>
        <v>0</v>
      </c>
      <c r="G153" s="128">
        <f>('Financial impact (cash)'!G18+'Financial impact (cash)'!G27)*$C153</f>
        <v>0</v>
      </c>
      <c r="H153" s="128">
        <f>('Financial impact (cash)'!H18+'Financial impact (cash)'!H27)*$C153</f>
        <v>0</v>
      </c>
      <c r="I153" s="128">
        <f>('Financial impact (cash)'!I18+'Financial impact (cash)'!I27)*$C153</f>
        <v>0</v>
      </c>
      <c r="J153" s="332"/>
      <c r="K153" s="716">
        <f>'Unit costs'!$N$57</f>
        <v>0</v>
      </c>
      <c r="L153" s="293">
        <f>(D153*'Unit costs'!$N$57)/1000</f>
        <v>0</v>
      </c>
      <c r="M153" s="293">
        <f>(E153*'Unit costs'!$N$57)/1000</f>
        <v>0</v>
      </c>
      <c r="N153" s="293">
        <f>(F153*'Unit costs'!$N$57)/1000</f>
        <v>0</v>
      </c>
      <c r="O153" s="293">
        <f>(G153*'Unit costs'!$N$57)/1000</f>
        <v>0</v>
      </c>
      <c r="P153" s="293">
        <f>(H153*'Unit costs'!$N$57)/1000</f>
        <v>0</v>
      </c>
      <c r="Q153" s="293">
        <f>(I153*'Unit costs'!$N$57)/1000</f>
        <v>0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286"/>
      <c r="AK153" s="286"/>
      <c r="AL153" s="286"/>
      <c r="AM153" s="286"/>
      <c r="AN153" s="286"/>
    </row>
    <row r="154" spans="1:40">
      <c r="A154" s="332"/>
      <c r="B154" s="351" t="s">
        <v>1084</v>
      </c>
      <c r="C154" s="149">
        <f>'Inputs and eligible population'!J105</f>
        <v>0</v>
      </c>
      <c r="D154" s="128">
        <f>('Financial impact (cash)'!D19+'Financial impact (cash)'!D28)*$C154</f>
        <v>0</v>
      </c>
      <c r="E154" s="128">
        <f>('Financial impact (cash)'!E19+'Financial impact (cash)'!E28)*$C154</f>
        <v>0</v>
      </c>
      <c r="F154" s="128">
        <f>('Financial impact (cash)'!F19+'Financial impact (cash)'!F28)*$C154</f>
        <v>0</v>
      </c>
      <c r="G154" s="128">
        <f>('Financial impact (cash)'!G19+'Financial impact (cash)'!G28)*$C154</f>
        <v>0</v>
      </c>
      <c r="H154" s="128">
        <f>('Financial impact (cash)'!H19+'Financial impact (cash)'!H28)*$C154</f>
        <v>0</v>
      </c>
      <c r="I154" s="128">
        <f>('Financial impact (cash)'!I19+'Financial impact (cash)'!I28)*$C154</f>
        <v>0</v>
      </c>
      <c r="J154" s="332"/>
      <c r="K154" s="716">
        <f>'Unit costs'!$N$57</f>
        <v>0</v>
      </c>
      <c r="L154" s="293">
        <f>(D154*'Unit costs'!$N$57)/1000</f>
        <v>0</v>
      </c>
      <c r="M154" s="293">
        <f>(E154*'Unit costs'!$N$57)/1000</f>
        <v>0</v>
      </c>
      <c r="N154" s="293">
        <f>(F154*'Unit costs'!$N$57)/1000</f>
        <v>0</v>
      </c>
      <c r="O154" s="293">
        <f>(G154*'Unit costs'!$N$57)/1000</f>
        <v>0</v>
      </c>
      <c r="P154" s="293">
        <f>(H154*'Unit costs'!$N$57)/1000</f>
        <v>0</v>
      </c>
      <c r="Q154" s="293">
        <f>(I154*'Unit costs'!$N$57)/1000</f>
        <v>0</v>
      </c>
      <c r="R154" s="133"/>
      <c r="S154" s="133"/>
      <c r="T154" s="133"/>
      <c r="U154" s="133"/>
      <c r="V154" s="133"/>
      <c r="W154" s="133"/>
      <c r="X154" s="133"/>
      <c r="Y154" s="133"/>
      <c r="Z154" s="133"/>
      <c r="AJ154" s="286"/>
      <c r="AK154" s="286"/>
      <c r="AL154" s="286"/>
      <c r="AM154" s="286"/>
      <c r="AN154" s="286"/>
    </row>
    <row r="155" spans="1:40">
      <c r="A155" s="332"/>
      <c r="B155" s="351" t="s">
        <v>1085</v>
      </c>
      <c r="C155" s="149">
        <f>'Inputs and eligible population'!K105</f>
        <v>0</v>
      </c>
      <c r="D155" s="128">
        <f>('Financial impact (cash)'!D20+'Financial impact (cash)'!D29)*$C155</f>
        <v>0</v>
      </c>
      <c r="E155" s="128">
        <f>('Financial impact (cash)'!E20+'Financial impact (cash)'!E29)*$C155</f>
        <v>0</v>
      </c>
      <c r="F155" s="128">
        <f>('Financial impact (cash)'!F20+'Financial impact (cash)'!F29)*$C155</f>
        <v>0</v>
      </c>
      <c r="G155" s="128">
        <f>('Financial impact (cash)'!G20+'Financial impact (cash)'!G29)*$C155</f>
        <v>0</v>
      </c>
      <c r="H155" s="128">
        <f>('Financial impact (cash)'!H20+'Financial impact (cash)'!H29)*$C155</f>
        <v>0</v>
      </c>
      <c r="I155" s="128">
        <f>('Financial impact (cash)'!I20+'Financial impact (cash)'!I29)*$C155</f>
        <v>0</v>
      </c>
      <c r="J155" s="332"/>
      <c r="K155" s="716">
        <f>'Unit costs'!$N$57</f>
        <v>0</v>
      </c>
      <c r="L155" s="293">
        <f>(D155*'Unit costs'!$N$57)/1000</f>
        <v>0</v>
      </c>
      <c r="M155" s="293">
        <f>(E155*'Unit costs'!$N$57)/1000</f>
        <v>0</v>
      </c>
      <c r="N155" s="293">
        <f>(F155*'Unit costs'!$N$57)/1000</f>
        <v>0</v>
      </c>
      <c r="O155" s="293">
        <f>(G155*'Unit costs'!$N$57)/1000</f>
        <v>0</v>
      </c>
      <c r="P155" s="293">
        <f>(H155*'Unit costs'!$N$57)/1000</f>
        <v>0</v>
      </c>
      <c r="Q155" s="293">
        <f>(I155*'Unit costs'!$N$57)/1000</f>
        <v>0</v>
      </c>
      <c r="R155" s="133"/>
      <c r="S155" s="133"/>
      <c r="T155" s="133"/>
      <c r="U155" s="133"/>
      <c r="V155" s="133"/>
      <c r="W155" s="133"/>
      <c r="X155" s="133"/>
      <c r="Y155" s="133"/>
      <c r="Z155" s="133"/>
      <c r="AJ155" s="286"/>
      <c r="AK155" s="286"/>
      <c r="AL155" s="286"/>
      <c r="AM155" s="286"/>
      <c r="AN155" s="286"/>
    </row>
    <row r="156" spans="1:40">
      <c r="A156" s="332"/>
      <c r="B156" s="283"/>
      <c r="C156" s="209"/>
      <c r="D156" s="187">
        <f>SUM(D150:D155)</f>
        <v>0</v>
      </c>
      <c r="E156" s="187">
        <f t="shared" ref="E156:I156" si="61">SUM(E150:E155)</f>
        <v>0</v>
      </c>
      <c r="F156" s="187">
        <f t="shared" si="61"/>
        <v>0</v>
      </c>
      <c r="G156" s="187">
        <f t="shared" si="61"/>
        <v>0</v>
      </c>
      <c r="H156" s="187">
        <f t="shared" si="61"/>
        <v>0</v>
      </c>
      <c r="I156" s="187">
        <f t="shared" si="61"/>
        <v>0</v>
      </c>
      <c r="J156" s="332"/>
      <c r="K156" s="332"/>
      <c r="L156" s="294">
        <f>SUM(L150:L155)</f>
        <v>0</v>
      </c>
      <c r="M156" s="294">
        <f t="shared" ref="M156:Q156" si="62">SUM(M150:M155)</f>
        <v>0</v>
      </c>
      <c r="N156" s="294">
        <f t="shared" si="62"/>
        <v>0</v>
      </c>
      <c r="O156" s="294">
        <f t="shared" si="62"/>
        <v>0</v>
      </c>
      <c r="P156" s="294">
        <f t="shared" si="62"/>
        <v>0</v>
      </c>
      <c r="Q156" s="294">
        <f t="shared" si="62"/>
        <v>0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286"/>
      <c r="AK156" s="286"/>
      <c r="AL156" s="286"/>
      <c r="AM156" s="286"/>
      <c r="AN156" s="286"/>
    </row>
    <row r="157" spans="1:40">
      <c r="A157" s="332"/>
      <c r="B157" s="306"/>
      <c r="C157" s="259"/>
      <c r="D157" s="285" t="s">
        <v>763</v>
      </c>
      <c r="E157" s="187">
        <f>E156-$D$156</f>
        <v>0</v>
      </c>
      <c r="F157" s="187">
        <f>F156-$D$156</f>
        <v>0</v>
      </c>
      <c r="G157" s="187">
        <f>G156-$D$156</f>
        <v>0</v>
      </c>
      <c r="H157" s="187">
        <f>H156-$D$156</f>
        <v>0</v>
      </c>
      <c r="I157" s="187">
        <f>I156-$D$156</f>
        <v>0</v>
      </c>
      <c r="J157" s="332"/>
      <c r="K157" s="332"/>
      <c r="L157" s="572"/>
      <c r="M157" s="294">
        <f>M156-$L$156</f>
        <v>0</v>
      </c>
      <c r="N157" s="294">
        <f>N156-$L$156</f>
        <v>0</v>
      </c>
      <c r="O157" s="294">
        <f>O156-$L$156</f>
        <v>0</v>
      </c>
      <c r="P157" s="294">
        <f>P156-$L$156</f>
        <v>0</v>
      </c>
      <c r="Q157" s="294">
        <f>Q156-$L$156</f>
        <v>0</v>
      </c>
      <c r="V157" s="133"/>
    </row>
    <row r="158" spans="1:40">
      <c r="A158" s="332"/>
      <c r="B158" s="332"/>
      <c r="C158" s="332"/>
      <c r="D158" s="332"/>
      <c r="E158" s="332"/>
      <c r="F158" s="332"/>
      <c r="G158" s="332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V158" s="133"/>
    </row>
    <row r="159" spans="1:40">
      <c r="A159" s="290"/>
      <c r="B159" s="328" t="s">
        <v>764</v>
      </c>
      <c r="C159" s="312"/>
      <c r="D159" s="313"/>
      <c r="E159" s="314"/>
      <c r="F159" s="315"/>
      <c r="G159" s="315"/>
      <c r="H159" s="315"/>
      <c r="I159" s="438"/>
      <c r="J159" s="290"/>
      <c r="K159" s="290"/>
      <c r="L159" s="290"/>
      <c r="M159" s="290"/>
      <c r="N159" s="290"/>
      <c r="O159" s="290"/>
      <c r="P159" s="290"/>
      <c r="Q159" s="225"/>
      <c r="R159" s="133"/>
      <c r="S159" s="133"/>
      <c r="T159" s="133"/>
      <c r="U159" s="133"/>
      <c r="V159" s="133"/>
      <c r="W159" s="133"/>
      <c r="X159" s="133"/>
      <c r="Y159" s="133"/>
      <c r="Z159" s="133"/>
      <c r="AJ159" s="286"/>
      <c r="AK159" s="286"/>
      <c r="AL159" s="286"/>
      <c r="AM159" s="286"/>
      <c r="AN159" s="286"/>
    </row>
    <row r="160" spans="1:40">
      <c r="A160" s="290"/>
      <c r="B160" s="400" t="s">
        <v>1022</v>
      </c>
      <c r="C160" s="401"/>
      <c r="D160" s="401"/>
      <c r="E160" s="401"/>
      <c r="F160" s="401"/>
      <c r="G160" s="401"/>
      <c r="H160" s="401"/>
      <c r="I160" s="224"/>
      <c r="J160" s="225"/>
      <c r="K160" s="225"/>
      <c r="L160" s="290"/>
      <c r="M160" s="290"/>
      <c r="N160" s="290"/>
      <c r="O160" s="290"/>
      <c r="P160" s="290"/>
      <c r="Q160" s="225"/>
      <c r="R160" s="133"/>
      <c r="S160" s="133"/>
      <c r="T160" s="133"/>
      <c r="U160" s="133"/>
      <c r="V160" s="133"/>
      <c r="W160" s="133"/>
      <c r="X160" s="133"/>
      <c r="Y160" s="133"/>
      <c r="Z160" s="133"/>
      <c r="AJ160" s="286"/>
      <c r="AK160" s="286"/>
      <c r="AL160" s="286"/>
      <c r="AM160" s="286"/>
      <c r="AN160" s="286"/>
    </row>
    <row r="161" spans="1:40" ht="43.5">
      <c r="A161" s="290"/>
      <c r="B161" s="279" t="s">
        <v>123</v>
      </c>
      <c r="C161" s="166" t="s">
        <v>1022</v>
      </c>
      <c r="D161" s="425" t="s">
        <v>730</v>
      </c>
      <c r="E161" s="258" t="s">
        <v>50</v>
      </c>
      <c r="F161" s="258" t="s">
        <v>51</v>
      </c>
      <c r="G161" s="165" t="s">
        <v>731</v>
      </c>
      <c r="H161" s="165" t="s">
        <v>732</v>
      </c>
      <c r="I161" s="258" t="s">
        <v>733</v>
      </c>
      <c r="J161" s="290"/>
      <c r="K161" s="290"/>
      <c r="L161" s="290"/>
      <c r="M161" s="290"/>
      <c r="N161" s="290"/>
      <c r="O161" s="290"/>
      <c r="P161" s="290"/>
      <c r="Q161" s="225"/>
      <c r="R161" s="133"/>
      <c r="S161" s="133"/>
      <c r="T161" s="133"/>
      <c r="U161" s="133"/>
      <c r="V161" s="133"/>
      <c r="W161" s="133"/>
      <c r="X161" s="133"/>
      <c r="Y161" s="133"/>
      <c r="Z161" s="133"/>
      <c r="AJ161" s="286"/>
      <c r="AK161" s="286"/>
      <c r="AL161" s="286"/>
      <c r="AM161" s="286"/>
      <c r="AN161" s="286"/>
    </row>
    <row r="162" spans="1:40">
      <c r="A162" s="290"/>
      <c r="B162" s="351" t="s">
        <v>1080</v>
      </c>
      <c r="C162" s="677">
        <f>'Inputs and eligible population'!F107</f>
        <v>7.5</v>
      </c>
      <c r="D162" s="128">
        <f>('Financial impact (cash)'!D15+'Financial impact (cash)'!D24)*$C162</f>
        <v>0</v>
      </c>
      <c r="E162" s="128">
        <f>('Financial impact (cash)'!E15+'Financial impact (cash)'!E24)*$C162</f>
        <v>43357.891489237947</v>
      </c>
      <c r="F162" s="128">
        <f>('Financial impact (cash)'!F15+'Financial impact (cash)'!F24)*$C162</f>
        <v>101725.81139726342</v>
      </c>
      <c r="G162" s="128">
        <f>('Financial impact (cash)'!G15+'Financial impact (cash)'!G24)*$C162</f>
        <v>141392.64803551268</v>
      </c>
      <c r="H162" s="128">
        <f>('Financial impact (cash)'!H15+'Financial impact (cash)'!H24)*$C162</f>
        <v>184875.22846505183</v>
      </c>
      <c r="I162" s="128">
        <f>('Financial impact (cash)'!I15+'Financial impact (cash)'!I24)*$C162</f>
        <v>217225.30456706043</v>
      </c>
      <c r="J162" s="290"/>
      <c r="K162" s="290"/>
      <c r="L162" s="290"/>
      <c r="M162" s="290"/>
      <c r="N162" s="290"/>
      <c r="O162" s="290"/>
      <c r="P162" s="290"/>
      <c r="Q162" s="225"/>
      <c r="R162" s="133"/>
      <c r="S162" s="133"/>
      <c r="T162" s="133"/>
      <c r="U162" s="133"/>
      <c r="V162" s="133"/>
      <c r="W162" s="133"/>
      <c r="X162" s="133"/>
      <c r="Y162" s="133"/>
      <c r="Z162" s="133"/>
      <c r="AJ162" s="286"/>
      <c r="AK162" s="286"/>
      <c r="AL162" s="286"/>
      <c r="AM162" s="286"/>
      <c r="AN162" s="286"/>
    </row>
    <row r="163" spans="1:40">
      <c r="A163" s="290"/>
      <c r="B163" s="351" t="s">
        <v>1081</v>
      </c>
      <c r="C163" s="677">
        <f>'Inputs and eligible population'!G107</f>
        <v>7.5</v>
      </c>
      <c r="D163" s="128">
        <f>('Financial impact (cash)'!D16+'Financial impact (cash)'!D25)*$C163</f>
        <v>37901.187970931773</v>
      </c>
      <c r="E163" s="128">
        <f>('Financial impact (cash)'!E16+'Financial impact (cash)'!E25)*$C163</f>
        <v>33703.417552575149</v>
      </c>
      <c r="F163" s="128">
        <f>('Financial impact (cash)'!F16+'Financial impact (cash)'!F25)*$C163</f>
        <v>28143.993772933496</v>
      </c>
      <c r="G163" s="128">
        <f>('Financial impact (cash)'!G16+'Financial impact (cash)'!G25)*$C163</f>
        <v>23013.884845957051</v>
      </c>
      <c r="H163" s="128">
        <f>('Financial impact (cash)'!H16+'Financial impact (cash)'!H25)*$C163</f>
        <v>19008.255779643634</v>
      </c>
      <c r="I163" s="128">
        <f>('Financial impact (cash)'!I16+'Financial impact (cash)'!I25)*$C163</f>
        <v>17304.155706959478</v>
      </c>
      <c r="J163" s="290"/>
      <c r="K163" s="290"/>
      <c r="L163" s="290"/>
      <c r="M163" s="290"/>
      <c r="N163" s="290"/>
      <c r="O163" s="290"/>
      <c r="P163" s="290"/>
      <c r="Q163" s="225"/>
      <c r="R163" s="133"/>
      <c r="S163" s="133"/>
      <c r="T163" s="133"/>
      <c r="U163" s="133"/>
      <c r="V163" s="133"/>
      <c r="W163" s="133"/>
      <c r="X163" s="133"/>
      <c r="Y163" s="133"/>
      <c r="Z163" s="133"/>
      <c r="AJ163" s="286"/>
      <c r="AK163" s="286"/>
      <c r="AL163" s="286"/>
      <c r="AM163" s="286"/>
      <c r="AN163" s="286"/>
    </row>
    <row r="164" spans="1:40">
      <c r="A164" s="290"/>
      <c r="B164" s="351" t="s">
        <v>1082</v>
      </c>
      <c r="C164" s="677">
        <f>'Inputs and eligible population'!H107</f>
        <v>7.5</v>
      </c>
      <c r="D164" s="128">
        <f>('Financial impact (cash)'!D17+'Financial impact (cash)'!D26)*$C164</f>
        <v>327466.26406885055</v>
      </c>
      <c r="E164" s="128">
        <f>('Financial impact (cash)'!E17+'Financial impact (cash)'!E26)*$C164</f>
        <v>304956.43188683415</v>
      </c>
      <c r="F164" s="128">
        <f>('Financial impact (cash)'!F17+'Financial impact (cash)'!F26)*$C164</f>
        <v>274666.85808277002</v>
      </c>
      <c r="G164" s="128">
        <f>('Financial impact (cash)'!G17+'Financial impact (cash)'!G26)*$C164</f>
        <v>257034.40543571912</v>
      </c>
      <c r="H164" s="128">
        <f>('Financial impact (cash)'!H17+'Financial impact (cash)'!H26)*$C164</f>
        <v>240404.38599665606</v>
      </c>
      <c r="I164" s="128">
        <f>('Financial impact (cash)'!I17+'Financial impact (cash)'!I26)*$C164</f>
        <v>228492.19277876132</v>
      </c>
      <c r="J164" s="290"/>
      <c r="K164" s="290"/>
      <c r="L164" s="290"/>
      <c r="M164" s="290"/>
      <c r="N164" s="290"/>
      <c r="O164" s="290"/>
      <c r="P164" s="290"/>
      <c r="Q164" s="225"/>
      <c r="R164" s="133"/>
      <c r="S164" s="133"/>
      <c r="T164" s="133"/>
      <c r="U164" s="133"/>
      <c r="V164" s="133"/>
      <c r="W164" s="133"/>
      <c r="X164" s="133"/>
      <c r="Y164" s="133"/>
      <c r="Z164" s="133"/>
      <c r="AJ164" s="286"/>
      <c r="AK164" s="286"/>
      <c r="AL164" s="286"/>
      <c r="AM164" s="286"/>
      <c r="AN164" s="286"/>
    </row>
    <row r="165" spans="1:40">
      <c r="A165" s="290"/>
      <c r="B165" s="351" t="s">
        <v>1083</v>
      </c>
      <c r="C165" s="677">
        <f>'Inputs and eligible population'!I107</f>
        <v>7.5</v>
      </c>
      <c r="D165" s="128">
        <f>('Financial impact (cash)'!D18+'Financial impact (cash)'!D27)*$C165</f>
        <v>209214.55759954342</v>
      </c>
      <c r="E165" s="128">
        <f>('Financial impact (cash)'!E18+'Financial impact (cash)'!E27)*$C165</f>
        <v>198125.2639852158</v>
      </c>
      <c r="F165" s="128">
        <f>('Financial impact (cash)'!F18+'Financial impact (cash)'!F27)*$C165</f>
        <v>183313.3189365768</v>
      </c>
      <c r="G165" s="128">
        <f>('Financial impact (cash)'!G18+'Financial impact (cash)'!G27)*$C165</f>
        <v>171922.36845419256</v>
      </c>
      <c r="H165" s="128">
        <f>('Financial impact (cash)'!H18+'Financial impact (cash)'!H27)*$C165</f>
        <v>158068.62445249839</v>
      </c>
      <c r="I165" s="128">
        <f>('Financial impact (cash)'!I18+'Financial impact (cash)'!I27)*$C165</f>
        <v>148866.50054943355</v>
      </c>
      <c r="J165" s="290"/>
      <c r="K165" s="290"/>
      <c r="L165" s="290"/>
      <c r="M165" s="290"/>
      <c r="N165" s="290"/>
      <c r="O165" s="290"/>
      <c r="P165" s="290"/>
      <c r="Q165" s="225"/>
      <c r="R165" s="133"/>
      <c r="S165" s="133"/>
      <c r="T165" s="133"/>
      <c r="U165" s="133"/>
      <c r="V165" s="133"/>
      <c r="W165" s="133"/>
      <c r="X165" s="133"/>
      <c r="Y165" s="133"/>
      <c r="Z165" s="133"/>
      <c r="AJ165" s="286"/>
      <c r="AK165" s="286"/>
      <c r="AL165" s="286"/>
      <c r="AM165" s="286"/>
      <c r="AN165" s="286"/>
    </row>
    <row r="166" spans="1:40">
      <c r="A166" s="290"/>
      <c r="B166" s="351" t="s">
        <v>1084</v>
      </c>
      <c r="C166" s="677">
        <f>'Inputs and eligible population'!J107</f>
        <v>7.5</v>
      </c>
      <c r="D166" s="128">
        <f>('Financial impact (cash)'!D19+'Financial impact (cash)'!D28)*$C166</f>
        <v>69738.185866514454</v>
      </c>
      <c r="E166" s="128">
        <f>('Financial impact (cash)'!E19+'Financial impact (cash)'!E28)*$C166</f>
        <v>66523.509011619011</v>
      </c>
      <c r="F166" s="128">
        <f>('Financial impact (cash)'!F19+'Financial impact (cash)'!F28)*$C166</f>
        <v>63531.791325673534</v>
      </c>
      <c r="G166" s="128">
        <f>('Financial impact (cash)'!G19+'Financial impact (cash)'!G28)*$C166</f>
        <v>63285.781435645797</v>
      </c>
      <c r="H166" s="128">
        <f>('Financial impact (cash)'!H19+'Financial impact (cash)'!H28)*$C166</f>
        <v>63092.230643131319</v>
      </c>
      <c r="I166" s="128">
        <f>('Financial impact (cash)'!I19+'Financial impact (cash)'!I28)*$C166</f>
        <v>62951.64474864809</v>
      </c>
      <c r="J166" s="290"/>
      <c r="K166" s="290"/>
      <c r="L166" s="290"/>
      <c r="M166" s="290"/>
      <c r="N166" s="290"/>
      <c r="O166" s="290"/>
      <c r="P166" s="290"/>
      <c r="Q166" s="225"/>
      <c r="R166" s="133"/>
      <c r="S166" s="133"/>
      <c r="T166" s="133"/>
      <c r="U166" s="133"/>
      <c r="V166" s="133"/>
      <c r="W166" s="133"/>
      <c r="X166" s="133"/>
      <c r="Y166" s="133"/>
      <c r="Z166" s="133"/>
      <c r="AJ166" s="286"/>
      <c r="AK166" s="286"/>
      <c r="AL166" s="286"/>
      <c r="AM166" s="286"/>
      <c r="AN166" s="286"/>
    </row>
    <row r="167" spans="1:40">
      <c r="A167" s="290"/>
      <c r="B167" s="351" t="s">
        <v>1085</v>
      </c>
      <c r="C167" s="677">
        <f>'Inputs and eligible population'!K107</f>
        <v>7.5</v>
      </c>
      <c r="D167" s="128">
        <f>('Financial impact (cash)'!D20+'Financial impact (cash)'!D29)*$C167</f>
        <v>113703.5639127953</v>
      </c>
      <c r="E167" s="128">
        <f>('Financial impact (cash)'!E20+'Financial impact (cash)'!E29)*$C167</f>
        <v>114117.62010449682</v>
      </c>
      <c r="F167" s="128">
        <f>('Financial impact (cash)'!F20+'Financial impact (cash)'!F29)*$C167</f>
        <v>114949.7247379795</v>
      </c>
      <c r="G167" s="128">
        <f>('Financial impact (cash)'!G20+'Financial impact (cash)'!G29)*$C167</f>
        <v>115879.25086006361</v>
      </c>
      <c r="H167" s="128">
        <f>('Financial impact (cash)'!H20+'Financial impact (cash)'!H29)*$C167</f>
        <v>113932.19326291951</v>
      </c>
      <c r="I167" s="128">
        <f>('Financial impact (cash)'!I20+'Financial impact (cash)'!I29)*$C167</f>
        <v>112055.76100723811</v>
      </c>
      <c r="J167" s="290"/>
      <c r="K167" s="290"/>
      <c r="L167" s="290"/>
      <c r="M167" s="290"/>
      <c r="N167" s="290"/>
      <c r="O167" s="290"/>
      <c r="P167" s="290"/>
      <c r="Q167" s="225"/>
      <c r="R167" s="133"/>
      <c r="S167" s="133"/>
      <c r="T167" s="133"/>
      <c r="U167" s="133"/>
      <c r="V167" s="133"/>
      <c r="W167" s="133"/>
      <c r="X167" s="133"/>
      <c r="Y167" s="133"/>
      <c r="Z167" s="133"/>
      <c r="AJ167" s="286"/>
      <c r="AK167" s="286"/>
      <c r="AL167" s="286"/>
      <c r="AM167" s="286"/>
      <c r="AN167" s="286"/>
    </row>
    <row r="168" spans="1:40">
      <c r="A168" s="290"/>
      <c r="B168" s="283"/>
      <c r="C168" s="209"/>
      <c r="D168" s="187">
        <f>SUM(D162:D167)</f>
        <v>758023.75941863551</v>
      </c>
      <c r="E168" s="187">
        <f t="shared" ref="E168:I168" si="63">SUM(E162:E167)</f>
        <v>760784.13402997889</v>
      </c>
      <c r="F168" s="187">
        <f t="shared" si="63"/>
        <v>766331.49825319683</v>
      </c>
      <c r="G168" s="187">
        <f t="shared" si="63"/>
        <v>772528.33906709077</v>
      </c>
      <c r="H168" s="187">
        <f t="shared" si="63"/>
        <v>779380.91859990079</v>
      </c>
      <c r="I168" s="187">
        <f t="shared" si="63"/>
        <v>786895.55935810087</v>
      </c>
      <c r="J168" s="290"/>
      <c r="K168" s="290"/>
      <c r="L168" s="290"/>
      <c r="M168" s="290"/>
      <c r="N168" s="290"/>
      <c r="O168" s="290"/>
      <c r="P168" s="290"/>
      <c r="Q168" s="225"/>
      <c r="R168" s="133"/>
      <c r="S168" s="133"/>
      <c r="T168" s="133"/>
      <c r="U168" s="133"/>
      <c r="V168" s="133"/>
      <c r="W168" s="133"/>
      <c r="X168" s="133"/>
      <c r="Y168" s="133"/>
      <c r="Z168" s="133"/>
      <c r="AJ168" s="286"/>
      <c r="AK168" s="286"/>
      <c r="AL168" s="286"/>
      <c r="AM168" s="286"/>
      <c r="AN168" s="286"/>
    </row>
    <row r="169" spans="1:40">
      <c r="A169" s="290"/>
      <c r="B169" s="306"/>
      <c r="C169" s="259"/>
      <c r="D169" s="285" t="s">
        <v>1027</v>
      </c>
      <c r="E169" s="187">
        <f>E168-$D$168</f>
        <v>2760.3746113433735</v>
      </c>
      <c r="F169" s="187">
        <f>F168-$D$168</f>
        <v>8307.7388345613144</v>
      </c>
      <c r="G169" s="187">
        <f>G168-$D$168</f>
        <v>14504.579648455256</v>
      </c>
      <c r="H169" s="187">
        <f>H168-$D$168</f>
        <v>21357.159181265277</v>
      </c>
      <c r="I169" s="187">
        <f>I168-$D$168</f>
        <v>28871.79993946536</v>
      </c>
      <c r="J169" s="290"/>
      <c r="K169" s="290"/>
      <c r="L169" s="290"/>
      <c r="M169" s="290"/>
      <c r="N169" s="290"/>
      <c r="O169" s="290"/>
      <c r="P169" s="290"/>
      <c r="Q169" s="225"/>
      <c r="V169" s="133"/>
    </row>
    <row r="170" spans="1:40">
      <c r="A170" s="290"/>
      <c r="B170" s="329"/>
      <c r="C170" s="225"/>
      <c r="D170" s="225"/>
      <c r="E170" s="225"/>
      <c r="F170" s="225"/>
      <c r="G170" s="225"/>
      <c r="H170" s="225"/>
      <c r="I170" s="225"/>
      <c r="J170" s="290"/>
      <c r="K170" s="290"/>
      <c r="L170" s="290"/>
      <c r="M170" s="290"/>
      <c r="N170" s="290"/>
      <c r="O170" s="290"/>
      <c r="P170" s="290"/>
      <c r="Q170" s="225"/>
      <c r="V170" s="133"/>
    </row>
    <row r="171" spans="1:40">
      <c r="A171" s="290"/>
      <c r="B171" s="400" t="s">
        <v>1126</v>
      </c>
      <c r="C171" s="401"/>
      <c r="D171" s="401"/>
      <c r="E171" s="401"/>
      <c r="F171" s="401"/>
      <c r="G171" s="401"/>
      <c r="H171" s="401"/>
      <c r="I171" s="224"/>
      <c r="J171" s="290"/>
      <c r="K171" s="290"/>
      <c r="L171" s="290"/>
      <c r="M171" s="290"/>
      <c r="N171" s="290"/>
      <c r="O171" s="290"/>
      <c r="P171" s="290"/>
      <c r="Q171" s="225"/>
      <c r="R171" s="133"/>
      <c r="S171" s="133"/>
      <c r="T171" s="133"/>
      <c r="U171" s="133"/>
      <c r="V171" s="133"/>
      <c r="W171" s="133"/>
      <c r="X171" s="133"/>
      <c r="Y171" s="133"/>
      <c r="Z171" s="133"/>
      <c r="AJ171" s="286"/>
      <c r="AK171" s="286"/>
      <c r="AL171" s="286"/>
      <c r="AM171" s="286"/>
      <c r="AN171" s="286"/>
    </row>
    <row r="172" spans="1:40" ht="43.5">
      <c r="A172" s="290"/>
      <c r="B172" s="279" t="s">
        <v>123</v>
      </c>
      <c r="C172" s="166" t="s">
        <v>1126</v>
      </c>
      <c r="D172" s="425" t="s">
        <v>730</v>
      </c>
      <c r="E172" s="258" t="s">
        <v>50</v>
      </c>
      <c r="F172" s="258" t="s">
        <v>51</v>
      </c>
      <c r="G172" s="165" t="s">
        <v>731</v>
      </c>
      <c r="H172" s="165" t="s">
        <v>732</v>
      </c>
      <c r="I172" s="258" t="s">
        <v>733</v>
      </c>
      <c r="J172" s="290"/>
      <c r="K172" s="290"/>
      <c r="L172" s="290"/>
      <c r="M172" s="290"/>
      <c r="N172" s="290"/>
      <c r="O172" s="290"/>
      <c r="P172" s="290"/>
      <c r="Q172" s="225"/>
      <c r="R172" s="133"/>
      <c r="S172" s="133"/>
      <c r="T172" s="133"/>
      <c r="U172" s="133"/>
      <c r="V172" s="133"/>
      <c r="W172" s="133"/>
      <c r="X172" s="133"/>
      <c r="Y172" s="133"/>
      <c r="Z172" s="133"/>
      <c r="AJ172" s="286"/>
      <c r="AK172" s="286"/>
      <c r="AL172" s="286"/>
      <c r="AM172" s="286"/>
      <c r="AN172" s="286"/>
    </row>
    <row r="173" spans="1:40">
      <c r="A173" s="290"/>
      <c r="B173" s="351" t="s">
        <v>1080</v>
      </c>
      <c r="C173" s="677">
        <f>'Inputs and eligible population'!F109</f>
        <v>2</v>
      </c>
      <c r="D173" s="128">
        <f>('Financial impact (cash)'!D15+'Financial impact (cash)'!D24)*$C173</f>
        <v>0</v>
      </c>
      <c r="E173" s="128">
        <f>('Financial impact (cash)'!E15+'Financial impact (cash)'!E24)*$C173</f>
        <v>11562.104397130119</v>
      </c>
      <c r="F173" s="128">
        <f>('Financial impact (cash)'!F15+'Financial impact (cash)'!F24)*$C173</f>
        <v>27126.883039270244</v>
      </c>
      <c r="G173" s="128">
        <f>('Financial impact (cash)'!G15+'Financial impact (cash)'!G24)*$C173</f>
        <v>37704.706142803385</v>
      </c>
      <c r="H173" s="128">
        <f>('Financial impact (cash)'!H15+'Financial impact (cash)'!H24)*$C173</f>
        <v>49300.060924013822</v>
      </c>
      <c r="I173" s="128">
        <f>('Financial impact (cash)'!I15+'Financial impact (cash)'!I24)*$C173</f>
        <v>57926.747884549448</v>
      </c>
      <c r="J173" s="290"/>
      <c r="K173" s="290"/>
      <c r="L173" s="290"/>
      <c r="M173" s="290"/>
      <c r="N173" s="290"/>
      <c r="O173" s="290"/>
      <c r="P173" s="290"/>
      <c r="Q173" s="225"/>
      <c r="R173" s="133"/>
      <c r="S173" s="133"/>
      <c r="T173" s="133"/>
      <c r="U173" s="133"/>
      <c r="V173" s="133"/>
      <c r="W173" s="133"/>
      <c r="X173" s="133"/>
      <c r="Y173" s="133"/>
      <c r="Z173" s="133"/>
      <c r="AJ173" s="286"/>
      <c r="AK173" s="286"/>
      <c r="AL173" s="286"/>
      <c r="AM173" s="286"/>
      <c r="AN173" s="286"/>
    </row>
    <row r="174" spans="1:40">
      <c r="A174" s="290"/>
      <c r="B174" s="351" t="s">
        <v>1081</v>
      </c>
      <c r="C174" s="677">
        <f>'Inputs and eligible population'!G109</f>
        <v>2</v>
      </c>
      <c r="D174" s="128">
        <f>('Financial impact (cash)'!D16+'Financial impact (cash)'!D25)*$C174</f>
        <v>10106.98345891514</v>
      </c>
      <c r="E174" s="128">
        <f>('Financial impact (cash)'!E16+'Financial impact (cash)'!E25)*$C174</f>
        <v>8987.5780140200404</v>
      </c>
      <c r="F174" s="128">
        <f>('Financial impact (cash)'!F16+'Financial impact (cash)'!F25)*$C174</f>
        <v>7505.0650061155993</v>
      </c>
      <c r="G174" s="128">
        <f>('Financial impact (cash)'!G16+'Financial impact (cash)'!G25)*$C174</f>
        <v>6137.0359589218806</v>
      </c>
      <c r="H174" s="128">
        <f>('Financial impact (cash)'!H16+'Financial impact (cash)'!H25)*$C174</f>
        <v>5068.8682079049695</v>
      </c>
      <c r="I174" s="128">
        <f>('Financial impact (cash)'!I16+'Financial impact (cash)'!I25)*$C174</f>
        <v>4614.4415218558606</v>
      </c>
      <c r="J174" s="290"/>
      <c r="K174" s="290"/>
      <c r="L174" s="290"/>
      <c r="M174" s="290"/>
      <c r="N174" s="290"/>
      <c r="O174" s="290"/>
      <c r="P174" s="290"/>
      <c r="Q174" s="225"/>
      <c r="R174" s="133"/>
      <c r="S174" s="133"/>
      <c r="T174" s="133"/>
      <c r="U174" s="133"/>
      <c r="V174" s="133"/>
      <c r="W174" s="133"/>
      <c r="X174" s="133"/>
      <c r="Y174" s="133"/>
      <c r="Z174" s="133"/>
      <c r="AJ174" s="286"/>
      <c r="AK174" s="286"/>
      <c r="AL174" s="286"/>
      <c r="AM174" s="286"/>
      <c r="AN174" s="286"/>
    </row>
    <row r="175" spans="1:40">
      <c r="A175" s="290"/>
      <c r="B175" s="351" t="s">
        <v>1082</v>
      </c>
      <c r="C175" s="677">
        <f>'Inputs and eligible population'!H109</f>
        <v>2</v>
      </c>
      <c r="D175" s="128">
        <f>('Financial impact (cash)'!D17+'Financial impact (cash)'!D26)*$C175</f>
        <v>87324.337085026811</v>
      </c>
      <c r="E175" s="128">
        <f>('Financial impact (cash)'!E17+'Financial impact (cash)'!E26)*$C175</f>
        <v>81321.715169822433</v>
      </c>
      <c r="F175" s="128">
        <f>('Financial impact (cash)'!F17+'Financial impact (cash)'!F26)*$C175</f>
        <v>73244.49548873867</v>
      </c>
      <c r="G175" s="128">
        <f>('Financial impact (cash)'!G17+'Financial impact (cash)'!G26)*$C175</f>
        <v>68542.508116191762</v>
      </c>
      <c r="H175" s="128">
        <f>('Financial impact (cash)'!H17+'Financial impact (cash)'!H26)*$C175</f>
        <v>64107.836265774946</v>
      </c>
      <c r="I175" s="128">
        <f>('Financial impact (cash)'!I17+'Financial impact (cash)'!I26)*$C175</f>
        <v>60931.251407669683</v>
      </c>
      <c r="J175" s="290"/>
      <c r="K175" s="290"/>
      <c r="L175" s="290"/>
      <c r="M175" s="290"/>
      <c r="N175" s="290"/>
      <c r="O175" s="290"/>
      <c r="P175" s="290"/>
      <c r="Q175" s="225"/>
      <c r="R175" s="133"/>
      <c r="S175" s="133"/>
      <c r="T175" s="133"/>
      <c r="U175" s="133"/>
      <c r="V175" s="133"/>
      <c r="W175" s="133"/>
      <c r="X175" s="133"/>
      <c r="Y175" s="133"/>
      <c r="Z175" s="133"/>
      <c r="AJ175" s="286"/>
      <c r="AK175" s="286"/>
      <c r="AL175" s="286"/>
      <c r="AM175" s="286"/>
      <c r="AN175" s="286"/>
    </row>
    <row r="176" spans="1:40">
      <c r="A176" s="290"/>
      <c r="B176" s="351" t="s">
        <v>1083</v>
      </c>
      <c r="C176" s="677">
        <f>'Inputs and eligible population'!I109</f>
        <v>2</v>
      </c>
      <c r="D176" s="128">
        <f>('Financial impact (cash)'!D18+'Financial impact (cash)'!D27)*$C176</f>
        <v>55790.548693211575</v>
      </c>
      <c r="E176" s="128">
        <f>('Financial impact (cash)'!E18+'Financial impact (cash)'!E27)*$C176</f>
        <v>52833.403729390877</v>
      </c>
      <c r="F176" s="128">
        <f>('Financial impact (cash)'!F18+'Financial impact (cash)'!F27)*$C176</f>
        <v>48883.551716420479</v>
      </c>
      <c r="G176" s="128">
        <f>('Financial impact (cash)'!G18+'Financial impact (cash)'!G27)*$C176</f>
        <v>45845.964921118015</v>
      </c>
      <c r="H176" s="128">
        <f>('Financial impact (cash)'!H18+'Financial impact (cash)'!H27)*$C176</f>
        <v>42151.633187332904</v>
      </c>
      <c r="I176" s="128">
        <f>('Financial impact (cash)'!I18+'Financial impact (cash)'!I27)*$C176</f>
        <v>39697.733479848946</v>
      </c>
      <c r="J176" s="290"/>
      <c r="K176" s="290"/>
      <c r="L176" s="290"/>
      <c r="M176" s="290"/>
      <c r="N176" s="290"/>
      <c r="O176" s="290"/>
      <c r="P176" s="290"/>
      <c r="Q176" s="225"/>
      <c r="R176" s="133"/>
      <c r="S176" s="133"/>
      <c r="T176" s="133"/>
      <c r="U176" s="133"/>
      <c r="V176" s="133"/>
      <c r="W176" s="133"/>
      <c r="X176" s="133"/>
      <c r="Y176" s="133"/>
      <c r="Z176" s="133"/>
      <c r="AJ176" s="286"/>
      <c r="AK176" s="286"/>
      <c r="AL176" s="286"/>
      <c r="AM176" s="286"/>
      <c r="AN176" s="286"/>
    </row>
    <row r="177" spans="1:40">
      <c r="A177" s="290"/>
      <c r="B177" s="351" t="s">
        <v>1084</v>
      </c>
      <c r="C177" s="677">
        <f>'Inputs and eligible population'!J109</f>
        <v>2</v>
      </c>
      <c r="D177" s="128">
        <f>('Financial impact (cash)'!D19+'Financial impact (cash)'!D28)*$C177</f>
        <v>18596.849564403856</v>
      </c>
      <c r="E177" s="128">
        <f>('Financial impact (cash)'!E19+'Financial impact (cash)'!E28)*$C177</f>
        <v>17739.602403098404</v>
      </c>
      <c r="F177" s="128">
        <f>('Financial impact (cash)'!F19+'Financial impact (cash)'!F28)*$C177</f>
        <v>16941.811020179608</v>
      </c>
      <c r="G177" s="128">
        <f>('Financial impact (cash)'!G19+'Financial impact (cash)'!G28)*$C177</f>
        <v>16876.208382838879</v>
      </c>
      <c r="H177" s="128">
        <f>('Financial impact (cash)'!H19+'Financial impact (cash)'!H28)*$C177</f>
        <v>16824.594838168352</v>
      </c>
      <c r="I177" s="128">
        <f>('Financial impact (cash)'!I19+'Financial impact (cash)'!I28)*$C177</f>
        <v>16787.105266306156</v>
      </c>
      <c r="J177" s="290"/>
      <c r="K177" s="290"/>
      <c r="L177" s="290"/>
      <c r="M177" s="290"/>
      <c r="N177" s="290"/>
      <c r="O177" s="290"/>
      <c r="P177" s="290"/>
      <c r="Q177" s="225"/>
      <c r="R177" s="133"/>
      <c r="S177" s="133"/>
      <c r="T177" s="133"/>
      <c r="U177" s="133"/>
      <c r="V177" s="133"/>
      <c r="W177" s="133"/>
      <c r="X177" s="133"/>
      <c r="Y177" s="133"/>
      <c r="Z177" s="133"/>
      <c r="AJ177" s="286"/>
      <c r="AK177" s="286"/>
      <c r="AL177" s="286"/>
      <c r="AM177" s="286"/>
      <c r="AN177" s="286"/>
    </row>
    <row r="178" spans="1:40">
      <c r="A178" s="290"/>
      <c r="B178" s="351" t="s">
        <v>1085</v>
      </c>
      <c r="C178" s="677">
        <f>'Inputs and eligible population'!K109</f>
        <v>2</v>
      </c>
      <c r="D178" s="128">
        <f>('Financial impact (cash)'!D20+'Financial impact (cash)'!D29)*$C178</f>
        <v>30320.950376745415</v>
      </c>
      <c r="E178" s="128">
        <f>('Financial impact (cash)'!E20+'Financial impact (cash)'!E29)*$C178</f>
        <v>30431.36536119915</v>
      </c>
      <c r="F178" s="128">
        <f>('Financial impact (cash)'!F20+'Financial impact (cash)'!F29)*$C178</f>
        <v>30653.259930127868</v>
      </c>
      <c r="G178" s="128">
        <f>('Financial impact (cash)'!G20+'Financial impact (cash)'!G29)*$C178</f>
        <v>30901.13356268363</v>
      </c>
      <c r="H178" s="128">
        <f>('Financial impact (cash)'!H20+'Financial impact (cash)'!H29)*$C178</f>
        <v>30381.918203445202</v>
      </c>
      <c r="I178" s="128">
        <f>('Financial impact (cash)'!I20+'Financial impact (cash)'!I29)*$C178</f>
        <v>29881.536268596828</v>
      </c>
      <c r="J178" s="290"/>
      <c r="K178" s="290"/>
      <c r="L178" s="290"/>
      <c r="M178" s="290"/>
      <c r="N178" s="290"/>
      <c r="O178" s="290"/>
      <c r="P178" s="290"/>
      <c r="Q178" s="225"/>
      <c r="R178" s="133"/>
      <c r="S178" s="133"/>
      <c r="T178" s="133"/>
      <c r="U178" s="133"/>
      <c r="V178" s="133"/>
      <c r="W178" s="133"/>
      <c r="X178" s="133"/>
      <c r="Y178" s="133"/>
      <c r="Z178" s="133"/>
      <c r="AJ178" s="286"/>
      <c r="AK178" s="286"/>
      <c r="AL178" s="286"/>
      <c r="AM178" s="286"/>
      <c r="AN178" s="286"/>
    </row>
    <row r="179" spans="1:40">
      <c r="A179" s="290"/>
      <c r="B179" s="283"/>
      <c r="C179" s="209"/>
      <c r="D179" s="187">
        <f>SUM(D173:D178)</f>
        <v>202139.66917830281</v>
      </c>
      <c r="E179" s="187">
        <f t="shared" ref="E179:I179" si="64">SUM(E173:E178)</f>
        <v>202875.76907466102</v>
      </c>
      <c r="F179" s="187">
        <f t="shared" si="64"/>
        <v>204355.06620085245</v>
      </c>
      <c r="G179" s="187">
        <f t="shared" si="64"/>
        <v>206007.55708455754</v>
      </c>
      <c r="H179" s="187">
        <f t="shared" si="64"/>
        <v>207834.91162664018</v>
      </c>
      <c r="I179" s="187">
        <f t="shared" si="64"/>
        <v>209838.81582882692</v>
      </c>
      <c r="J179" s="290"/>
      <c r="K179" s="290"/>
      <c r="L179" s="290"/>
      <c r="M179" s="290"/>
      <c r="N179" s="290"/>
      <c r="O179" s="290"/>
      <c r="P179" s="290"/>
      <c r="Q179" s="225"/>
      <c r="R179" s="133"/>
      <c r="S179" s="133"/>
      <c r="T179" s="133"/>
      <c r="U179" s="133"/>
      <c r="V179" s="133"/>
      <c r="W179" s="133"/>
      <c r="X179" s="133"/>
      <c r="Y179" s="133"/>
      <c r="Z179" s="133"/>
      <c r="AJ179" s="286"/>
      <c r="AK179" s="286"/>
      <c r="AL179" s="286"/>
      <c r="AM179" s="286"/>
      <c r="AN179" s="286"/>
    </row>
    <row r="180" spans="1:40">
      <c r="A180" s="290"/>
      <c r="B180" s="306"/>
      <c r="C180" s="259"/>
      <c r="D180" s="285" t="s">
        <v>1127</v>
      </c>
      <c r="E180" s="187">
        <f>E179-$D$179</f>
        <v>736.09989635820966</v>
      </c>
      <c r="F180" s="187">
        <f t="shared" ref="F180:I180" si="65">F179-$D$179</f>
        <v>2215.397022549645</v>
      </c>
      <c r="G180" s="187">
        <f t="shared" si="65"/>
        <v>3867.8879062547348</v>
      </c>
      <c r="H180" s="187">
        <f t="shared" si="65"/>
        <v>5695.2424483373761</v>
      </c>
      <c r="I180" s="187">
        <f t="shared" si="65"/>
        <v>7699.1466505241115</v>
      </c>
      <c r="J180" s="290"/>
      <c r="K180" s="290"/>
      <c r="L180" s="290"/>
      <c r="M180" s="290"/>
      <c r="N180" s="290"/>
      <c r="O180" s="290"/>
      <c r="P180" s="290"/>
      <c r="Q180" s="225"/>
      <c r="V180" s="133"/>
    </row>
    <row r="181" spans="1:40">
      <c r="A181" s="290"/>
      <c r="B181" s="329"/>
      <c r="C181" s="225"/>
      <c r="D181" s="225"/>
      <c r="E181" s="225"/>
      <c r="F181" s="225"/>
      <c r="G181" s="225"/>
      <c r="H181" s="225"/>
      <c r="I181" s="225"/>
      <c r="J181" s="290"/>
      <c r="K181" s="290"/>
      <c r="L181" s="290"/>
      <c r="M181" s="290"/>
      <c r="N181" s="290"/>
      <c r="O181" s="290"/>
      <c r="P181" s="290"/>
      <c r="Q181" s="225"/>
      <c r="V181" s="133"/>
    </row>
    <row r="182" spans="1:40">
      <c r="A182" s="290"/>
      <c r="B182" s="400" t="s">
        <v>1128</v>
      </c>
      <c r="C182" s="401"/>
      <c r="D182" s="401"/>
      <c r="E182" s="401"/>
      <c r="F182" s="401"/>
      <c r="G182" s="401"/>
      <c r="H182" s="401"/>
      <c r="I182" s="224"/>
      <c r="J182" s="290"/>
      <c r="K182" s="290"/>
      <c r="L182" s="290"/>
      <c r="M182" s="290"/>
      <c r="N182" s="290"/>
      <c r="O182" s="290"/>
      <c r="P182" s="290"/>
      <c r="Q182" s="225"/>
      <c r="V182" s="133"/>
    </row>
    <row r="183" spans="1:40" ht="43.5">
      <c r="A183" s="290"/>
      <c r="B183" s="279" t="s">
        <v>123</v>
      </c>
      <c r="C183" s="166" t="s">
        <v>1128</v>
      </c>
      <c r="D183" s="425" t="s">
        <v>730</v>
      </c>
      <c r="E183" s="258" t="s">
        <v>50</v>
      </c>
      <c r="F183" s="258" t="s">
        <v>51</v>
      </c>
      <c r="G183" s="165" t="s">
        <v>731</v>
      </c>
      <c r="H183" s="165" t="s">
        <v>732</v>
      </c>
      <c r="I183" s="258" t="s">
        <v>733</v>
      </c>
      <c r="J183" s="290"/>
      <c r="K183" s="290"/>
      <c r="L183" s="290"/>
      <c r="M183" s="290"/>
      <c r="N183" s="290"/>
      <c r="O183" s="290"/>
      <c r="P183" s="290"/>
      <c r="Q183" s="225"/>
      <c r="V183" s="133"/>
    </row>
    <row r="184" spans="1:40">
      <c r="A184" s="290"/>
      <c r="B184" s="351" t="s">
        <v>1080</v>
      </c>
      <c r="C184" s="677">
        <f>'Inputs and eligible population'!F111</f>
        <v>7.5</v>
      </c>
      <c r="D184" s="128">
        <f>('Financial impact (cash)'!D15+'Financial impact (cash)'!D24)*$C184</f>
        <v>0</v>
      </c>
      <c r="E184" s="128">
        <f>('Financial impact (cash)'!E15+'Financial impact (cash)'!E24)*$C184</f>
        <v>43357.891489237947</v>
      </c>
      <c r="F184" s="128">
        <f>('Financial impact (cash)'!F15+'Financial impact (cash)'!F24)*$C184</f>
        <v>101725.81139726342</v>
      </c>
      <c r="G184" s="128">
        <f>('Financial impact (cash)'!G15+'Financial impact (cash)'!G24)*$C184</f>
        <v>141392.64803551268</v>
      </c>
      <c r="H184" s="128">
        <f>('Financial impact (cash)'!H15+'Financial impact (cash)'!H24)*$C184</f>
        <v>184875.22846505183</v>
      </c>
      <c r="I184" s="128">
        <f>('Financial impact (cash)'!I15+'Financial impact (cash)'!I24)*$C184</f>
        <v>217225.30456706043</v>
      </c>
      <c r="J184" s="290"/>
      <c r="K184" s="290"/>
      <c r="L184" s="290"/>
      <c r="M184" s="290"/>
      <c r="N184" s="290"/>
      <c r="O184" s="290"/>
      <c r="P184" s="290"/>
      <c r="Q184" s="225"/>
      <c r="V184" s="133"/>
    </row>
    <row r="185" spans="1:40">
      <c r="A185" s="290"/>
      <c r="B185" s="351" t="s">
        <v>1081</v>
      </c>
      <c r="C185" s="677">
        <f>'Inputs and eligible population'!G111</f>
        <v>7.5</v>
      </c>
      <c r="D185" s="128">
        <f>('Financial impact (cash)'!D16+'Financial impact (cash)'!D25)*$C185</f>
        <v>37901.187970931773</v>
      </c>
      <c r="E185" s="128">
        <f>('Financial impact (cash)'!E16+'Financial impact (cash)'!E25)*$C185</f>
        <v>33703.417552575149</v>
      </c>
      <c r="F185" s="128">
        <f>('Financial impact (cash)'!F16+'Financial impact (cash)'!F25)*$C185</f>
        <v>28143.993772933496</v>
      </c>
      <c r="G185" s="128">
        <f>('Financial impact (cash)'!G16+'Financial impact (cash)'!G25)*$C185</f>
        <v>23013.884845957051</v>
      </c>
      <c r="H185" s="128">
        <f>('Financial impact (cash)'!H16+'Financial impact (cash)'!H25)*$C185</f>
        <v>19008.255779643634</v>
      </c>
      <c r="I185" s="128">
        <f>('Financial impact (cash)'!I16+'Financial impact (cash)'!I25)*$C185</f>
        <v>17304.155706959478</v>
      </c>
      <c r="J185" s="290"/>
      <c r="K185" s="290"/>
      <c r="L185" s="290"/>
      <c r="M185" s="290"/>
      <c r="N185" s="290"/>
      <c r="O185" s="290"/>
      <c r="P185" s="290"/>
      <c r="Q185" s="225"/>
      <c r="V185" s="133"/>
    </row>
    <row r="186" spans="1:40">
      <c r="A186" s="290"/>
      <c r="B186" s="351" t="s">
        <v>1082</v>
      </c>
      <c r="C186" s="677">
        <f>'Inputs and eligible population'!H111</f>
        <v>7.5</v>
      </c>
      <c r="D186" s="128">
        <f>('Financial impact (cash)'!D17+'Financial impact (cash)'!D26)*$C186</f>
        <v>327466.26406885055</v>
      </c>
      <c r="E186" s="128">
        <f>('Financial impact (cash)'!E17+'Financial impact (cash)'!E26)*$C186</f>
        <v>304956.43188683415</v>
      </c>
      <c r="F186" s="128">
        <f>('Financial impact (cash)'!F17+'Financial impact (cash)'!F26)*$C186</f>
        <v>274666.85808277002</v>
      </c>
      <c r="G186" s="128">
        <f>('Financial impact (cash)'!G17+'Financial impact (cash)'!G26)*$C186</f>
        <v>257034.40543571912</v>
      </c>
      <c r="H186" s="128">
        <f>('Financial impact (cash)'!H17+'Financial impact (cash)'!H26)*$C186</f>
        <v>240404.38599665606</v>
      </c>
      <c r="I186" s="128">
        <f>('Financial impact (cash)'!I17+'Financial impact (cash)'!I26)*$C186</f>
        <v>228492.19277876132</v>
      </c>
      <c r="J186" s="290"/>
      <c r="K186" s="290"/>
      <c r="L186" s="290"/>
      <c r="M186" s="290"/>
      <c r="N186" s="290"/>
      <c r="O186" s="290"/>
      <c r="P186" s="290"/>
      <c r="Q186" s="225"/>
      <c r="V186" s="133"/>
    </row>
    <row r="187" spans="1:40">
      <c r="A187" s="290"/>
      <c r="B187" s="351" t="s">
        <v>1083</v>
      </c>
      <c r="C187" s="677">
        <f>'Inputs and eligible population'!I111</f>
        <v>7.5</v>
      </c>
      <c r="D187" s="128">
        <f>('Financial impact (cash)'!D18+'Financial impact (cash)'!D27)*$C187</f>
        <v>209214.55759954342</v>
      </c>
      <c r="E187" s="128">
        <f>('Financial impact (cash)'!E18+'Financial impact (cash)'!E27)*$C187</f>
        <v>198125.2639852158</v>
      </c>
      <c r="F187" s="128">
        <f>('Financial impact (cash)'!F18+'Financial impact (cash)'!F27)*$C187</f>
        <v>183313.3189365768</v>
      </c>
      <c r="G187" s="128">
        <f>('Financial impact (cash)'!G18+'Financial impact (cash)'!G27)*$C187</f>
        <v>171922.36845419256</v>
      </c>
      <c r="H187" s="128">
        <f>('Financial impact (cash)'!H18+'Financial impact (cash)'!H27)*$C187</f>
        <v>158068.62445249839</v>
      </c>
      <c r="I187" s="128">
        <f>('Financial impact (cash)'!I18+'Financial impact (cash)'!I27)*$C187</f>
        <v>148866.50054943355</v>
      </c>
      <c r="J187" s="290"/>
      <c r="K187" s="290"/>
      <c r="L187" s="290"/>
      <c r="M187" s="290"/>
      <c r="N187" s="290"/>
      <c r="O187" s="290"/>
      <c r="P187" s="290"/>
      <c r="Q187" s="225"/>
      <c r="V187" s="133"/>
    </row>
    <row r="188" spans="1:40">
      <c r="A188" s="290"/>
      <c r="B188" s="351" t="s">
        <v>1084</v>
      </c>
      <c r="C188" s="677">
        <f>'Inputs and eligible population'!J111</f>
        <v>7.5</v>
      </c>
      <c r="D188" s="128">
        <f>('Financial impact (cash)'!D19+'Financial impact (cash)'!D28)*$C188</f>
        <v>69738.185866514454</v>
      </c>
      <c r="E188" s="128">
        <f>('Financial impact (cash)'!E19+'Financial impact (cash)'!E28)*$C188</f>
        <v>66523.509011619011</v>
      </c>
      <c r="F188" s="128">
        <f>('Financial impact (cash)'!F19+'Financial impact (cash)'!F28)*$C188</f>
        <v>63531.791325673534</v>
      </c>
      <c r="G188" s="128">
        <f>('Financial impact (cash)'!G19+'Financial impact (cash)'!G28)*$C188</f>
        <v>63285.781435645797</v>
      </c>
      <c r="H188" s="128">
        <f>('Financial impact (cash)'!H19+'Financial impact (cash)'!H28)*$C188</f>
        <v>63092.230643131319</v>
      </c>
      <c r="I188" s="128">
        <f>('Financial impact (cash)'!I19+'Financial impact (cash)'!I28)*$C188</f>
        <v>62951.64474864809</v>
      </c>
      <c r="J188" s="290"/>
      <c r="K188" s="290"/>
      <c r="L188" s="290"/>
      <c r="M188" s="290"/>
      <c r="N188" s="290"/>
      <c r="O188" s="290"/>
      <c r="P188" s="290"/>
      <c r="Q188" s="225"/>
      <c r="V188" s="133"/>
    </row>
    <row r="189" spans="1:40">
      <c r="A189" s="290"/>
      <c r="B189" s="351" t="s">
        <v>1085</v>
      </c>
      <c r="C189" s="677">
        <f>'Inputs and eligible population'!K111</f>
        <v>7.5</v>
      </c>
      <c r="D189" s="128">
        <f>('Financial impact (cash)'!D20+'Financial impact (cash)'!D29)*$C189</f>
        <v>113703.5639127953</v>
      </c>
      <c r="E189" s="128">
        <f>('Financial impact (cash)'!E20+'Financial impact (cash)'!E29)*$C189</f>
        <v>114117.62010449682</v>
      </c>
      <c r="F189" s="128">
        <f>('Financial impact (cash)'!F20+'Financial impact (cash)'!F29)*$C189</f>
        <v>114949.7247379795</v>
      </c>
      <c r="G189" s="128">
        <f>('Financial impact (cash)'!G20+'Financial impact (cash)'!G29)*$C189</f>
        <v>115879.25086006361</v>
      </c>
      <c r="H189" s="128">
        <f>('Financial impact (cash)'!H20+'Financial impact (cash)'!H29)*$C189</f>
        <v>113932.19326291951</v>
      </c>
      <c r="I189" s="128">
        <f>('Financial impact (cash)'!I20+'Financial impact (cash)'!I29)*$C189</f>
        <v>112055.76100723811</v>
      </c>
      <c r="J189" s="290"/>
      <c r="K189" s="290"/>
      <c r="L189" s="290"/>
      <c r="M189" s="290"/>
      <c r="N189" s="290"/>
      <c r="O189" s="290"/>
      <c r="P189" s="290"/>
      <c r="Q189" s="225"/>
      <c r="V189" s="133"/>
    </row>
    <row r="190" spans="1:40">
      <c r="A190" s="290"/>
      <c r="B190" s="283"/>
      <c r="C190" s="209"/>
      <c r="D190" s="187">
        <f>SUM(D184:D189)</f>
        <v>758023.75941863551</v>
      </c>
      <c r="E190" s="187">
        <f t="shared" ref="E190:I190" si="66">SUM(E184:E189)</f>
        <v>760784.13402997889</v>
      </c>
      <c r="F190" s="187">
        <f t="shared" si="66"/>
        <v>766331.49825319683</v>
      </c>
      <c r="G190" s="187">
        <f t="shared" si="66"/>
        <v>772528.33906709077</v>
      </c>
      <c r="H190" s="187">
        <f t="shared" si="66"/>
        <v>779380.91859990079</v>
      </c>
      <c r="I190" s="187">
        <f t="shared" si="66"/>
        <v>786895.55935810087</v>
      </c>
      <c r="J190" s="290"/>
      <c r="K190" s="290"/>
      <c r="L190" s="290"/>
      <c r="M190" s="290"/>
      <c r="N190" s="290"/>
      <c r="O190" s="290"/>
      <c r="P190" s="290"/>
      <c r="Q190" s="225"/>
      <c r="V190" s="133"/>
    </row>
    <row r="191" spans="1:40">
      <c r="A191" s="290"/>
      <c r="B191" s="306"/>
      <c r="C191" s="259"/>
      <c r="D191" s="285" t="s">
        <v>1129</v>
      </c>
      <c r="E191" s="187">
        <f>E190-$D$168</f>
        <v>2760.3746113433735</v>
      </c>
      <c r="F191" s="187">
        <f>F190-$D$168</f>
        <v>8307.7388345613144</v>
      </c>
      <c r="G191" s="187">
        <f>G190-$D$168</f>
        <v>14504.579648455256</v>
      </c>
      <c r="H191" s="187">
        <f>H190-$D$168</f>
        <v>21357.159181265277</v>
      </c>
      <c r="I191" s="187">
        <f>I190-$D$168</f>
        <v>28871.79993946536</v>
      </c>
      <c r="J191" s="290"/>
      <c r="K191" s="290"/>
      <c r="L191" s="290"/>
      <c r="M191" s="290"/>
      <c r="N191" s="290"/>
      <c r="O191" s="290"/>
      <c r="P191" s="290"/>
      <c r="Q191" s="225"/>
      <c r="V191" s="133"/>
    </row>
    <row r="192" spans="1:40">
      <c r="A192" s="290"/>
      <c r="B192" s="329"/>
      <c r="C192" s="225"/>
      <c r="D192" s="225"/>
      <c r="E192" s="225"/>
      <c r="F192" s="225"/>
      <c r="G192" s="225"/>
      <c r="H192" s="225"/>
      <c r="I192" s="225"/>
      <c r="J192" s="290"/>
      <c r="K192" s="290"/>
      <c r="L192" s="290"/>
      <c r="M192" s="290"/>
      <c r="N192" s="290"/>
      <c r="O192" s="290"/>
      <c r="P192" s="290"/>
      <c r="Q192" s="225"/>
      <c r="V192" s="133"/>
    </row>
    <row r="193" spans="1:22">
      <c r="A193" s="290"/>
      <c r="B193" s="400" t="s">
        <v>1131</v>
      </c>
      <c r="C193" s="401"/>
      <c r="D193" s="401"/>
      <c r="E193" s="401"/>
      <c r="F193" s="401"/>
      <c r="G193" s="401"/>
      <c r="H193" s="401"/>
      <c r="I193" s="224"/>
      <c r="J193" s="290"/>
      <c r="K193" s="290"/>
      <c r="L193" s="290"/>
      <c r="M193" s="290"/>
      <c r="N193" s="290"/>
      <c r="O193" s="290"/>
      <c r="P193" s="290"/>
      <c r="Q193" s="225"/>
      <c r="V193" s="133"/>
    </row>
    <row r="194" spans="1:22" ht="43.5">
      <c r="A194" s="290"/>
      <c r="B194" s="279" t="s">
        <v>123</v>
      </c>
      <c r="C194" s="166" t="s">
        <v>1131</v>
      </c>
      <c r="D194" s="425" t="s">
        <v>730</v>
      </c>
      <c r="E194" s="258" t="s">
        <v>50</v>
      </c>
      <c r="F194" s="258" t="s">
        <v>51</v>
      </c>
      <c r="G194" s="165" t="s">
        <v>731</v>
      </c>
      <c r="H194" s="165" t="s">
        <v>732</v>
      </c>
      <c r="I194" s="258" t="s">
        <v>733</v>
      </c>
      <c r="J194" s="290"/>
      <c r="K194" s="290"/>
      <c r="L194" s="290"/>
      <c r="M194" s="290"/>
      <c r="N194" s="290"/>
      <c r="O194" s="290"/>
      <c r="P194" s="290"/>
      <c r="Q194" s="225"/>
      <c r="V194" s="133"/>
    </row>
    <row r="195" spans="1:22">
      <c r="A195" s="290"/>
      <c r="B195" s="351" t="s">
        <v>1080</v>
      </c>
      <c r="C195" s="677">
        <f>'Inputs and eligible population'!F113</f>
        <v>7.5</v>
      </c>
      <c r="D195" s="128">
        <f>('Financial impact (cash)'!D15+'Financial impact (cash)'!D24)*$C195</f>
        <v>0</v>
      </c>
      <c r="E195" s="128">
        <f>('Financial impact (cash)'!E15+'Financial impact (cash)'!E24)*$C195</f>
        <v>43357.891489237947</v>
      </c>
      <c r="F195" s="128">
        <f>('Financial impact (cash)'!F15+'Financial impact (cash)'!F24)*$C195</f>
        <v>101725.81139726342</v>
      </c>
      <c r="G195" s="128">
        <f>('Financial impact (cash)'!G15+'Financial impact (cash)'!G24)*$C195</f>
        <v>141392.64803551268</v>
      </c>
      <c r="H195" s="128">
        <f>('Financial impact (cash)'!H15+'Financial impact (cash)'!H24)*$C195</f>
        <v>184875.22846505183</v>
      </c>
      <c r="I195" s="128">
        <f>('Financial impact (cash)'!I15+'Financial impact (cash)'!I24)*$C195</f>
        <v>217225.30456706043</v>
      </c>
      <c r="J195" s="290"/>
      <c r="K195" s="290"/>
      <c r="L195" s="290"/>
      <c r="M195" s="290"/>
      <c r="N195" s="290"/>
      <c r="O195" s="290"/>
      <c r="P195" s="290"/>
      <c r="Q195" s="225"/>
      <c r="V195" s="133"/>
    </row>
    <row r="196" spans="1:22">
      <c r="A196" s="290"/>
      <c r="B196" s="351" t="s">
        <v>1081</v>
      </c>
      <c r="C196" s="677">
        <f>'Inputs and eligible population'!G113</f>
        <v>7.5</v>
      </c>
      <c r="D196" s="128">
        <f>('Financial impact (cash)'!D16+'Financial impact (cash)'!D25)*$C196</f>
        <v>37901.187970931773</v>
      </c>
      <c r="E196" s="128">
        <f>('Financial impact (cash)'!E16+'Financial impact (cash)'!E25)*$C196</f>
        <v>33703.417552575149</v>
      </c>
      <c r="F196" s="128">
        <f>('Financial impact (cash)'!F16+'Financial impact (cash)'!F25)*$C196</f>
        <v>28143.993772933496</v>
      </c>
      <c r="G196" s="128">
        <f>('Financial impact (cash)'!G16+'Financial impact (cash)'!G25)*$C196</f>
        <v>23013.884845957051</v>
      </c>
      <c r="H196" s="128">
        <f>('Financial impact (cash)'!H16+'Financial impact (cash)'!H25)*$C196</f>
        <v>19008.255779643634</v>
      </c>
      <c r="I196" s="128">
        <f>('Financial impact (cash)'!I16+'Financial impact (cash)'!I25)*$C196</f>
        <v>17304.155706959478</v>
      </c>
      <c r="J196" s="290"/>
      <c r="K196" s="290"/>
      <c r="L196" s="290"/>
      <c r="M196" s="290"/>
      <c r="N196" s="290"/>
      <c r="O196" s="290"/>
      <c r="P196" s="290"/>
      <c r="Q196" s="225"/>
      <c r="V196" s="133"/>
    </row>
    <row r="197" spans="1:22">
      <c r="A197" s="290"/>
      <c r="B197" s="351" t="s">
        <v>1082</v>
      </c>
      <c r="C197" s="677">
        <f>'Inputs and eligible population'!H113</f>
        <v>7.5</v>
      </c>
      <c r="D197" s="128">
        <f>('Financial impact (cash)'!D17+'Financial impact (cash)'!D26)*$C197</f>
        <v>327466.26406885055</v>
      </c>
      <c r="E197" s="128">
        <f>('Financial impact (cash)'!E17+'Financial impact (cash)'!E26)*$C197</f>
        <v>304956.43188683415</v>
      </c>
      <c r="F197" s="128">
        <f>('Financial impact (cash)'!F17+'Financial impact (cash)'!F26)*$C197</f>
        <v>274666.85808277002</v>
      </c>
      <c r="G197" s="128">
        <f>('Financial impact (cash)'!G17+'Financial impact (cash)'!G26)*$C197</f>
        <v>257034.40543571912</v>
      </c>
      <c r="H197" s="128">
        <f>('Financial impact (cash)'!H17+'Financial impact (cash)'!H26)*$C197</f>
        <v>240404.38599665606</v>
      </c>
      <c r="I197" s="128">
        <f>('Financial impact (cash)'!I17+'Financial impact (cash)'!I26)*$C197</f>
        <v>228492.19277876132</v>
      </c>
      <c r="J197" s="290"/>
      <c r="K197" s="290"/>
      <c r="L197" s="290"/>
      <c r="M197" s="290"/>
      <c r="N197" s="290"/>
      <c r="O197" s="290"/>
      <c r="P197" s="290"/>
      <c r="Q197" s="225"/>
      <c r="V197" s="133"/>
    </row>
    <row r="198" spans="1:22">
      <c r="A198" s="290"/>
      <c r="B198" s="351" t="s">
        <v>1083</v>
      </c>
      <c r="C198" s="677">
        <f>'Inputs and eligible population'!I113</f>
        <v>7.5</v>
      </c>
      <c r="D198" s="128">
        <f>('Financial impact (cash)'!D18+'Financial impact (cash)'!D27)*$C198</f>
        <v>209214.55759954342</v>
      </c>
      <c r="E198" s="128">
        <f>('Financial impact (cash)'!E18+'Financial impact (cash)'!E27)*$C198</f>
        <v>198125.2639852158</v>
      </c>
      <c r="F198" s="128">
        <f>('Financial impact (cash)'!F18+'Financial impact (cash)'!F27)*$C198</f>
        <v>183313.3189365768</v>
      </c>
      <c r="G198" s="128">
        <f>('Financial impact (cash)'!G18+'Financial impact (cash)'!G27)*$C198</f>
        <v>171922.36845419256</v>
      </c>
      <c r="H198" s="128">
        <f>('Financial impact (cash)'!H18+'Financial impact (cash)'!H27)*$C198</f>
        <v>158068.62445249839</v>
      </c>
      <c r="I198" s="128">
        <f>('Financial impact (cash)'!I18+'Financial impact (cash)'!I27)*$C198</f>
        <v>148866.50054943355</v>
      </c>
      <c r="J198" s="290"/>
      <c r="K198" s="290"/>
      <c r="L198" s="290"/>
      <c r="M198" s="290"/>
      <c r="N198" s="290"/>
      <c r="O198" s="290"/>
      <c r="P198" s="290"/>
      <c r="Q198" s="225"/>
      <c r="V198" s="133"/>
    </row>
    <row r="199" spans="1:22">
      <c r="A199" s="290"/>
      <c r="B199" s="351" t="s">
        <v>1084</v>
      </c>
      <c r="C199" s="677">
        <f>'Inputs and eligible population'!J113</f>
        <v>7.5</v>
      </c>
      <c r="D199" s="128">
        <f>('Financial impact (cash)'!D19+'Financial impact (cash)'!D28)*$C199</f>
        <v>69738.185866514454</v>
      </c>
      <c r="E199" s="128">
        <f>('Financial impact (cash)'!E19+'Financial impact (cash)'!E28)*$C199</f>
        <v>66523.509011619011</v>
      </c>
      <c r="F199" s="128">
        <f>('Financial impact (cash)'!F19+'Financial impact (cash)'!F28)*$C199</f>
        <v>63531.791325673534</v>
      </c>
      <c r="G199" s="128">
        <f>('Financial impact (cash)'!G19+'Financial impact (cash)'!G28)*$C199</f>
        <v>63285.781435645797</v>
      </c>
      <c r="H199" s="128">
        <f>('Financial impact (cash)'!H19+'Financial impact (cash)'!H28)*$C199</f>
        <v>63092.230643131319</v>
      </c>
      <c r="I199" s="128">
        <f>('Financial impact (cash)'!I19+'Financial impact (cash)'!I28)*$C199</f>
        <v>62951.64474864809</v>
      </c>
      <c r="J199" s="290"/>
      <c r="K199" s="290"/>
      <c r="L199" s="290"/>
      <c r="M199" s="290"/>
      <c r="N199" s="290"/>
      <c r="O199" s="290"/>
      <c r="P199" s="290"/>
      <c r="Q199" s="225"/>
      <c r="V199" s="133"/>
    </row>
    <row r="200" spans="1:22">
      <c r="A200" s="290"/>
      <c r="B200" s="351" t="s">
        <v>1085</v>
      </c>
      <c r="C200" s="677">
        <f>'Inputs and eligible population'!K113</f>
        <v>7.5</v>
      </c>
      <c r="D200" s="128">
        <f>('Financial impact (cash)'!D20+'Financial impact (cash)'!D29)*$C200</f>
        <v>113703.5639127953</v>
      </c>
      <c r="E200" s="128">
        <f>('Financial impact (cash)'!E20+'Financial impact (cash)'!E29)*$C200</f>
        <v>114117.62010449682</v>
      </c>
      <c r="F200" s="128">
        <f>('Financial impact (cash)'!F20+'Financial impact (cash)'!F29)*$C200</f>
        <v>114949.7247379795</v>
      </c>
      <c r="G200" s="128">
        <f>('Financial impact (cash)'!G20+'Financial impact (cash)'!G29)*$C200</f>
        <v>115879.25086006361</v>
      </c>
      <c r="H200" s="128">
        <f>('Financial impact (cash)'!H20+'Financial impact (cash)'!H29)*$C200</f>
        <v>113932.19326291951</v>
      </c>
      <c r="I200" s="128">
        <f>('Financial impact (cash)'!I20+'Financial impact (cash)'!I29)*$C200</f>
        <v>112055.76100723811</v>
      </c>
      <c r="J200" s="290"/>
      <c r="K200" s="290"/>
      <c r="L200" s="290"/>
      <c r="M200" s="290"/>
      <c r="N200" s="290"/>
      <c r="O200" s="290"/>
      <c r="P200" s="290"/>
      <c r="Q200" s="225"/>
      <c r="V200" s="133"/>
    </row>
    <row r="201" spans="1:22">
      <c r="A201" s="290"/>
      <c r="B201" s="283"/>
      <c r="C201" s="209"/>
      <c r="D201" s="187">
        <f>SUM(D195:D200)</f>
        <v>758023.75941863551</v>
      </c>
      <c r="E201" s="187">
        <f t="shared" ref="E201:I201" si="67">SUM(E195:E200)</f>
        <v>760784.13402997889</v>
      </c>
      <c r="F201" s="187">
        <f t="shared" si="67"/>
        <v>766331.49825319683</v>
      </c>
      <c r="G201" s="187">
        <f t="shared" si="67"/>
        <v>772528.33906709077</v>
      </c>
      <c r="H201" s="187">
        <f t="shared" si="67"/>
        <v>779380.91859990079</v>
      </c>
      <c r="I201" s="187">
        <f t="shared" si="67"/>
        <v>786895.55935810087</v>
      </c>
      <c r="J201" s="290"/>
      <c r="K201" s="290"/>
      <c r="L201" s="290"/>
      <c r="M201" s="290"/>
      <c r="N201" s="290"/>
      <c r="O201" s="290"/>
      <c r="P201" s="290"/>
      <c r="Q201" s="225"/>
      <c r="V201" s="133"/>
    </row>
    <row r="202" spans="1:22">
      <c r="A202" s="290"/>
      <c r="B202" s="306"/>
      <c r="C202" s="259"/>
      <c r="D202" s="285" t="s">
        <v>1130</v>
      </c>
      <c r="E202" s="187">
        <f>E201-$D$168</f>
        <v>2760.3746113433735</v>
      </c>
      <c r="F202" s="187">
        <f>F201-$D$168</f>
        <v>8307.7388345613144</v>
      </c>
      <c r="G202" s="187">
        <f>G201-$D$168</f>
        <v>14504.579648455256</v>
      </c>
      <c r="H202" s="187">
        <f>H201-$D$168</f>
        <v>21357.159181265277</v>
      </c>
      <c r="I202" s="187">
        <f>I201-$D$168</f>
        <v>28871.79993946536</v>
      </c>
      <c r="J202" s="290"/>
      <c r="K202" s="290"/>
      <c r="L202" s="290"/>
      <c r="M202" s="290"/>
      <c r="N202" s="290"/>
      <c r="O202" s="290"/>
      <c r="P202" s="290"/>
      <c r="Q202" s="225"/>
      <c r="V202" s="133"/>
    </row>
    <row r="203" spans="1:22">
      <c r="A203" s="290"/>
      <c r="B203" s="329"/>
      <c r="C203" s="225"/>
      <c r="D203" s="225"/>
      <c r="E203" s="225"/>
      <c r="F203" s="225"/>
      <c r="G203" s="225"/>
      <c r="H203" s="225"/>
      <c r="I203" s="225"/>
      <c r="J203" s="290"/>
      <c r="K203" s="290"/>
      <c r="L203" s="290"/>
      <c r="M203" s="290"/>
      <c r="N203" s="290"/>
      <c r="O203" s="290"/>
      <c r="P203" s="290"/>
      <c r="Q203" s="225"/>
      <c r="V203" s="133"/>
    </row>
    <row r="204" spans="1:22">
      <c r="A204" s="290"/>
      <c r="B204" s="400" t="s">
        <v>1132</v>
      </c>
      <c r="C204" s="401"/>
      <c r="D204" s="401"/>
      <c r="E204" s="401"/>
      <c r="F204" s="401"/>
      <c r="G204" s="401"/>
      <c r="H204" s="401"/>
      <c r="I204" s="224"/>
      <c r="J204" s="290"/>
      <c r="K204" s="290"/>
      <c r="L204" s="290"/>
      <c r="M204" s="290"/>
      <c r="N204" s="290"/>
      <c r="O204" s="290"/>
      <c r="P204" s="290"/>
      <c r="Q204" s="225"/>
      <c r="V204" s="133"/>
    </row>
    <row r="205" spans="1:22" ht="43.5">
      <c r="A205" s="290"/>
      <c r="B205" s="279" t="s">
        <v>123</v>
      </c>
      <c r="C205" s="166" t="s">
        <v>1132</v>
      </c>
      <c r="D205" s="425" t="s">
        <v>730</v>
      </c>
      <c r="E205" s="258" t="s">
        <v>50</v>
      </c>
      <c r="F205" s="258" t="s">
        <v>51</v>
      </c>
      <c r="G205" s="165" t="s">
        <v>731</v>
      </c>
      <c r="H205" s="165" t="s">
        <v>732</v>
      </c>
      <c r="I205" s="258" t="s">
        <v>733</v>
      </c>
      <c r="J205" s="290"/>
      <c r="K205" s="290"/>
      <c r="L205" s="290"/>
      <c r="M205" s="290"/>
      <c r="N205" s="290"/>
      <c r="O205" s="290"/>
      <c r="P205" s="290"/>
      <c r="Q205" s="225"/>
      <c r="V205" s="133"/>
    </row>
    <row r="206" spans="1:22">
      <c r="A206" s="290"/>
      <c r="B206" s="351" t="s">
        <v>1080</v>
      </c>
      <c r="C206" s="677">
        <f>'Inputs and eligible population'!F115</f>
        <v>7.5</v>
      </c>
      <c r="D206" s="128">
        <f>('Financial impact (cash)'!D15+'Financial impact (cash)'!D24)*$C206</f>
        <v>0</v>
      </c>
      <c r="E206" s="128">
        <f>('Financial impact (cash)'!E15+'Financial impact (cash)'!E24)*$C206</f>
        <v>43357.891489237947</v>
      </c>
      <c r="F206" s="128">
        <f>('Financial impact (cash)'!F15+'Financial impact (cash)'!F24)*$C206</f>
        <v>101725.81139726342</v>
      </c>
      <c r="G206" s="128">
        <f>('Financial impact (cash)'!G15+'Financial impact (cash)'!G24)*$C206</f>
        <v>141392.64803551268</v>
      </c>
      <c r="H206" s="128">
        <f>('Financial impact (cash)'!H15+'Financial impact (cash)'!H24)*$C206</f>
        <v>184875.22846505183</v>
      </c>
      <c r="I206" s="128">
        <f>('Financial impact (cash)'!I15+'Financial impact (cash)'!I24)*$C206</f>
        <v>217225.30456706043</v>
      </c>
      <c r="J206" s="290"/>
      <c r="K206" s="290"/>
      <c r="L206" s="290"/>
      <c r="M206" s="290"/>
      <c r="N206" s="290"/>
      <c r="O206" s="290"/>
      <c r="P206" s="290"/>
      <c r="Q206" s="225"/>
      <c r="V206" s="133"/>
    </row>
    <row r="207" spans="1:22">
      <c r="A207" s="290"/>
      <c r="B207" s="351" t="s">
        <v>1081</v>
      </c>
      <c r="C207" s="677">
        <f>'Inputs and eligible population'!G115</f>
        <v>7.5</v>
      </c>
      <c r="D207" s="128">
        <f>('Financial impact (cash)'!D16+'Financial impact (cash)'!D25)*$C207</f>
        <v>37901.187970931773</v>
      </c>
      <c r="E207" s="128">
        <f>('Financial impact (cash)'!E16+'Financial impact (cash)'!E25)*$C207</f>
        <v>33703.417552575149</v>
      </c>
      <c r="F207" s="128">
        <f>('Financial impact (cash)'!F16+'Financial impact (cash)'!F25)*$C207</f>
        <v>28143.993772933496</v>
      </c>
      <c r="G207" s="128">
        <f>('Financial impact (cash)'!G16+'Financial impact (cash)'!G25)*$C207</f>
        <v>23013.884845957051</v>
      </c>
      <c r="H207" s="128">
        <f>('Financial impact (cash)'!H16+'Financial impact (cash)'!H25)*$C207</f>
        <v>19008.255779643634</v>
      </c>
      <c r="I207" s="128">
        <f>('Financial impact (cash)'!I16+'Financial impact (cash)'!I25)*$C207</f>
        <v>17304.155706959478</v>
      </c>
      <c r="J207" s="290"/>
      <c r="K207" s="290"/>
      <c r="L207" s="290"/>
      <c r="M207" s="290"/>
      <c r="N207" s="290"/>
      <c r="O207" s="290"/>
      <c r="P207" s="290"/>
      <c r="Q207" s="225"/>
      <c r="V207" s="133"/>
    </row>
    <row r="208" spans="1:22">
      <c r="A208" s="290"/>
      <c r="B208" s="351" t="s">
        <v>1082</v>
      </c>
      <c r="C208" s="677">
        <f>'Inputs and eligible population'!H115</f>
        <v>7.5</v>
      </c>
      <c r="D208" s="128">
        <f>('Financial impact (cash)'!D17+'Financial impact (cash)'!D26)*$C208</f>
        <v>327466.26406885055</v>
      </c>
      <c r="E208" s="128">
        <f>('Financial impact (cash)'!E17+'Financial impact (cash)'!E26)*$C208</f>
        <v>304956.43188683415</v>
      </c>
      <c r="F208" s="128">
        <f>('Financial impact (cash)'!F17+'Financial impact (cash)'!F26)*$C208</f>
        <v>274666.85808277002</v>
      </c>
      <c r="G208" s="128">
        <f>('Financial impact (cash)'!G17+'Financial impact (cash)'!G26)*$C208</f>
        <v>257034.40543571912</v>
      </c>
      <c r="H208" s="128">
        <f>('Financial impact (cash)'!H17+'Financial impact (cash)'!H26)*$C208</f>
        <v>240404.38599665606</v>
      </c>
      <c r="I208" s="128">
        <f>('Financial impact (cash)'!I17+'Financial impact (cash)'!I26)*$C208</f>
        <v>228492.19277876132</v>
      </c>
      <c r="J208" s="290"/>
      <c r="K208" s="290"/>
      <c r="L208" s="290"/>
      <c r="M208" s="290"/>
      <c r="N208" s="290"/>
      <c r="O208" s="290"/>
      <c r="P208" s="290"/>
      <c r="Q208" s="225"/>
      <c r="V208" s="133"/>
    </row>
    <row r="209" spans="1:40">
      <c r="A209" s="290"/>
      <c r="B209" s="351" t="s">
        <v>1083</v>
      </c>
      <c r="C209" s="677">
        <f>'Inputs and eligible population'!I115</f>
        <v>7.5</v>
      </c>
      <c r="D209" s="128">
        <f>('Financial impact (cash)'!D18+'Financial impact (cash)'!D27)*$C209</f>
        <v>209214.55759954342</v>
      </c>
      <c r="E209" s="128">
        <f>('Financial impact (cash)'!E18+'Financial impact (cash)'!E27)*$C209</f>
        <v>198125.2639852158</v>
      </c>
      <c r="F209" s="128">
        <f>('Financial impact (cash)'!F18+'Financial impact (cash)'!F27)*$C209</f>
        <v>183313.3189365768</v>
      </c>
      <c r="G209" s="128">
        <f>('Financial impact (cash)'!G18+'Financial impact (cash)'!G27)*$C209</f>
        <v>171922.36845419256</v>
      </c>
      <c r="H209" s="128">
        <f>('Financial impact (cash)'!H18+'Financial impact (cash)'!H27)*$C209</f>
        <v>158068.62445249839</v>
      </c>
      <c r="I209" s="128">
        <f>('Financial impact (cash)'!I18+'Financial impact (cash)'!I27)*$C209</f>
        <v>148866.50054943355</v>
      </c>
      <c r="J209" s="290"/>
      <c r="K209" s="290"/>
      <c r="L209" s="290"/>
      <c r="M209" s="290"/>
      <c r="N209" s="290"/>
      <c r="O209" s="290"/>
      <c r="P209" s="290"/>
      <c r="Q209" s="225"/>
      <c r="V209" s="133"/>
    </row>
    <row r="210" spans="1:40">
      <c r="A210" s="290"/>
      <c r="B210" s="351" t="s">
        <v>1084</v>
      </c>
      <c r="C210" s="677">
        <f>'Inputs and eligible population'!J115</f>
        <v>7.5</v>
      </c>
      <c r="D210" s="128">
        <f>('Financial impact (cash)'!D19+'Financial impact (cash)'!D28)*$C210</f>
        <v>69738.185866514454</v>
      </c>
      <c r="E210" s="128">
        <f>('Financial impact (cash)'!E19+'Financial impact (cash)'!E28)*$C210</f>
        <v>66523.509011619011</v>
      </c>
      <c r="F210" s="128">
        <f>('Financial impact (cash)'!F19+'Financial impact (cash)'!F28)*$C210</f>
        <v>63531.791325673534</v>
      </c>
      <c r="G210" s="128">
        <f>('Financial impact (cash)'!G19+'Financial impact (cash)'!G28)*$C210</f>
        <v>63285.781435645797</v>
      </c>
      <c r="H210" s="128">
        <f>('Financial impact (cash)'!H19+'Financial impact (cash)'!H28)*$C210</f>
        <v>63092.230643131319</v>
      </c>
      <c r="I210" s="128">
        <f>('Financial impact (cash)'!I19+'Financial impact (cash)'!I28)*$C210</f>
        <v>62951.64474864809</v>
      </c>
      <c r="J210" s="290"/>
      <c r="K210" s="290"/>
      <c r="L210" s="290"/>
      <c r="M210" s="290"/>
      <c r="N210" s="290"/>
      <c r="O210" s="290"/>
      <c r="P210" s="290"/>
      <c r="Q210" s="225"/>
      <c r="V210" s="133"/>
    </row>
    <row r="211" spans="1:40">
      <c r="A211" s="290"/>
      <c r="B211" s="351" t="s">
        <v>1085</v>
      </c>
      <c r="C211" s="677">
        <f>'Inputs and eligible population'!K115</f>
        <v>7.5</v>
      </c>
      <c r="D211" s="128">
        <f>('Financial impact (cash)'!D20+'Financial impact (cash)'!D29)*$C211</f>
        <v>113703.5639127953</v>
      </c>
      <c r="E211" s="128">
        <f>('Financial impact (cash)'!E20+'Financial impact (cash)'!E29)*$C211</f>
        <v>114117.62010449682</v>
      </c>
      <c r="F211" s="128">
        <f>('Financial impact (cash)'!F20+'Financial impact (cash)'!F29)*$C211</f>
        <v>114949.7247379795</v>
      </c>
      <c r="G211" s="128">
        <f>('Financial impact (cash)'!G20+'Financial impact (cash)'!G29)*$C211</f>
        <v>115879.25086006361</v>
      </c>
      <c r="H211" s="128">
        <f>('Financial impact (cash)'!H20+'Financial impact (cash)'!H29)*$C211</f>
        <v>113932.19326291951</v>
      </c>
      <c r="I211" s="128">
        <f>('Financial impact (cash)'!I20+'Financial impact (cash)'!I29)*$C211</f>
        <v>112055.76100723811</v>
      </c>
      <c r="J211" s="290"/>
      <c r="K211" s="290"/>
      <c r="L211" s="290"/>
      <c r="M211" s="290"/>
      <c r="N211" s="290"/>
      <c r="O211" s="290"/>
      <c r="P211" s="290"/>
      <c r="Q211" s="225"/>
      <c r="V211" s="133"/>
    </row>
    <row r="212" spans="1:40">
      <c r="A212" s="290"/>
      <c r="B212" s="283"/>
      <c r="C212" s="209"/>
      <c r="D212" s="187">
        <f>SUM(D206:D211)</f>
        <v>758023.75941863551</v>
      </c>
      <c r="E212" s="187">
        <f t="shared" ref="E212:I212" si="68">SUM(E206:E211)</f>
        <v>760784.13402997889</v>
      </c>
      <c r="F212" s="187">
        <f t="shared" si="68"/>
        <v>766331.49825319683</v>
      </c>
      <c r="G212" s="187">
        <f t="shared" si="68"/>
        <v>772528.33906709077</v>
      </c>
      <c r="H212" s="187">
        <f t="shared" si="68"/>
        <v>779380.91859990079</v>
      </c>
      <c r="I212" s="187">
        <f t="shared" si="68"/>
        <v>786895.55935810087</v>
      </c>
      <c r="J212" s="290"/>
      <c r="K212" s="290"/>
      <c r="L212" s="290"/>
      <c r="M212" s="290"/>
      <c r="N212" s="290"/>
      <c r="O212" s="290"/>
      <c r="P212" s="290"/>
      <c r="Q212" s="225"/>
      <c r="V212" s="133"/>
    </row>
    <row r="213" spans="1:40">
      <c r="A213" s="290"/>
      <c r="B213" s="306"/>
      <c r="C213" s="259"/>
      <c r="D213" s="285" t="s">
        <v>1133</v>
      </c>
      <c r="E213" s="187">
        <f>E212-$D$212</f>
        <v>2760.3746113433735</v>
      </c>
      <c r="F213" s="187">
        <f>F212-$D$212</f>
        <v>8307.7388345613144</v>
      </c>
      <c r="G213" s="187">
        <f>G212-$D$212</f>
        <v>14504.579648455256</v>
      </c>
      <c r="H213" s="187">
        <f>H212-$D$212</f>
        <v>21357.159181265277</v>
      </c>
      <c r="I213" s="187">
        <f>I212-$D$212</f>
        <v>28871.79993946536</v>
      </c>
      <c r="J213" s="290"/>
      <c r="K213" s="290"/>
      <c r="L213" s="290"/>
      <c r="M213" s="290"/>
      <c r="N213" s="290"/>
      <c r="O213" s="290"/>
      <c r="P213" s="290"/>
      <c r="Q213" s="225"/>
      <c r="V213" s="133"/>
    </row>
    <row r="214" spans="1:40">
      <c r="A214" s="290"/>
      <c r="B214" s="329"/>
      <c r="C214" s="225"/>
      <c r="D214" s="225"/>
      <c r="E214" s="225"/>
      <c r="F214" s="225"/>
      <c r="G214" s="225"/>
      <c r="H214" s="225"/>
      <c r="I214" s="225"/>
      <c r="J214" s="225"/>
      <c r="K214" s="225"/>
      <c r="L214" s="290"/>
      <c r="M214" s="290"/>
      <c r="N214" s="290"/>
      <c r="O214" s="290"/>
      <c r="P214" s="290"/>
      <c r="Q214" s="225"/>
      <c r="V214" s="133"/>
    </row>
    <row r="215" spans="1:40">
      <c r="A215" s="291"/>
      <c r="B215" s="330" t="s">
        <v>101</v>
      </c>
      <c r="C215" s="316"/>
      <c r="D215" s="317"/>
      <c r="E215" s="318"/>
      <c r="F215" s="319"/>
      <c r="G215" s="319"/>
      <c r="H215" s="319"/>
      <c r="I215" s="435"/>
      <c r="J215" s="441"/>
      <c r="K215" s="291"/>
      <c r="L215" s="291"/>
      <c r="M215" s="291"/>
      <c r="N215" s="291"/>
      <c r="O215" s="291"/>
      <c r="P215" s="291"/>
      <c r="Q215" s="291"/>
      <c r="R215" s="133"/>
      <c r="S215" s="133"/>
      <c r="T215" s="133"/>
      <c r="U215" s="133"/>
      <c r="V215" s="133"/>
      <c r="W215" s="133"/>
      <c r="X215" s="133"/>
      <c r="Y215" s="133"/>
      <c r="Z215" s="133"/>
      <c r="AJ215" s="286"/>
      <c r="AK215" s="286"/>
      <c r="AL215" s="286"/>
      <c r="AM215" s="286"/>
      <c r="AN215" s="286"/>
    </row>
    <row r="216" spans="1:40">
      <c r="A216" s="291"/>
      <c r="B216" s="402" t="s">
        <v>765</v>
      </c>
      <c r="C216" s="403"/>
      <c r="D216" s="403"/>
      <c r="E216" s="403"/>
      <c r="F216" s="403"/>
      <c r="G216" s="403"/>
      <c r="H216" s="403"/>
      <c r="I216" s="226"/>
      <c r="J216" s="439"/>
      <c r="K216" s="439"/>
      <c r="L216" s="440"/>
      <c r="M216" s="440"/>
      <c r="N216" s="440"/>
      <c r="O216" s="440"/>
      <c r="P216" s="440"/>
      <c r="Q216" s="440"/>
      <c r="R216" s="133"/>
      <c r="S216" s="133"/>
      <c r="T216" s="133"/>
      <c r="U216" s="133"/>
      <c r="V216" s="133"/>
      <c r="W216" s="133"/>
      <c r="X216" s="133"/>
      <c r="Y216" s="133"/>
      <c r="Z216" s="133"/>
      <c r="AJ216" s="286"/>
      <c r="AK216" s="286"/>
      <c r="AL216" s="286"/>
      <c r="AM216" s="286"/>
      <c r="AN216" s="286"/>
    </row>
    <row r="217" spans="1:40" ht="43.5">
      <c r="A217" s="291"/>
      <c r="B217" s="279" t="s">
        <v>123</v>
      </c>
      <c r="C217" s="211"/>
      <c r="D217" s="425" t="s">
        <v>730</v>
      </c>
      <c r="E217" s="258" t="s">
        <v>50</v>
      </c>
      <c r="F217" s="258" t="s">
        <v>51</v>
      </c>
      <c r="G217" s="165" t="s">
        <v>731</v>
      </c>
      <c r="H217" s="165" t="s">
        <v>732</v>
      </c>
      <c r="I217" s="258" t="s">
        <v>733</v>
      </c>
      <c r="J217" s="291"/>
      <c r="K217" s="291"/>
      <c r="L217" s="425" t="s">
        <v>730</v>
      </c>
      <c r="M217" s="258" t="s">
        <v>50</v>
      </c>
      <c r="N217" s="258" t="s">
        <v>51</v>
      </c>
      <c r="O217" s="165" t="s">
        <v>731</v>
      </c>
      <c r="P217" s="165" t="s">
        <v>732</v>
      </c>
      <c r="Q217" s="258" t="s">
        <v>733</v>
      </c>
      <c r="R217" s="133"/>
      <c r="S217" s="133"/>
      <c r="T217" s="133"/>
      <c r="U217" s="133"/>
      <c r="V217" s="133"/>
      <c r="W217" s="133"/>
      <c r="X217" s="133"/>
      <c r="Y217" s="133"/>
      <c r="Z217" s="133"/>
      <c r="AJ217" s="286"/>
      <c r="AK217" s="286"/>
      <c r="AL217" s="286"/>
      <c r="AM217" s="286"/>
      <c r="AN217" s="286"/>
    </row>
    <row r="218" spans="1:40">
      <c r="A218" s="291"/>
      <c r="B218" s="253" t="s">
        <v>1144</v>
      </c>
      <c r="C218" s="168"/>
      <c r="D218" s="128">
        <f>('Unit costs'!$C71*('Financial impact (cash)'!D$15+'Financial impact (cash)'!D$24))+('Unit costs'!$D71*('Financial impact (cash)'!D$16+'Financial impact (cash)'!D$25))+('Unit costs'!$E71*('Financial impact (cash)'!D$17+'Financial impact (cash)'!D$26))+('Unit costs'!$F71*('Financial impact (cash)'!D$18+'Financial impact (cash)'!D$27))+('Unit costs'!$G71*('Financial impact (cash)'!D$19+'Financial impact (cash)'!D$28))+('Unit costs'!$H71*('Financial impact (cash)'!D$20+'Financial impact (cash)'!D$29))</f>
        <v>3770.1256172290073</v>
      </c>
      <c r="E218" s="128">
        <f>('Unit costs'!$C71*('Financial impact (cash)'!E$15+'Financial impact (cash)'!E$24))+('Unit costs'!$D71*('Financial impact (cash)'!E$16+'Financial impact (cash)'!E$25))+('Unit costs'!$E71*('Financial impact (cash)'!E$17+'Financial impact (cash)'!E$26))+('Unit costs'!$F71*('Financial impact (cash)'!E$18+'Financial impact (cash)'!E$27))+('Unit costs'!$G71*('Financial impact (cash)'!E$19+'Financial impact (cash)'!E$28))+('Unit costs'!$H71*('Financial impact (cash)'!E$20+'Financial impact (cash)'!E$29))</f>
        <v>3635.7010292298232</v>
      </c>
      <c r="F218" s="128">
        <f>('Unit costs'!$C71*('Financial impact (cash)'!F$15+'Financial impact (cash)'!F$24))+('Unit costs'!$D71*('Financial impact (cash)'!F$16+'Financial impact (cash)'!F$25))+('Unit costs'!$E71*('Financial impact (cash)'!F$17+'Financial impact (cash)'!F$26))+('Unit costs'!$F71*('Financial impact (cash)'!F$18+'Financial impact (cash)'!F$27))+('Unit costs'!$G71*('Financial impact (cash)'!F$19+'Financial impact (cash)'!F$28))+('Unit costs'!$H71*('Financial impact (cash)'!F$20+'Financial impact (cash)'!F$29))</f>
        <v>3463.8487042773759</v>
      </c>
      <c r="G218" s="128">
        <f>('Unit costs'!$C71*('Financial impact (cash)'!G$15+'Financial impact (cash)'!G$24))+('Unit costs'!$D71*('Financial impact (cash)'!G$16+'Financial impact (cash)'!G$25))+('Unit costs'!$E71*('Financial impact (cash)'!G$17+'Financial impact (cash)'!G$26))+('Unit costs'!$F71*('Financial impact (cash)'!G$18+'Financial impact (cash)'!G$27))+('Unit costs'!$G71*('Financial impact (cash)'!G$19+'Financial impact (cash)'!G$28))+('Unit costs'!$H71*('Financial impact (cash)'!G$20+'Financial impact (cash)'!G$29))</f>
        <v>3364.7216164415868</v>
      </c>
      <c r="H218" s="128">
        <f>('Unit costs'!$C71*('Financial impact (cash)'!H$15+'Financial impact (cash)'!H$24))+('Unit costs'!$D71*('Financial impact (cash)'!H$16+'Financial impact (cash)'!H$25))+('Unit costs'!$E71*('Financial impact (cash)'!H$17+'Financial impact (cash)'!H$26))+('Unit costs'!$F71*('Financial impact (cash)'!H$18+'Financial impact (cash)'!H$27))+('Unit costs'!$G71*('Financial impact (cash)'!H$19+'Financial impact (cash)'!H$28))+('Unit costs'!$H71*('Financial impact (cash)'!H$20+'Financial impact (cash)'!H$29))</f>
        <v>3268.2958227681802</v>
      </c>
      <c r="I218" s="128">
        <f>('Unit costs'!$C71*('Financial impact (cash)'!I$15+'Financial impact (cash)'!I$24))+('Unit costs'!$D71*('Financial impact (cash)'!I$16+'Financial impact (cash)'!I$25))+('Unit costs'!$E71*('Financial impact (cash)'!I$17+'Financial impact (cash)'!I$26))+('Unit costs'!$F71*('Financial impact (cash)'!I$18+'Financial impact (cash)'!I$27))+('Unit costs'!$G71*('Financial impact (cash)'!I$19+'Financial impact (cash)'!I$28))+('Unit costs'!$H71*('Financial impact (cash)'!I$20+'Financial impact (cash)'!I$29))</f>
        <v>3208.9910094468996</v>
      </c>
      <c r="J218" s="291"/>
      <c r="K218" s="291"/>
      <c r="L218" s="293">
        <f>(D218*'Unit costs'!$J71)/1000</f>
        <v>19688.312297037148</v>
      </c>
      <c r="M218" s="293">
        <f>(E218*'Unit costs'!$J71)/1000</f>
        <v>18986.321557833689</v>
      </c>
      <c r="N218" s="293">
        <f>(F218*'Unit costs'!$J71)/1000</f>
        <v>18088.876064990269</v>
      </c>
      <c r="O218" s="293">
        <f>(G218*'Unit costs'!$J71)/1000</f>
        <v>17571.215578165087</v>
      </c>
      <c r="P218" s="293">
        <f>(H218*'Unit costs'!$J71)/1000</f>
        <v>17067.661762701762</v>
      </c>
      <c r="Q218" s="293">
        <f>(I218*'Unit costs'!$J71)/1000</f>
        <v>16757.960759623504</v>
      </c>
      <c r="R218" s="683"/>
      <c r="S218" s="133"/>
      <c r="T218" s="133"/>
      <c r="U218" s="133"/>
      <c r="V218" s="133"/>
      <c r="W218" s="133"/>
      <c r="X218" s="133"/>
      <c r="Y218" s="133"/>
      <c r="Z218" s="133"/>
      <c r="AJ218" s="286"/>
      <c r="AK218" s="286"/>
      <c r="AL218" s="286"/>
      <c r="AM218" s="286"/>
      <c r="AN218" s="286"/>
    </row>
    <row r="219" spans="1:40">
      <c r="A219" s="291"/>
      <c r="B219" s="253" t="s">
        <v>1145</v>
      </c>
      <c r="C219" s="168"/>
      <c r="D219" s="128">
        <f>('Unit costs'!$C72*('Financial impact (cash)'!D$15+'Financial impact (cash)'!D$24))+('Unit costs'!$D72*('Financial impact (cash)'!D$16+'Financial impact (cash)'!D$25))+('Unit costs'!$E72*('Financial impact (cash)'!D$17+'Financial impact (cash)'!D$26))+('Unit costs'!$F72*('Financial impact (cash)'!D$18+'Financial impact (cash)'!D$27))+('Unit costs'!$G72*('Financial impact (cash)'!D$19+'Financial impact (cash)'!D$28))+('Unit costs'!$H72*('Financial impact (cash)'!D$20+'Financial impact (cash)'!D$29))</f>
        <v>841.994721181145</v>
      </c>
      <c r="E219" s="128">
        <f>('Unit costs'!$C72*('Financial impact (cash)'!E$15+'Financial impact (cash)'!E$24))+('Unit costs'!$D72*('Financial impact (cash)'!E$16+'Financial impact (cash)'!E$25))+('Unit costs'!$E72*('Financial impact (cash)'!E$17+'Financial impact (cash)'!E$26))+('Unit costs'!$F72*('Financial impact (cash)'!E$18+'Financial impact (cash)'!E$27))+('Unit costs'!$G72*('Financial impact (cash)'!E$19+'Financial impact (cash)'!E$28))+('Unit costs'!$H72*('Financial impact (cash)'!E$20+'Financial impact (cash)'!E$29))</f>
        <v>811.97322986132724</v>
      </c>
      <c r="F219" s="128">
        <f>('Unit costs'!$C72*('Financial impact (cash)'!F$15+'Financial impact (cash)'!F$24))+('Unit costs'!$D72*('Financial impact (cash)'!F$16+'Financial impact (cash)'!F$25))+('Unit costs'!$E72*('Financial impact (cash)'!F$17+'Financial impact (cash)'!F$26))+('Unit costs'!$F72*('Financial impact (cash)'!F$18+'Financial impact (cash)'!F$27))+('Unit costs'!$G72*('Financial impact (cash)'!F$19+'Financial impact (cash)'!F$28))+('Unit costs'!$H72*('Financial impact (cash)'!F$20+'Financial impact (cash)'!F$29))</f>
        <v>773.59287728861398</v>
      </c>
      <c r="G219" s="128">
        <f>('Unit costs'!$C72*('Financial impact (cash)'!G$15+'Financial impact (cash)'!G$24))+('Unit costs'!$D72*('Financial impact (cash)'!G$16+'Financial impact (cash)'!G$25))+('Unit costs'!$E72*('Financial impact (cash)'!G$17+'Financial impact (cash)'!G$26))+('Unit costs'!$F72*('Financial impact (cash)'!G$18+'Financial impact (cash)'!G$27))+('Unit costs'!$G72*('Financial impact (cash)'!G$19+'Financial impact (cash)'!G$28))+('Unit costs'!$H72*('Financial impact (cash)'!G$20+'Financial impact (cash)'!G$29))</f>
        <v>751.45449433862098</v>
      </c>
      <c r="H219" s="128">
        <f>('Unit costs'!$C72*('Financial impact (cash)'!H$15+'Financial impact (cash)'!H$24))+('Unit costs'!$D72*('Financial impact (cash)'!H$16+'Financial impact (cash)'!H$25))+('Unit costs'!$E72*('Financial impact (cash)'!H$17+'Financial impact (cash)'!H$26))+('Unit costs'!$F72*('Financial impact (cash)'!H$18+'Financial impact (cash)'!H$27))+('Unit costs'!$G72*('Financial impact (cash)'!H$19+'Financial impact (cash)'!H$28))+('Unit costs'!$H72*('Financial impact (cash)'!H$20+'Financial impact (cash)'!H$29))</f>
        <v>729.91940041822681</v>
      </c>
      <c r="I219" s="128">
        <f>('Unit costs'!$C72*('Financial impact (cash)'!I$15+'Financial impact (cash)'!I$24))+('Unit costs'!$D72*('Financial impact (cash)'!I$16+'Financial impact (cash)'!I$25))+('Unit costs'!$E72*('Financial impact (cash)'!I$17+'Financial impact (cash)'!I$26))+('Unit costs'!$F72*('Financial impact (cash)'!I$18+'Financial impact (cash)'!I$27))+('Unit costs'!$G72*('Financial impact (cash)'!I$19+'Financial impact (cash)'!I$28))+('Unit costs'!$H72*('Financial impact (cash)'!I$20+'Financial impact (cash)'!I$29))</f>
        <v>716.67465877647419</v>
      </c>
      <c r="J219" s="291"/>
      <c r="K219" s="291"/>
      <c r="L219" s="293">
        <f>(D219*'Unit costs'!$J72)/1000</f>
        <v>740.31543865130993</v>
      </c>
      <c r="M219" s="293">
        <f>(E219*'Unit costs'!$J72)/1000</f>
        <v>713.91934262327334</v>
      </c>
      <c r="N219" s="293">
        <f>(F219*'Unit costs'!$J72)/1000</f>
        <v>680.17380142724096</v>
      </c>
      <c r="O219" s="293">
        <f>(G219*'Unit costs'!$J72)/1000</f>
        <v>660.70884960228909</v>
      </c>
      <c r="P219" s="293">
        <f>(H219*'Unit costs'!$J72)/1000</f>
        <v>641.77433362372176</v>
      </c>
      <c r="Q219" s="293">
        <f>(I219*'Unit costs'!$J72)/1000</f>
        <v>630.12902698262724</v>
      </c>
      <c r="R219" s="683"/>
      <c r="S219" s="133"/>
      <c r="T219" s="133"/>
      <c r="U219" s="133"/>
      <c r="V219" s="133"/>
      <c r="W219" s="133"/>
      <c r="X219" s="133"/>
      <c r="Y219" s="133"/>
      <c r="Z219" s="133"/>
      <c r="AJ219" s="286"/>
      <c r="AK219" s="286"/>
      <c r="AL219" s="286"/>
      <c r="AM219" s="286"/>
      <c r="AN219" s="286"/>
    </row>
    <row r="220" spans="1:40">
      <c r="A220" s="291"/>
      <c r="B220" s="253" t="s">
        <v>1146</v>
      </c>
      <c r="C220" s="168"/>
      <c r="D220" s="128">
        <f>('Unit costs'!$C73*('Financial impact (cash)'!D$15+'Financial impact (cash)'!D$24))+('Unit costs'!$D73*('Financial impact (cash)'!D$16+'Financial impact (cash)'!D$25))+('Unit costs'!$E73*('Financial impact (cash)'!D$17+'Financial impact (cash)'!D$26))+('Unit costs'!$F73*('Financial impact (cash)'!D$18+'Financial impact (cash)'!D$27))+('Unit costs'!$G73*('Financial impact (cash)'!D$19+'Financial impact (cash)'!D$28))+('Unit costs'!$H73*('Financial impact (cash)'!D$20+'Financial impact (cash)'!D$29))</f>
        <v>2513.4170781526718</v>
      </c>
      <c r="E220" s="128">
        <f>('Unit costs'!$C73*('Financial impact (cash)'!E$15+'Financial impact (cash)'!E$24))+('Unit costs'!$D73*('Financial impact (cash)'!E$16+'Financial impact (cash)'!E$25))+('Unit costs'!$E73*('Financial impact (cash)'!E$17+'Financial impact (cash)'!E$26))+('Unit costs'!$F73*('Financial impact (cash)'!E$18+'Financial impact (cash)'!E$27))+('Unit costs'!$G73*('Financial impact (cash)'!E$19+'Financial impact (cash)'!E$28))+('Unit costs'!$H73*('Financial impact (cash)'!E$20+'Financial impact (cash)'!E$29))</f>
        <v>2423.8006861532153</v>
      </c>
      <c r="F220" s="128">
        <f>('Unit costs'!$C73*('Financial impact (cash)'!F$15+'Financial impact (cash)'!F$24))+('Unit costs'!$D73*('Financial impact (cash)'!F$16+'Financial impact (cash)'!F$25))+('Unit costs'!$E73*('Financial impact (cash)'!F$17+'Financial impact (cash)'!F$26))+('Unit costs'!$F73*('Financial impact (cash)'!F$18+'Financial impact (cash)'!F$27))+('Unit costs'!$G73*('Financial impact (cash)'!F$19+'Financial impact (cash)'!F$28))+('Unit costs'!$H73*('Financial impact (cash)'!F$20+'Financial impact (cash)'!F$29))</f>
        <v>2309.2324695182506</v>
      </c>
      <c r="G220" s="128">
        <f>('Unit costs'!$C73*('Financial impact (cash)'!G$15+'Financial impact (cash)'!G$24))+('Unit costs'!$D73*('Financial impact (cash)'!G$16+'Financial impact (cash)'!G$25))+('Unit costs'!$E73*('Financial impact (cash)'!G$17+'Financial impact (cash)'!G$26))+('Unit costs'!$F73*('Financial impact (cash)'!G$18+'Financial impact (cash)'!G$27))+('Unit costs'!$G73*('Financial impact (cash)'!G$19+'Financial impact (cash)'!G$28))+('Unit costs'!$H73*('Financial impact (cash)'!G$20+'Financial impact (cash)'!G$29))</f>
        <v>2243.147744294391</v>
      </c>
      <c r="H220" s="128">
        <f>('Unit costs'!$C73*('Financial impact (cash)'!H$15+'Financial impact (cash)'!H$24))+('Unit costs'!$D73*('Financial impact (cash)'!H$16+'Financial impact (cash)'!H$25))+('Unit costs'!$E73*('Financial impact (cash)'!H$17+'Financial impact (cash)'!H$26))+('Unit costs'!$F73*('Financial impact (cash)'!H$18+'Financial impact (cash)'!H$27))+('Unit costs'!$G73*('Financial impact (cash)'!H$19+'Financial impact (cash)'!H$28))+('Unit costs'!$H73*('Financial impact (cash)'!H$20+'Financial impact (cash)'!H$29))</f>
        <v>2178.8638818454533</v>
      </c>
      <c r="I220" s="128">
        <f>('Unit costs'!$C73*('Financial impact (cash)'!I$15+'Financial impact (cash)'!I$24))+('Unit costs'!$D73*('Financial impact (cash)'!I$16+'Financial impact (cash)'!I$25))+('Unit costs'!$E73*('Financial impact (cash)'!I$17+'Financial impact (cash)'!I$26))+('Unit costs'!$F73*('Financial impact (cash)'!I$18+'Financial impact (cash)'!I$27))+('Unit costs'!$G73*('Financial impact (cash)'!I$19+'Financial impact (cash)'!I$28))+('Unit costs'!$H73*('Financial impact (cash)'!I$20+'Financial impact (cash)'!I$29))</f>
        <v>2139.3273396312661</v>
      </c>
      <c r="J220" s="291"/>
      <c r="K220" s="291"/>
      <c r="L220" s="293">
        <f>(D220*'Unit costs'!$J73)/1000</f>
        <v>36350.018016904418</v>
      </c>
      <c r="M220" s="293">
        <f>(E220*'Unit costs'!$J73)/1000</f>
        <v>35053.950805415399</v>
      </c>
      <c r="N220" s="293">
        <f>(F220*'Unit costs'!$J73)/1000</f>
        <v>33397.020574836046</v>
      </c>
      <c r="O220" s="293">
        <f>(G220*'Unit costs'!$J73)/1000</f>
        <v>32441.277505605758</v>
      </c>
      <c r="P220" s="293">
        <f>(H220*'Unit costs'!$J73)/1000</f>
        <v>31511.579216162863</v>
      </c>
      <c r="Q220" s="293">
        <f>(I220*'Unit costs'!$J73)/1000</f>
        <v>30939.786323409826</v>
      </c>
      <c r="R220" s="683"/>
      <c r="S220" s="133"/>
      <c r="T220" s="133"/>
      <c r="U220" s="133"/>
      <c r="V220" s="133"/>
      <c r="W220" s="133"/>
      <c r="X220" s="133"/>
      <c r="Y220" s="133"/>
      <c r="Z220" s="133"/>
      <c r="AJ220" s="286"/>
      <c r="AK220" s="286"/>
      <c r="AL220" s="286"/>
      <c r="AM220" s="286"/>
      <c r="AN220" s="286"/>
    </row>
    <row r="221" spans="1:40">
      <c r="A221" s="291"/>
      <c r="B221" s="253" t="s">
        <v>1147</v>
      </c>
      <c r="C221" s="168"/>
      <c r="D221" s="128">
        <f>('Unit costs'!$C74*('Financial impact (cash)'!D$15+'Financial impact (cash)'!D$24))+('Unit costs'!$D74*('Financial impact (cash)'!D$16+'Financial impact (cash)'!D$25))+('Unit costs'!$E74*('Financial impact (cash)'!D$17+'Financial impact (cash)'!D$26))+('Unit costs'!$F74*('Financial impact (cash)'!D$18+'Financial impact (cash)'!D$27))+('Unit costs'!$G74*('Financial impact (cash)'!D$19+'Financial impact (cash)'!D$28))+('Unit costs'!$H74*('Financial impact (cash)'!D$20+'Financial impact (cash)'!D$29))</f>
        <v>414.71381789519091</v>
      </c>
      <c r="E221" s="128">
        <f>('Unit costs'!$C74*('Financial impact (cash)'!E$15+'Financial impact (cash)'!E$24))+('Unit costs'!$D74*('Financial impact (cash)'!E$16+'Financial impact (cash)'!E$25))+('Unit costs'!$E74*('Financial impact (cash)'!E$17+'Financial impact (cash)'!E$26))+('Unit costs'!$F74*('Financial impact (cash)'!E$18+'Financial impact (cash)'!E$27))+('Unit costs'!$G74*('Financial impact (cash)'!E$19+'Financial impact (cash)'!E$28))+('Unit costs'!$H74*('Financial impact (cash)'!E$20+'Financial impact (cash)'!E$29))</f>
        <v>399.9271132152806</v>
      </c>
      <c r="F221" s="128">
        <f>('Unit costs'!$C74*('Financial impact (cash)'!F$15+'Financial impact (cash)'!F$24))+('Unit costs'!$D74*('Financial impact (cash)'!F$16+'Financial impact (cash)'!F$25))+('Unit costs'!$E74*('Financial impact (cash)'!F$17+'Financial impact (cash)'!F$26))+('Unit costs'!$F74*('Financial impact (cash)'!F$18+'Financial impact (cash)'!F$27))+('Unit costs'!$G74*('Financial impact (cash)'!F$19+'Financial impact (cash)'!F$28))+('Unit costs'!$H74*('Financial impact (cash)'!F$20+'Financial impact (cash)'!F$29))</f>
        <v>381.02335747051137</v>
      </c>
      <c r="G221" s="128">
        <f>('Unit costs'!$C74*('Financial impact (cash)'!G$15+'Financial impact (cash)'!G$24))+('Unit costs'!$D74*('Financial impact (cash)'!G$16+'Financial impact (cash)'!G$25))+('Unit costs'!$E74*('Financial impact (cash)'!G$17+'Financial impact (cash)'!G$26))+('Unit costs'!$F74*('Financial impact (cash)'!G$18+'Financial impact (cash)'!G$27))+('Unit costs'!$G74*('Financial impact (cash)'!G$19+'Financial impact (cash)'!G$28))+('Unit costs'!$H74*('Financial impact (cash)'!G$20+'Financial impact (cash)'!G$29))</f>
        <v>370.11937780857454</v>
      </c>
      <c r="H221" s="128">
        <f>('Unit costs'!$C74*('Financial impact (cash)'!H$15+'Financial impact (cash)'!H$24))+('Unit costs'!$D74*('Financial impact (cash)'!H$16+'Financial impact (cash)'!H$25))+('Unit costs'!$E74*('Financial impact (cash)'!H$17+'Financial impact (cash)'!H$26))+('Unit costs'!$F74*('Financial impact (cash)'!H$18+'Financial impact (cash)'!H$27))+('Unit costs'!$G74*('Financial impact (cash)'!H$19+'Financial impact (cash)'!H$28))+('Unit costs'!$H74*('Financial impact (cash)'!H$20+'Financial impact (cash)'!H$29))</f>
        <v>359.51254050449984</v>
      </c>
      <c r="I221" s="128">
        <f>('Unit costs'!$C74*('Financial impact (cash)'!I$15+'Financial impact (cash)'!I$24))+('Unit costs'!$D74*('Financial impact (cash)'!I$16+'Financial impact (cash)'!I$25))+('Unit costs'!$E74*('Financial impact (cash)'!I$17+'Financial impact (cash)'!I$26))+('Unit costs'!$F74*('Financial impact (cash)'!I$18+'Financial impact (cash)'!I$27))+('Unit costs'!$G74*('Financial impact (cash)'!I$19+'Financial impact (cash)'!I$28))+('Unit costs'!$H74*('Financial impact (cash)'!I$20+'Financial impact (cash)'!I$29))</f>
        <v>352.98901103915892</v>
      </c>
      <c r="J221" s="291"/>
      <c r="K221" s="291"/>
      <c r="L221" s="293">
        <f>(D221*'Unit costs'!$J74)/1000</f>
        <v>364.63297724616768</v>
      </c>
      <c r="M221" s="293">
        <f>(E221*'Unit costs'!$J74)/1000</f>
        <v>351.63191502340328</v>
      </c>
      <c r="N221" s="293">
        <f>(F221*'Unit costs'!$J74)/1000</f>
        <v>335.01097682237241</v>
      </c>
      <c r="O221" s="293">
        <f>(G221*'Unit costs'!$J74)/1000</f>
        <v>325.42376174441108</v>
      </c>
      <c r="P221" s="293">
        <f>(H221*'Unit costs'!$J74)/1000</f>
        <v>316.09780611317643</v>
      </c>
      <c r="Q221" s="293">
        <f>(I221*'Unit costs'!$J74)/1000</f>
        <v>310.36205806607006</v>
      </c>
      <c r="R221" s="683"/>
      <c r="S221" s="133"/>
      <c r="T221" s="133"/>
      <c r="U221" s="133"/>
      <c r="V221" s="133"/>
      <c r="W221" s="133"/>
      <c r="X221" s="133"/>
      <c r="Y221" s="133"/>
      <c r="Z221" s="133"/>
      <c r="AJ221" s="286"/>
      <c r="AK221" s="286"/>
      <c r="AL221" s="286"/>
      <c r="AM221" s="286"/>
      <c r="AN221" s="286"/>
    </row>
    <row r="222" spans="1:40">
      <c r="A222" s="291"/>
      <c r="B222" s="253" t="s">
        <v>1148</v>
      </c>
      <c r="C222" s="168"/>
      <c r="D222" s="128">
        <f>('Unit costs'!$C75*('Financial impact (cash)'!D$15+'Financial impact (cash)'!D$24))+('Unit costs'!$D75*('Financial impact (cash)'!D$16+'Financial impact (cash)'!D$25))+('Unit costs'!$E75*('Financial impact (cash)'!D$17+'Financial impact (cash)'!D$26))+('Unit costs'!$F75*('Financial impact (cash)'!D$18+'Financial impact (cash)'!D$27))+('Unit costs'!$G75*('Financial impact (cash)'!D$19+'Financial impact (cash)'!D$28))+('Unit costs'!$H75*('Financial impact (cash)'!D$20+'Financial impact (cash)'!D$29))</f>
        <v>2928.1308960478627</v>
      </c>
      <c r="E222" s="128">
        <f>('Unit costs'!$C75*('Financial impact (cash)'!E$15+'Financial impact (cash)'!E$24))+('Unit costs'!$D75*('Financial impact (cash)'!E$16+'Financial impact (cash)'!E$25))+('Unit costs'!$E75*('Financial impact (cash)'!E$17+'Financial impact (cash)'!E$26))+('Unit costs'!$F75*('Financial impact (cash)'!E$18+'Financial impact (cash)'!E$27))+('Unit costs'!$G75*('Financial impact (cash)'!E$19+'Financial impact (cash)'!E$28))+('Unit costs'!$H75*('Financial impact (cash)'!E$20+'Financial impact (cash)'!E$29))</f>
        <v>2823.7277993684961</v>
      </c>
      <c r="F222" s="128">
        <f>('Unit costs'!$C75*('Financial impact (cash)'!F$15+'Financial impact (cash)'!F$24))+('Unit costs'!$D75*('Financial impact (cash)'!F$16+'Financial impact (cash)'!F$25))+('Unit costs'!$E75*('Financial impact (cash)'!F$17+'Financial impact (cash)'!F$26))+('Unit costs'!$F75*('Financial impact (cash)'!F$18+'Financial impact (cash)'!F$27))+('Unit costs'!$G75*('Financial impact (cash)'!F$19+'Financial impact (cash)'!F$28))+('Unit costs'!$H75*('Financial impact (cash)'!F$20+'Financial impact (cash)'!F$29))</f>
        <v>2690.2558269887627</v>
      </c>
      <c r="G222" s="128">
        <f>('Unit costs'!$C75*('Financial impact (cash)'!G$15+'Financial impact (cash)'!G$24))+('Unit costs'!$D75*('Financial impact (cash)'!G$16+'Financial impact (cash)'!G$25))+('Unit costs'!$E75*('Financial impact (cash)'!G$17+'Financial impact (cash)'!G$26))+('Unit costs'!$F75*('Financial impact (cash)'!G$18+'Financial impact (cash)'!G$27))+('Unit costs'!$G75*('Financial impact (cash)'!G$19+'Financial impact (cash)'!G$28))+('Unit costs'!$H75*('Financial impact (cash)'!G$20+'Financial impact (cash)'!G$29))</f>
        <v>2613.2671221029659</v>
      </c>
      <c r="H222" s="128">
        <f>('Unit costs'!$C75*('Financial impact (cash)'!H$15+'Financial impact (cash)'!H$24))+('Unit costs'!$D75*('Financial impact (cash)'!H$16+'Financial impact (cash)'!H$25))+('Unit costs'!$E75*('Financial impact (cash)'!H$17+'Financial impact (cash)'!H$26))+('Unit costs'!$F75*('Financial impact (cash)'!H$18+'Financial impact (cash)'!H$27))+('Unit costs'!$G75*('Financial impact (cash)'!H$19+'Financial impact (cash)'!H$28))+('Unit costs'!$H75*('Financial impact (cash)'!H$20+'Financial impact (cash)'!H$29))</f>
        <v>2538.3764223499534</v>
      </c>
      <c r="I222" s="128">
        <f>('Unit costs'!$C75*('Financial impact (cash)'!I$15+'Financial impact (cash)'!I$24))+('Unit costs'!$D75*('Financial impact (cash)'!I$16+'Financial impact (cash)'!I$25))+('Unit costs'!$E75*('Financial impact (cash)'!I$17+'Financial impact (cash)'!I$26))+('Unit costs'!$F75*('Financial impact (cash)'!I$18+'Financial impact (cash)'!I$27))+('Unit costs'!$G75*('Financial impact (cash)'!I$19+'Financial impact (cash)'!I$28))+('Unit costs'!$H75*('Financial impact (cash)'!I$20+'Financial impact (cash)'!I$29))</f>
        <v>2492.3163506704254</v>
      </c>
      <c r="J222" s="291"/>
      <c r="K222" s="291"/>
      <c r="L222" s="293">
        <f>(D222*'Unit costs'!$J75)/1000</f>
        <v>7640.5476349114515</v>
      </c>
      <c r="M222" s="293">
        <f>(E222*'Unit costs'!$J75)/1000</f>
        <v>7368.1223705601797</v>
      </c>
      <c r="N222" s="293">
        <f>(F222*'Unit costs'!$J75)/1000</f>
        <v>7019.8459447113983</v>
      </c>
      <c r="O222" s="293">
        <f>(G222*'Unit costs'!$J75)/1000</f>
        <v>6818.9546977305954</v>
      </c>
      <c r="P222" s="293">
        <f>(H222*'Unit costs'!$J75)/1000</f>
        <v>6623.5379014230739</v>
      </c>
      <c r="Q222" s="293">
        <f>(I222*'Unit costs'!$J75)/1000</f>
        <v>6503.3505927853821</v>
      </c>
      <c r="R222" s="683"/>
      <c r="S222" s="133"/>
      <c r="T222" s="133"/>
      <c r="U222" s="133"/>
      <c r="V222" s="133"/>
      <c r="W222" s="133"/>
      <c r="X222" s="133"/>
      <c r="Y222" s="133"/>
      <c r="Z222" s="133"/>
      <c r="AJ222" s="286"/>
      <c r="AK222" s="286"/>
      <c r="AL222" s="286"/>
      <c r="AM222" s="286"/>
      <c r="AN222" s="286"/>
    </row>
    <row r="223" spans="1:40">
      <c r="A223" s="291"/>
      <c r="B223" s="253" t="s">
        <v>1149</v>
      </c>
      <c r="C223" s="168"/>
      <c r="D223" s="128">
        <f>('Unit costs'!$C76*('Financial impact (cash)'!D$15+'Financial impact (cash)'!D$24))+('Unit costs'!$D76*('Financial impact (cash)'!D$16+'Financial impact (cash)'!D$25))+('Unit costs'!$E76*('Financial impact (cash)'!D$17+'Financial impact (cash)'!D$26))+('Unit costs'!$F76*('Financial impact (cash)'!D$18+'Financial impact (cash)'!D$27))+('Unit costs'!$G76*('Financial impact (cash)'!D$19+'Financial impact (cash)'!D$28))+('Unit costs'!$H76*('Financial impact (cash)'!D$20+'Financial impact (cash)'!D$29))</f>
        <v>2098.7032602574809</v>
      </c>
      <c r="E223" s="128">
        <f>('Unit costs'!$C76*('Financial impact (cash)'!E$15+'Financial impact (cash)'!E$24))+('Unit costs'!$D76*('Financial impact (cash)'!E$16+'Financial impact (cash)'!E$25))+('Unit costs'!$E76*('Financial impact (cash)'!E$17+'Financial impact (cash)'!E$26))+('Unit costs'!$F76*('Financial impact (cash)'!E$18+'Financial impact (cash)'!E$27))+('Unit costs'!$G76*('Financial impact (cash)'!E$19+'Financial impact (cash)'!E$28))+('Unit costs'!$H76*('Financial impact (cash)'!E$20+'Financial impact (cash)'!E$29))</f>
        <v>2023.873572937935</v>
      </c>
      <c r="F223" s="128">
        <f>('Unit costs'!$C76*('Financial impact (cash)'!F$15+'Financial impact (cash)'!F$24))+('Unit costs'!$D76*('Financial impact (cash)'!F$16+'Financial impact (cash)'!F$25))+('Unit costs'!$E76*('Financial impact (cash)'!F$17+'Financial impact (cash)'!F$26))+('Unit costs'!$F76*('Financial impact (cash)'!F$18+'Financial impact (cash)'!F$27))+('Unit costs'!$G76*('Financial impact (cash)'!F$19+'Financial impact (cash)'!F$28))+('Unit costs'!$H76*('Financial impact (cash)'!F$20+'Financial impact (cash)'!F$29))</f>
        <v>1928.2091120477394</v>
      </c>
      <c r="G223" s="128">
        <f>('Unit costs'!$C76*('Financial impact (cash)'!G$15+'Financial impact (cash)'!G$24))+('Unit costs'!$D76*('Financial impact (cash)'!G$16+'Financial impact (cash)'!G$25))+('Unit costs'!$E76*('Financial impact (cash)'!G$17+'Financial impact (cash)'!G$26))+('Unit costs'!$F76*('Financial impact (cash)'!G$18+'Financial impact (cash)'!G$27))+('Unit costs'!$G76*('Financial impact (cash)'!G$19+'Financial impact (cash)'!G$28))+('Unit costs'!$H76*('Financial impact (cash)'!G$20+'Financial impact (cash)'!G$29))</f>
        <v>1873.0283664858166</v>
      </c>
      <c r="H223" s="128">
        <f>('Unit costs'!$C76*('Financial impact (cash)'!H$15+'Financial impact (cash)'!H$24))+('Unit costs'!$D76*('Financial impact (cash)'!H$16+'Financial impact (cash)'!H$25))+('Unit costs'!$E76*('Financial impact (cash)'!H$17+'Financial impact (cash)'!H$26))+('Unit costs'!$F76*('Financial impact (cash)'!H$18+'Financial impact (cash)'!H$27))+('Unit costs'!$G76*('Financial impact (cash)'!H$19+'Financial impact (cash)'!H$28))+('Unit costs'!$H76*('Financial impact (cash)'!H$20+'Financial impact (cash)'!H$29))</f>
        <v>1819.3513413409537</v>
      </c>
      <c r="I223" s="128">
        <f>('Unit costs'!$C76*('Financial impact (cash)'!I$15+'Financial impact (cash)'!I$24))+('Unit costs'!$D76*('Financial impact (cash)'!I$16+'Financial impact (cash)'!I$25))+('Unit costs'!$E76*('Financial impact (cash)'!I$17+'Financial impact (cash)'!I$26))+('Unit costs'!$F76*('Financial impact (cash)'!I$18+'Financial impact (cash)'!I$27))+('Unit costs'!$G76*('Financial impact (cash)'!I$19+'Financial impact (cash)'!I$28))+('Unit costs'!$H76*('Financial impact (cash)'!I$20+'Financial impact (cash)'!I$29))</f>
        <v>1786.3383285921075</v>
      </c>
      <c r="J223" s="291"/>
      <c r="K223" s="291"/>
      <c r="L223" s="293">
        <f>(D223*'Unit costs'!$J76)/1000</f>
        <v>1845.2638545487875</v>
      </c>
      <c r="M223" s="293">
        <f>(E223*'Unit costs'!$J76)/1000</f>
        <v>1779.47060026995</v>
      </c>
      <c r="N223" s="293">
        <f>(F223*'Unit costs'!$J76)/1000</f>
        <v>1695.3585796768543</v>
      </c>
      <c r="O223" s="293">
        <f>(G223*'Unit costs'!$J76)/1000</f>
        <v>1646.8414609489896</v>
      </c>
      <c r="P223" s="293">
        <f>(H223*'Unit costs'!$J76)/1000</f>
        <v>1599.6464733606201</v>
      </c>
      <c r="Q223" s="293">
        <f>(I223*'Unit costs'!$J76)/1000</f>
        <v>1570.6201120313244</v>
      </c>
      <c r="R223" s="683"/>
      <c r="S223" s="133"/>
      <c r="T223" s="133"/>
      <c r="U223" s="133"/>
      <c r="V223" s="133"/>
      <c r="W223" s="133"/>
      <c r="X223" s="133"/>
      <c r="Y223" s="133"/>
      <c r="Z223" s="133"/>
      <c r="AJ223" s="286"/>
      <c r="AK223" s="286"/>
      <c r="AL223" s="286"/>
      <c r="AM223" s="286"/>
      <c r="AN223" s="286"/>
    </row>
    <row r="224" spans="1:40">
      <c r="A224" s="291"/>
      <c r="B224" s="280"/>
      <c r="C224" s="211"/>
      <c r="D224" s="187">
        <f t="shared" ref="D224:I224" si="69">SUM(D218:D223)</f>
        <v>12567.085390763357</v>
      </c>
      <c r="E224" s="187">
        <f t="shared" si="69"/>
        <v>12119.003430766079</v>
      </c>
      <c r="F224" s="187">
        <f t="shared" si="69"/>
        <v>11546.162347591255</v>
      </c>
      <c r="G224" s="187">
        <f t="shared" si="69"/>
        <v>11215.738721471955</v>
      </c>
      <c r="H224" s="187">
        <f t="shared" si="69"/>
        <v>10894.319409227268</v>
      </c>
      <c r="I224" s="187">
        <f t="shared" si="69"/>
        <v>10696.636698156333</v>
      </c>
      <c r="J224" s="291"/>
      <c r="K224" s="291"/>
      <c r="L224" s="294">
        <f t="shared" ref="L224:Q224" si="70">SUM(L218:L223)</f>
        <v>66629.09021929928</v>
      </c>
      <c r="M224" s="294">
        <f t="shared" si="70"/>
        <v>64253.416591725902</v>
      </c>
      <c r="N224" s="294">
        <f t="shared" si="70"/>
        <v>61216.285942464179</v>
      </c>
      <c r="O224" s="294">
        <f t="shared" si="70"/>
        <v>59464.421853797125</v>
      </c>
      <c r="P224" s="294">
        <f t="shared" si="70"/>
        <v>57760.297493385217</v>
      </c>
      <c r="Q224" s="294">
        <f t="shared" si="70"/>
        <v>56712.208872898744</v>
      </c>
      <c r="R224" s="683"/>
      <c r="S224" s="133"/>
      <c r="T224" s="133"/>
      <c r="U224" s="133"/>
      <c r="V224" s="133"/>
      <c r="W224" s="133"/>
      <c r="X224" s="133"/>
      <c r="Y224" s="133"/>
      <c r="Z224" s="133"/>
      <c r="AJ224" s="286"/>
      <c r="AK224" s="286"/>
      <c r="AL224" s="286"/>
      <c r="AM224" s="286"/>
      <c r="AN224" s="286"/>
    </row>
    <row r="225" spans="1:17">
      <c r="A225" s="291"/>
      <c r="B225" s="306"/>
      <c r="C225" s="211"/>
      <c r="D225" s="285" t="s">
        <v>766</v>
      </c>
      <c r="E225" s="187">
        <f>E224-$D$224</f>
        <v>-448.08195999727832</v>
      </c>
      <c r="F225" s="187">
        <f>F224-$D$224</f>
        <v>-1020.9230431721026</v>
      </c>
      <c r="G225" s="187">
        <f>G224-$D$224</f>
        <v>-1351.3466692914026</v>
      </c>
      <c r="H225" s="187">
        <f>H224-$D$224</f>
        <v>-1672.7659815360894</v>
      </c>
      <c r="I225" s="187">
        <f>I224-$D$224</f>
        <v>-1870.448692607024</v>
      </c>
      <c r="J225" s="291"/>
      <c r="K225" s="291"/>
      <c r="L225" s="574"/>
      <c r="M225" s="294">
        <f>M224-$L$224</f>
        <v>-2375.6736275733783</v>
      </c>
      <c r="N225" s="294">
        <f>N224-$L$224</f>
        <v>-5412.8042768351006</v>
      </c>
      <c r="O225" s="294">
        <f>O224-$L$224</f>
        <v>-7164.6683655021552</v>
      </c>
      <c r="P225" s="294">
        <f>P224-$L$224</f>
        <v>-8868.7927259140633</v>
      </c>
      <c r="Q225" s="294">
        <f>Q224-$L$224</f>
        <v>-9916.8813464005361</v>
      </c>
    </row>
    <row r="226" spans="1:17">
      <c r="A226" s="291"/>
      <c r="B226" s="291"/>
      <c r="C226" s="291"/>
      <c r="D226" s="291"/>
      <c r="E226" s="291"/>
      <c r="F226" s="291"/>
      <c r="G226" s="291"/>
      <c r="H226" s="291"/>
      <c r="I226" s="291"/>
      <c r="J226" s="291"/>
      <c r="K226" s="291"/>
      <c r="L226" s="291"/>
      <c r="M226" s="291"/>
      <c r="N226" s="291"/>
      <c r="O226" s="291"/>
      <c r="P226" s="291"/>
      <c r="Q226" s="291"/>
    </row>
    <row r="227" spans="1:17">
      <c r="B227"/>
    </row>
    <row r="228" spans="1:17">
      <c r="B228"/>
    </row>
    <row r="229" spans="1:17">
      <c r="B229"/>
    </row>
    <row r="230" spans="1:17">
      <c r="B230"/>
    </row>
    <row r="231" spans="1:17">
      <c r="B231"/>
    </row>
  </sheetData>
  <sheetProtection algorithmName="SHA-512" hashValue="JpkLtS3cStCjNUCliS9zMseO+o3rdmCLYfyqJgS1emeXjobh0Q9IxZ2VIDiRjPxa64Rk3uZf0VbR2YOpU/IEyw==" saltValue="CQJsMRHGmiXWYkW2eYOHY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33" fitToHeight="0" orientation="portrait" horizontalDpi="4294967293" r:id="rId1"/>
  <rowBreaks count="1" manualBreakCount="1">
    <brk id="146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07"/>
  <sheetViews>
    <sheetView zoomScale="80" zoomScaleNormal="80" workbookViewId="0">
      <selection activeCell="C1" sqref="C1"/>
    </sheetView>
  </sheetViews>
  <sheetFormatPr defaultColWidth="8.54296875" defaultRowHeight="14.5"/>
  <cols>
    <col min="1" max="1" width="13.54296875" customWidth="1"/>
    <col min="3" max="4" width="11.81640625" customWidth="1"/>
    <col min="5" max="5" width="10.453125" style="485" customWidth="1"/>
    <col min="6" max="6" width="11.81640625" customWidth="1"/>
    <col min="7" max="7" width="12.54296875" customWidth="1"/>
    <col min="8" max="8" width="11.81640625" hidden="1" customWidth="1"/>
    <col min="9" max="9" width="8.81640625" hidden="1" customWidth="1"/>
    <col min="10" max="10" width="9.453125" hidden="1" customWidth="1"/>
    <col min="11" max="11" width="10.453125" hidden="1" customWidth="1"/>
    <col min="12" max="12" width="10.54296875" hidden="1" customWidth="1"/>
    <col min="13" max="13" width="11.453125" hidden="1" customWidth="1"/>
    <col min="14" max="14" width="11.81640625" hidden="1" customWidth="1"/>
    <col min="15" max="15" width="11.81640625" customWidth="1"/>
    <col min="16" max="16" width="24.453125" bestFit="1" customWidth="1"/>
    <col min="17" max="17" width="31.54296875" bestFit="1" customWidth="1"/>
    <col min="18" max="18" width="15.1796875" style="486" bestFit="1" customWidth="1"/>
    <col min="19" max="22" width="9" customWidth="1"/>
    <col min="23" max="23" width="17.81640625" customWidth="1"/>
    <col min="24" max="24" width="12.54296875" customWidth="1"/>
    <col min="25" max="25" width="23.1796875" customWidth="1"/>
    <col min="26" max="27" width="5.453125" customWidth="1"/>
    <col min="28" max="28" width="13.453125" customWidth="1"/>
    <col min="29" max="29" width="14.453125" customWidth="1"/>
    <col min="30" max="30" width="10.453125" customWidth="1"/>
  </cols>
  <sheetData>
    <row r="1" spans="1:22" ht="29.15" customHeight="1"/>
    <row r="3" spans="1:22" ht="15" thickBot="1">
      <c r="B3" s="823" t="s">
        <v>768</v>
      </c>
      <c r="C3" s="824"/>
      <c r="D3" s="824"/>
      <c r="E3" s="824"/>
      <c r="F3" s="824"/>
      <c r="G3" s="825"/>
      <c r="H3" s="826" t="s">
        <v>360</v>
      </c>
      <c r="I3" s="827"/>
      <c r="J3" s="827"/>
      <c r="K3" s="827"/>
      <c r="L3" s="827"/>
      <c r="M3" s="827"/>
      <c r="N3" s="828"/>
      <c r="O3" s="487"/>
      <c r="P3" s="487"/>
    </row>
    <row r="4" spans="1:22" ht="71.5" customHeight="1">
      <c r="A4" s="521" t="s">
        <v>769</v>
      </c>
      <c r="B4" s="529" t="s">
        <v>770</v>
      </c>
      <c r="C4" s="530" t="s">
        <v>771</v>
      </c>
      <c r="D4" s="530" t="s">
        <v>772</v>
      </c>
      <c r="E4" s="531" t="s">
        <v>773</v>
      </c>
      <c r="F4" s="530" t="s">
        <v>774</v>
      </c>
      <c r="G4" s="532" t="s">
        <v>775</v>
      </c>
      <c r="H4" s="524" t="s">
        <v>771</v>
      </c>
      <c r="I4" s="525" t="s">
        <v>776</v>
      </c>
      <c r="J4" s="525" t="s">
        <v>360</v>
      </c>
      <c r="K4" s="525" t="s">
        <v>772</v>
      </c>
      <c r="L4" s="525" t="s">
        <v>773</v>
      </c>
      <c r="M4" s="525" t="s">
        <v>774</v>
      </c>
      <c r="N4" s="526" t="s">
        <v>775</v>
      </c>
      <c r="O4" s="488"/>
      <c r="P4" s="505" t="s">
        <v>769</v>
      </c>
      <c r="Q4" s="508" t="s">
        <v>933</v>
      </c>
      <c r="R4" s="505" t="s">
        <v>775</v>
      </c>
      <c r="S4" s="506" t="s">
        <v>934</v>
      </c>
      <c r="T4" s="509" t="s">
        <v>779</v>
      </c>
      <c r="U4" s="506" t="s">
        <v>777</v>
      </c>
      <c r="V4" s="506" t="s">
        <v>778</v>
      </c>
    </row>
    <row r="5" spans="1:22">
      <c r="A5" s="522">
        <v>2</v>
      </c>
      <c r="B5" s="510" t="s">
        <v>780</v>
      </c>
      <c r="C5" s="728">
        <v>22383.9</v>
      </c>
      <c r="D5" s="489">
        <f>(C5-$B$104)*0.138</f>
        <v>1833.1782000000003</v>
      </c>
      <c r="E5" s="511">
        <f t="shared" ref="E5:E68" si="0">C5*0.005</f>
        <v>111.91950000000001</v>
      </c>
      <c r="F5" s="489">
        <f t="shared" ref="F5:F68" si="1">C5*0.2068</f>
        <v>4628.9905200000003</v>
      </c>
      <c r="G5" s="512">
        <f>SUM(C5:F5)</f>
        <v>28957.988220000003</v>
      </c>
      <c r="H5" s="527">
        <f t="shared" ref="H5:H68" si="2">C5</f>
        <v>22383.9</v>
      </c>
      <c r="I5" s="528">
        <v>5132.4000000000005</v>
      </c>
      <c r="J5" s="528">
        <f t="shared" ref="J5:J68" si="3">C5+I5</f>
        <v>27516.300000000003</v>
      </c>
      <c r="K5" s="528">
        <f t="shared" ref="K5:K36" si="4">(J5-$B$104)*0.138</f>
        <v>2541.4494000000004</v>
      </c>
      <c r="L5" s="528">
        <f t="shared" ref="L5:L68" si="5">J5*0.005</f>
        <v>137.58150000000001</v>
      </c>
      <c r="M5" s="528">
        <f t="shared" ref="M5:M68" si="6">J5*0.2068</f>
        <v>5690.3708400000005</v>
      </c>
      <c r="N5" s="528">
        <f t="shared" ref="N5:N68" si="7">SUM(J5:M5)</f>
        <v>35885.701740000004</v>
      </c>
      <c r="O5" s="490"/>
      <c r="P5" s="489" t="s">
        <v>781</v>
      </c>
      <c r="Q5" s="149" t="s">
        <v>782</v>
      </c>
      <c r="R5" s="502">
        <f>G5</f>
        <v>28957.988220000003</v>
      </c>
      <c r="S5" s="691">
        <v>1560</v>
      </c>
      <c r="T5" s="507">
        <f t="shared" ref="T5:T41" si="8">ROUND(R5/S5,2)</f>
        <v>18.559999999999999</v>
      </c>
      <c r="U5" s="503">
        <v>0.41</v>
      </c>
      <c r="V5" s="503">
        <v>0.83</v>
      </c>
    </row>
    <row r="6" spans="1:22">
      <c r="A6" s="522">
        <v>2</v>
      </c>
      <c r="B6" s="510" t="s">
        <v>783</v>
      </c>
      <c r="C6" s="728">
        <v>22383.9</v>
      </c>
      <c r="D6" s="489">
        <f t="shared" ref="D6:D36" si="9">(C6-$B$104)*0.138</f>
        <v>1833.1782000000003</v>
      </c>
      <c r="E6" s="511">
        <f t="shared" si="0"/>
        <v>111.91950000000001</v>
      </c>
      <c r="F6" s="489">
        <f t="shared" si="1"/>
        <v>4628.9905200000003</v>
      </c>
      <c r="G6" s="512">
        <f t="shared" ref="G6:G68" si="10">SUM(C6:F6)</f>
        <v>28957.988220000003</v>
      </c>
      <c r="H6" s="527">
        <f t="shared" si="2"/>
        <v>22383.9</v>
      </c>
      <c r="I6" s="528">
        <v>5132.4000000000005</v>
      </c>
      <c r="J6" s="528">
        <f t="shared" si="3"/>
        <v>27516.300000000003</v>
      </c>
      <c r="K6" s="528">
        <f t="shared" si="4"/>
        <v>2541.4494000000004</v>
      </c>
      <c r="L6" s="528">
        <f t="shared" si="5"/>
        <v>137.58150000000001</v>
      </c>
      <c r="M6" s="528">
        <f t="shared" si="6"/>
        <v>5690.3708400000005</v>
      </c>
      <c r="N6" s="528">
        <f>SUM(J6:M6)</f>
        <v>35885.701740000004</v>
      </c>
      <c r="O6" s="490"/>
      <c r="P6" s="489" t="s">
        <v>781</v>
      </c>
      <c r="Q6" s="149" t="s">
        <v>784</v>
      </c>
      <c r="R6" s="502">
        <f>G8</f>
        <v>28957.988220000003</v>
      </c>
      <c r="S6" s="691">
        <v>1560</v>
      </c>
      <c r="T6" s="507">
        <f t="shared" si="8"/>
        <v>18.559999999999999</v>
      </c>
      <c r="U6" s="503">
        <v>0.41</v>
      </c>
      <c r="V6" s="503">
        <v>0.83</v>
      </c>
    </row>
    <row r="7" spans="1:22">
      <c r="A7" s="522">
        <v>2</v>
      </c>
      <c r="B7" s="510" t="s">
        <v>785</v>
      </c>
      <c r="C7" s="728">
        <v>22383.9</v>
      </c>
      <c r="D7" s="489">
        <f t="shared" si="9"/>
        <v>1833.1782000000003</v>
      </c>
      <c r="E7" s="511">
        <f t="shared" si="0"/>
        <v>111.91950000000001</v>
      </c>
      <c r="F7" s="489">
        <f t="shared" si="1"/>
        <v>4628.9905200000003</v>
      </c>
      <c r="G7" s="512">
        <f t="shared" si="10"/>
        <v>28957.988220000003</v>
      </c>
      <c r="H7" s="527">
        <f t="shared" si="2"/>
        <v>22383.9</v>
      </c>
      <c r="I7" s="528">
        <v>5132.4000000000005</v>
      </c>
      <c r="J7" s="528">
        <f t="shared" si="3"/>
        <v>27516.300000000003</v>
      </c>
      <c r="K7" s="528">
        <f t="shared" si="4"/>
        <v>2541.4494000000004</v>
      </c>
      <c r="L7" s="528">
        <f t="shared" si="5"/>
        <v>137.58150000000001</v>
      </c>
      <c r="M7" s="528">
        <f t="shared" si="6"/>
        <v>5690.3708400000005</v>
      </c>
      <c r="N7" s="528">
        <f t="shared" si="7"/>
        <v>35885.701740000004</v>
      </c>
      <c r="O7" s="490"/>
      <c r="P7" s="489" t="s">
        <v>781</v>
      </c>
      <c r="Q7" s="149" t="s">
        <v>786</v>
      </c>
      <c r="R7" s="502">
        <f>G11</f>
        <v>28957.988220000003</v>
      </c>
      <c r="S7" s="691">
        <v>1560</v>
      </c>
      <c r="T7" s="507">
        <f t="shared" si="8"/>
        <v>18.559999999999999</v>
      </c>
      <c r="U7" s="503">
        <v>0.41</v>
      </c>
      <c r="V7" s="503">
        <v>0.83</v>
      </c>
    </row>
    <row r="8" spans="1:22">
      <c r="A8" s="522">
        <v>2</v>
      </c>
      <c r="B8" s="510" t="s">
        <v>787</v>
      </c>
      <c r="C8" s="728">
        <v>22383.9</v>
      </c>
      <c r="D8" s="489">
        <f t="shared" si="9"/>
        <v>1833.1782000000003</v>
      </c>
      <c r="E8" s="511">
        <f t="shared" si="0"/>
        <v>111.91950000000001</v>
      </c>
      <c r="F8" s="489">
        <f t="shared" si="1"/>
        <v>4628.9905200000003</v>
      </c>
      <c r="G8" s="512">
        <f t="shared" si="10"/>
        <v>28957.988220000003</v>
      </c>
      <c r="H8" s="527">
        <f t="shared" si="2"/>
        <v>22383.9</v>
      </c>
      <c r="I8" s="528">
        <v>5132.4000000000005</v>
      </c>
      <c r="J8" s="528">
        <f t="shared" si="3"/>
        <v>27516.300000000003</v>
      </c>
      <c r="K8" s="528">
        <f t="shared" si="4"/>
        <v>2541.4494000000004</v>
      </c>
      <c r="L8" s="528">
        <f t="shared" si="5"/>
        <v>137.58150000000001</v>
      </c>
      <c r="M8" s="528">
        <f t="shared" si="6"/>
        <v>5690.3708400000005</v>
      </c>
      <c r="N8" s="528">
        <f t="shared" si="7"/>
        <v>35885.701740000004</v>
      </c>
      <c r="O8" s="490"/>
      <c r="P8" s="489" t="s">
        <v>788</v>
      </c>
      <c r="Q8" s="149" t="s">
        <v>789</v>
      </c>
      <c r="R8" s="502">
        <f>G12</f>
        <v>29541.911700000001</v>
      </c>
      <c r="S8" s="691">
        <v>1560</v>
      </c>
      <c r="T8" s="507">
        <f t="shared" si="8"/>
        <v>18.940000000000001</v>
      </c>
      <c r="U8" s="503">
        <v>0.35</v>
      </c>
      <c r="V8" s="503">
        <v>0.69</v>
      </c>
    </row>
    <row r="9" spans="1:22">
      <c r="A9" s="522">
        <v>2</v>
      </c>
      <c r="B9" s="510" t="s">
        <v>790</v>
      </c>
      <c r="C9" s="728">
        <v>22383.9</v>
      </c>
      <c r="D9" s="489">
        <f t="shared" si="9"/>
        <v>1833.1782000000003</v>
      </c>
      <c r="E9" s="511">
        <f t="shared" si="0"/>
        <v>111.91950000000001</v>
      </c>
      <c r="F9" s="489">
        <f t="shared" si="1"/>
        <v>4628.9905200000003</v>
      </c>
      <c r="G9" s="512">
        <f t="shared" si="10"/>
        <v>28957.988220000003</v>
      </c>
      <c r="H9" s="527">
        <f t="shared" si="2"/>
        <v>22383.9</v>
      </c>
      <c r="I9" s="528">
        <v>5132.4000000000005</v>
      </c>
      <c r="J9" s="528">
        <f t="shared" si="3"/>
        <v>27516.300000000003</v>
      </c>
      <c r="K9" s="528">
        <f t="shared" si="4"/>
        <v>2541.4494000000004</v>
      </c>
      <c r="L9" s="528">
        <f t="shared" si="5"/>
        <v>137.58150000000001</v>
      </c>
      <c r="M9" s="528">
        <f t="shared" si="6"/>
        <v>5690.3708400000005</v>
      </c>
      <c r="N9" s="528">
        <f t="shared" si="7"/>
        <v>35885.701740000004</v>
      </c>
      <c r="O9" s="490"/>
      <c r="P9" s="489" t="s">
        <v>788</v>
      </c>
      <c r="Q9" s="149" t="s">
        <v>791</v>
      </c>
      <c r="R9" s="502">
        <f>G15</f>
        <v>31592.730330000006</v>
      </c>
      <c r="S9" s="691">
        <v>1560</v>
      </c>
      <c r="T9" s="507">
        <f t="shared" si="8"/>
        <v>20.25</v>
      </c>
      <c r="U9" s="503">
        <v>0.35</v>
      </c>
      <c r="V9" s="503">
        <v>0.69</v>
      </c>
    </row>
    <row r="10" spans="1:22">
      <c r="A10" s="522">
        <v>2</v>
      </c>
      <c r="B10" s="510" t="s">
        <v>792</v>
      </c>
      <c r="C10" s="728">
        <v>22383.9</v>
      </c>
      <c r="D10" s="489">
        <f t="shared" si="9"/>
        <v>1833.1782000000003</v>
      </c>
      <c r="E10" s="511">
        <f t="shared" si="0"/>
        <v>111.91950000000001</v>
      </c>
      <c r="F10" s="489">
        <f t="shared" si="1"/>
        <v>4628.9905200000003</v>
      </c>
      <c r="G10" s="512">
        <f t="shared" si="10"/>
        <v>28957.988220000003</v>
      </c>
      <c r="H10" s="527">
        <f t="shared" si="2"/>
        <v>22383.9</v>
      </c>
      <c r="I10" s="528">
        <v>5132.4000000000005</v>
      </c>
      <c r="J10" s="528">
        <f t="shared" si="3"/>
        <v>27516.300000000003</v>
      </c>
      <c r="K10" s="528">
        <f t="shared" si="4"/>
        <v>2541.4494000000004</v>
      </c>
      <c r="L10" s="528">
        <f t="shared" si="5"/>
        <v>137.58150000000001</v>
      </c>
      <c r="M10" s="528">
        <f t="shared" si="6"/>
        <v>5690.3708400000005</v>
      </c>
      <c r="N10" s="528">
        <f t="shared" si="7"/>
        <v>35885.701740000004</v>
      </c>
      <c r="O10" s="490"/>
      <c r="P10" s="489" t="s">
        <v>788</v>
      </c>
      <c r="Q10" s="149" t="s">
        <v>793</v>
      </c>
      <c r="R10" s="502">
        <f>G18</f>
        <v>31592.730330000006</v>
      </c>
      <c r="S10" s="691">
        <v>1560</v>
      </c>
      <c r="T10" s="507">
        <f t="shared" si="8"/>
        <v>20.25</v>
      </c>
      <c r="U10" s="503">
        <v>0.35</v>
      </c>
      <c r="V10" s="503">
        <v>0.69</v>
      </c>
    </row>
    <row r="11" spans="1:22">
      <c r="A11" s="522">
        <v>2</v>
      </c>
      <c r="B11" s="510" t="s">
        <v>794</v>
      </c>
      <c r="C11" s="728">
        <v>22383.9</v>
      </c>
      <c r="D11" s="489">
        <f t="shared" si="9"/>
        <v>1833.1782000000003</v>
      </c>
      <c r="E11" s="511">
        <f t="shared" si="0"/>
        <v>111.91950000000001</v>
      </c>
      <c r="F11" s="489">
        <f t="shared" si="1"/>
        <v>4628.9905200000003</v>
      </c>
      <c r="G11" s="512">
        <f t="shared" si="10"/>
        <v>28957.988220000003</v>
      </c>
      <c r="H11" s="527">
        <f t="shared" si="2"/>
        <v>22383.9</v>
      </c>
      <c r="I11" s="528">
        <v>5132.4000000000005</v>
      </c>
      <c r="J11" s="528">
        <f t="shared" si="3"/>
        <v>27516.300000000003</v>
      </c>
      <c r="K11" s="528">
        <f t="shared" si="4"/>
        <v>2541.4494000000004</v>
      </c>
      <c r="L11" s="528">
        <f t="shared" si="5"/>
        <v>137.58150000000001</v>
      </c>
      <c r="M11" s="528">
        <f t="shared" si="6"/>
        <v>5690.3708400000005</v>
      </c>
      <c r="N11" s="528">
        <f t="shared" si="7"/>
        <v>35885.701740000004</v>
      </c>
      <c r="O11" s="490"/>
      <c r="P11" s="489" t="s">
        <v>795</v>
      </c>
      <c r="Q11" s="149" t="s">
        <v>796</v>
      </c>
      <c r="R11" s="502">
        <f>G19</f>
        <v>32686.878210000003</v>
      </c>
      <c r="S11" s="691">
        <v>1560</v>
      </c>
      <c r="T11" s="507">
        <f t="shared" si="8"/>
        <v>20.95</v>
      </c>
      <c r="U11" s="503">
        <v>0.3</v>
      </c>
      <c r="V11" s="503">
        <v>0.6</v>
      </c>
    </row>
    <row r="12" spans="1:22">
      <c r="A12" s="522">
        <v>3</v>
      </c>
      <c r="B12" s="510" t="s">
        <v>797</v>
      </c>
      <c r="C12" s="728">
        <v>22816.5</v>
      </c>
      <c r="D12" s="489">
        <f t="shared" si="9"/>
        <v>1892.8770000000002</v>
      </c>
      <c r="E12" s="511">
        <f t="shared" si="0"/>
        <v>114.0825</v>
      </c>
      <c r="F12" s="489">
        <f t="shared" si="1"/>
        <v>4718.4522000000006</v>
      </c>
      <c r="G12" s="512">
        <f t="shared" si="10"/>
        <v>29541.911700000001</v>
      </c>
      <c r="H12" s="527">
        <f t="shared" si="2"/>
        <v>22816.5</v>
      </c>
      <c r="I12" s="528">
        <v>5132.4000000000005</v>
      </c>
      <c r="J12" s="528">
        <f t="shared" si="3"/>
        <v>27948.9</v>
      </c>
      <c r="K12" s="528">
        <f t="shared" si="4"/>
        <v>2601.1482000000005</v>
      </c>
      <c r="L12" s="528">
        <f t="shared" si="5"/>
        <v>139.74450000000002</v>
      </c>
      <c r="M12" s="528">
        <f t="shared" si="6"/>
        <v>5779.8325200000008</v>
      </c>
      <c r="N12" s="528">
        <f t="shared" si="7"/>
        <v>36469.625220000002</v>
      </c>
      <c r="O12" s="490"/>
      <c r="P12" s="489" t="s">
        <v>795</v>
      </c>
      <c r="Q12" s="149" t="s">
        <v>798</v>
      </c>
      <c r="R12" s="502">
        <f>G22</f>
        <v>35993.415780000003</v>
      </c>
      <c r="S12" s="691">
        <v>1560</v>
      </c>
      <c r="T12" s="507">
        <f t="shared" si="8"/>
        <v>23.07</v>
      </c>
      <c r="U12" s="503">
        <v>0.3</v>
      </c>
      <c r="V12" s="503">
        <v>0.6</v>
      </c>
    </row>
    <row r="13" spans="1:22">
      <c r="A13" s="522">
        <v>3</v>
      </c>
      <c r="B13" s="510" t="s">
        <v>799</v>
      </c>
      <c r="C13" s="728">
        <v>22816.5</v>
      </c>
      <c r="D13" s="489">
        <f t="shared" si="9"/>
        <v>1892.8770000000002</v>
      </c>
      <c r="E13" s="511">
        <f t="shared" si="0"/>
        <v>114.0825</v>
      </c>
      <c r="F13" s="489">
        <f t="shared" si="1"/>
        <v>4718.4522000000006</v>
      </c>
      <c r="G13" s="512">
        <f t="shared" si="10"/>
        <v>29541.911700000001</v>
      </c>
      <c r="H13" s="527">
        <f t="shared" si="2"/>
        <v>22816.5</v>
      </c>
      <c r="I13" s="528">
        <v>5132.4000000000005</v>
      </c>
      <c r="J13" s="528">
        <f t="shared" si="3"/>
        <v>27948.9</v>
      </c>
      <c r="K13" s="528">
        <f t="shared" si="4"/>
        <v>2601.1482000000005</v>
      </c>
      <c r="L13" s="528">
        <f t="shared" si="5"/>
        <v>139.74450000000002</v>
      </c>
      <c r="M13" s="528">
        <f t="shared" si="6"/>
        <v>5779.8325200000008</v>
      </c>
      <c r="N13" s="528">
        <f t="shared" si="7"/>
        <v>36469.625220000002</v>
      </c>
      <c r="O13" s="490"/>
      <c r="P13" s="489" t="s">
        <v>795</v>
      </c>
      <c r="Q13" s="149" t="s">
        <v>800</v>
      </c>
      <c r="R13" s="502">
        <f>G25</f>
        <v>35993.415780000003</v>
      </c>
      <c r="S13" s="691">
        <v>1560</v>
      </c>
      <c r="T13" s="507">
        <f t="shared" si="8"/>
        <v>23.07</v>
      </c>
      <c r="U13" s="503">
        <v>0.3</v>
      </c>
      <c r="V13" s="503">
        <v>0.6</v>
      </c>
    </row>
    <row r="14" spans="1:22">
      <c r="A14" s="522">
        <v>3</v>
      </c>
      <c r="B14" s="510" t="s">
        <v>801</v>
      </c>
      <c r="C14" s="728">
        <v>24335.850000000002</v>
      </c>
      <c r="D14" s="489">
        <f t="shared" si="9"/>
        <v>2102.5473000000006</v>
      </c>
      <c r="E14" s="511">
        <f t="shared" si="0"/>
        <v>121.67925000000001</v>
      </c>
      <c r="F14" s="489">
        <f t="shared" si="1"/>
        <v>5032.6537800000006</v>
      </c>
      <c r="G14" s="512">
        <f t="shared" si="10"/>
        <v>31592.730330000006</v>
      </c>
      <c r="H14" s="527">
        <f t="shared" si="2"/>
        <v>24335.850000000002</v>
      </c>
      <c r="I14" s="528">
        <v>5132.4000000000005</v>
      </c>
      <c r="J14" s="528">
        <f t="shared" si="3"/>
        <v>29468.250000000004</v>
      </c>
      <c r="K14" s="528">
        <f t="shared" si="4"/>
        <v>2810.8185000000008</v>
      </c>
      <c r="L14" s="528">
        <f t="shared" si="5"/>
        <v>147.34125000000003</v>
      </c>
      <c r="M14" s="528">
        <f t="shared" si="6"/>
        <v>6094.0341000000008</v>
      </c>
      <c r="N14" s="528">
        <f t="shared" si="7"/>
        <v>38520.443850000011</v>
      </c>
      <c r="O14" s="490"/>
      <c r="P14" s="489" t="s">
        <v>802</v>
      </c>
      <c r="Q14" s="149" t="s">
        <v>803</v>
      </c>
      <c r="R14" s="502">
        <f>G26</f>
        <v>37088.980949999997</v>
      </c>
      <c r="S14" s="691">
        <v>1560</v>
      </c>
      <c r="T14" s="507">
        <f t="shared" si="8"/>
        <v>23.77</v>
      </c>
      <c r="U14" s="503">
        <v>0.3</v>
      </c>
      <c r="V14" s="503">
        <v>0.6</v>
      </c>
    </row>
    <row r="15" spans="1:22">
      <c r="A15" s="522">
        <v>3</v>
      </c>
      <c r="B15" s="510" t="s">
        <v>804</v>
      </c>
      <c r="C15" s="728">
        <v>24335.850000000002</v>
      </c>
      <c r="D15" s="489">
        <f t="shared" si="9"/>
        <v>2102.5473000000006</v>
      </c>
      <c r="E15" s="511">
        <f t="shared" si="0"/>
        <v>121.67925000000001</v>
      </c>
      <c r="F15" s="489">
        <f t="shared" si="1"/>
        <v>5032.6537800000006</v>
      </c>
      <c r="G15" s="512">
        <f t="shared" si="10"/>
        <v>31592.730330000006</v>
      </c>
      <c r="H15" s="527">
        <f t="shared" si="2"/>
        <v>24335.850000000002</v>
      </c>
      <c r="I15" s="528">
        <v>5132.4000000000005</v>
      </c>
      <c r="J15" s="528">
        <f t="shared" si="3"/>
        <v>29468.250000000004</v>
      </c>
      <c r="K15" s="528">
        <f t="shared" si="4"/>
        <v>2810.8185000000008</v>
      </c>
      <c r="L15" s="528">
        <f t="shared" si="5"/>
        <v>147.34125000000003</v>
      </c>
      <c r="M15" s="528">
        <f t="shared" si="6"/>
        <v>6094.0341000000008</v>
      </c>
      <c r="N15" s="528">
        <f t="shared" si="7"/>
        <v>38520.443850000011</v>
      </c>
      <c r="O15" s="490"/>
      <c r="P15" s="489" t="s">
        <v>802</v>
      </c>
      <c r="Q15" s="149" t="s">
        <v>89</v>
      </c>
      <c r="R15" s="502">
        <f>G29</f>
        <v>40100.722199999997</v>
      </c>
      <c r="S15" s="691">
        <v>1560</v>
      </c>
      <c r="T15" s="507">
        <f t="shared" si="8"/>
        <v>25.71</v>
      </c>
      <c r="U15" s="503">
        <v>0.3</v>
      </c>
      <c r="V15" s="503">
        <v>0.6</v>
      </c>
    </row>
    <row r="16" spans="1:22">
      <c r="A16" s="522">
        <v>3</v>
      </c>
      <c r="B16" s="510" t="s">
        <v>805</v>
      </c>
      <c r="C16" s="728">
        <v>24335.850000000002</v>
      </c>
      <c r="D16" s="489">
        <f t="shared" si="9"/>
        <v>2102.5473000000006</v>
      </c>
      <c r="E16" s="511">
        <f t="shared" si="0"/>
        <v>121.67925000000001</v>
      </c>
      <c r="F16" s="489">
        <f t="shared" si="1"/>
        <v>5032.6537800000006</v>
      </c>
      <c r="G16" s="512">
        <f t="shared" si="10"/>
        <v>31592.730330000006</v>
      </c>
      <c r="H16" s="527">
        <f t="shared" si="2"/>
        <v>24335.850000000002</v>
      </c>
      <c r="I16" s="528">
        <v>5132.4000000000005</v>
      </c>
      <c r="J16" s="528">
        <f t="shared" si="3"/>
        <v>29468.250000000004</v>
      </c>
      <c r="K16" s="528">
        <f t="shared" si="4"/>
        <v>2810.8185000000008</v>
      </c>
      <c r="L16" s="528">
        <f t="shared" si="5"/>
        <v>147.34125000000003</v>
      </c>
      <c r="M16" s="528">
        <f t="shared" si="6"/>
        <v>6094.0341000000008</v>
      </c>
      <c r="N16" s="528">
        <f t="shared" si="7"/>
        <v>38520.443850000011</v>
      </c>
      <c r="O16" s="490"/>
      <c r="P16" s="489" t="s">
        <v>802</v>
      </c>
      <c r="Q16" s="149" t="s">
        <v>806</v>
      </c>
      <c r="R16" s="502">
        <f>G33</f>
        <v>45421.22886000001</v>
      </c>
      <c r="S16" s="691">
        <v>1560</v>
      </c>
      <c r="T16" s="507">
        <f t="shared" si="8"/>
        <v>29.12</v>
      </c>
      <c r="U16" s="503">
        <v>0.3</v>
      </c>
      <c r="V16" s="503">
        <v>0.6</v>
      </c>
    </row>
    <row r="17" spans="1:22">
      <c r="A17" s="522">
        <v>3</v>
      </c>
      <c r="B17" s="510" t="s">
        <v>807</v>
      </c>
      <c r="C17" s="728">
        <v>24335.850000000002</v>
      </c>
      <c r="D17" s="489">
        <f t="shared" si="9"/>
        <v>2102.5473000000006</v>
      </c>
      <c r="E17" s="511">
        <f t="shared" si="0"/>
        <v>121.67925000000001</v>
      </c>
      <c r="F17" s="489">
        <f t="shared" si="1"/>
        <v>5032.6537800000006</v>
      </c>
      <c r="G17" s="512">
        <f t="shared" si="10"/>
        <v>31592.730330000006</v>
      </c>
      <c r="H17" s="527">
        <f t="shared" si="2"/>
        <v>24335.850000000002</v>
      </c>
      <c r="I17" s="528">
        <v>5132.4000000000005</v>
      </c>
      <c r="J17" s="528">
        <f t="shared" si="3"/>
        <v>29468.250000000004</v>
      </c>
      <c r="K17" s="528">
        <f t="shared" si="4"/>
        <v>2810.8185000000008</v>
      </c>
      <c r="L17" s="528">
        <f t="shared" si="5"/>
        <v>147.34125000000003</v>
      </c>
      <c r="M17" s="528">
        <f t="shared" si="6"/>
        <v>6094.0341000000008</v>
      </c>
      <c r="N17" s="528">
        <f t="shared" si="7"/>
        <v>38520.443850000011</v>
      </c>
      <c r="O17" s="490"/>
      <c r="P17" s="489" t="s">
        <v>808</v>
      </c>
      <c r="Q17" s="149" t="s">
        <v>809</v>
      </c>
      <c r="R17" s="502">
        <f>G34</f>
        <v>46515.37674</v>
      </c>
      <c r="S17" s="691">
        <v>1560</v>
      </c>
      <c r="T17" s="507">
        <f t="shared" si="8"/>
        <v>29.82</v>
      </c>
      <c r="U17" s="503">
        <v>0.3</v>
      </c>
      <c r="V17" s="503">
        <v>0.6</v>
      </c>
    </row>
    <row r="18" spans="1:22">
      <c r="A18" s="522">
        <v>3</v>
      </c>
      <c r="B18" s="510" t="s">
        <v>810</v>
      </c>
      <c r="C18" s="728">
        <v>24335.850000000002</v>
      </c>
      <c r="D18" s="489">
        <f t="shared" si="9"/>
        <v>2102.5473000000006</v>
      </c>
      <c r="E18" s="511">
        <f t="shared" si="0"/>
        <v>121.67925000000001</v>
      </c>
      <c r="F18" s="489">
        <f t="shared" si="1"/>
        <v>5032.6537800000006</v>
      </c>
      <c r="G18" s="512">
        <f t="shared" si="10"/>
        <v>31592.730330000006</v>
      </c>
      <c r="H18" s="527">
        <f t="shared" si="2"/>
        <v>24335.850000000002</v>
      </c>
      <c r="I18" s="528">
        <v>5132.4000000000005</v>
      </c>
      <c r="J18" s="528">
        <f t="shared" si="3"/>
        <v>29468.250000000004</v>
      </c>
      <c r="K18" s="528">
        <f t="shared" si="4"/>
        <v>2810.8185000000008</v>
      </c>
      <c r="L18" s="528">
        <f t="shared" si="5"/>
        <v>147.34125000000003</v>
      </c>
      <c r="M18" s="528">
        <f t="shared" si="6"/>
        <v>6094.0341000000008</v>
      </c>
      <c r="N18" s="528">
        <f t="shared" si="7"/>
        <v>38520.443850000011</v>
      </c>
      <c r="O18" s="490"/>
      <c r="P18" s="489" t="s">
        <v>808</v>
      </c>
      <c r="Q18" s="149" t="s">
        <v>100</v>
      </c>
      <c r="R18" s="502">
        <f>G38</f>
        <v>49160.039879999989</v>
      </c>
      <c r="S18" s="691">
        <v>1560</v>
      </c>
      <c r="T18" s="507">
        <f t="shared" si="8"/>
        <v>31.51</v>
      </c>
      <c r="U18" s="503">
        <v>0.3</v>
      </c>
      <c r="V18" s="503">
        <v>0.6</v>
      </c>
    </row>
    <row r="19" spans="1:22">
      <c r="A19" s="522">
        <v>4</v>
      </c>
      <c r="B19" s="510" t="s">
        <v>811</v>
      </c>
      <c r="C19" s="728">
        <v>25146.45</v>
      </c>
      <c r="D19" s="489">
        <f t="shared" si="9"/>
        <v>2214.4101000000005</v>
      </c>
      <c r="E19" s="511">
        <f t="shared" si="0"/>
        <v>125.73225000000001</v>
      </c>
      <c r="F19" s="489">
        <f t="shared" si="1"/>
        <v>5200.2858600000009</v>
      </c>
      <c r="G19" s="512">
        <f t="shared" si="10"/>
        <v>32686.878210000003</v>
      </c>
      <c r="H19" s="527">
        <f t="shared" si="2"/>
        <v>25146.45</v>
      </c>
      <c r="I19" s="528">
        <v>5132.4000000000005</v>
      </c>
      <c r="J19" s="528">
        <f t="shared" si="3"/>
        <v>30278.850000000002</v>
      </c>
      <c r="K19" s="528">
        <f t="shared" si="4"/>
        <v>2922.6813000000006</v>
      </c>
      <c r="L19" s="528">
        <f t="shared" si="5"/>
        <v>151.39425000000003</v>
      </c>
      <c r="M19" s="528">
        <f t="shared" si="6"/>
        <v>6261.6661800000011</v>
      </c>
      <c r="N19" s="528">
        <f t="shared" si="7"/>
        <v>39614.59173</v>
      </c>
      <c r="O19" s="490"/>
      <c r="P19" s="489" t="s">
        <v>808</v>
      </c>
      <c r="Q19" s="149" t="s">
        <v>812</v>
      </c>
      <c r="R19" s="502">
        <f>G42</f>
        <v>56269.166519999999</v>
      </c>
      <c r="S19" s="691">
        <v>1560</v>
      </c>
      <c r="T19" s="507">
        <f t="shared" si="8"/>
        <v>36.07</v>
      </c>
      <c r="U19" s="503">
        <v>0.3</v>
      </c>
      <c r="V19" s="503">
        <v>0.6</v>
      </c>
    </row>
    <row r="20" spans="1:22">
      <c r="A20" s="522">
        <v>4</v>
      </c>
      <c r="B20" s="510" t="s">
        <v>813</v>
      </c>
      <c r="C20" s="728">
        <v>25146.45</v>
      </c>
      <c r="D20" s="489">
        <f t="shared" si="9"/>
        <v>2214.4101000000005</v>
      </c>
      <c r="E20" s="511">
        <f t="shared" si="0"/>
        <v>125.73225000000001</v>
      </c>
      <c r="F20" s="489">
        <f t="shared" si="1"/>
        <v>5200.2858600000009</v>
      </c>
      <c r="G20" s="512">
        <f t="shared" si="10"/>
        <v>32686.878210000003</v>
      </c>
      <c r="H20" s="527">
        <f t="shared" si="2"/>
        <v>25146.45</v>
      </c>
      <c r="I20" s="528">
        <v>5132.4000000000005</v>
      </c>
      <c r="J20" s="528">
        <f t="shared" si="3"/>
        <v>30278.850000000002</v>
      </c>
      <c r="K20" s="528">
        <f t="shared" si="4"/>
        <v>2922.6813000000006</v>
      </c>
      <c r="L20" s="528">
        <f t="shared" si="5"/>
        <v>151.39425000000003</v>
      </c>
      <c r="M20" s="528">
        <f t="shared" si="6"/>
        <v>6261.6661800000011</v>
      </c>
      <c r="N20" s="528">
        <f t="shared" si="7"/>
        <v>39614.59173</v>
      </c>
      <c r="O20" s="490"/>
      <c r="P20" s="489" t="s">
        <v>814</v>
      </c>
      <c r="Q20" s="149" t="s">
        <v>815</v>
      </c>
      <c r="R20" s="502">
        <f>G43</f>
        <v>57787.084110000011</v>
      </c>
      <c r="S20" s="691">
        <v>1560</v>
      </c>
      <c r="T20" s="507">
        <f t="shared" si="8"/>
        <v>37.04</v>
      </c>
      <c r="U20" s="503">
        <v>0.3</v>
      </c>
      <c r="V20" s="503">
        <v>0.6</v>
      </c>
    </row>
    <row r="21" spans="1:22">
      <c r="A21" s="522">
        <v>4</v>
      </c>
      <c r="B21" s="510" t="s">
        <v>816</v>
      </c>
      <c r="C21" s="728">
        <v>25146.45</v>
      </c>
      <c r="D21" s="489">
        <f t="shared" si="9"/>
        <v>2214.4101000000005</v>
      </c>
      <c r="E21" s="511">
        <f t="shared" si="0"/>
        <v>125.73225000000001</v>
      </c>
      <c r="F21" s="489">
        <f t="shared" si="1"/>
        <v>5200.2858600000009</v>
      </c>
      <c r="G21" s="512">
        <f t="shared" si="10"/>
        <v>32686.878210000003</v>
      </c>
      <c r="H21" s="527">
        <f t="shared" si="2"/>
        <v>25146.45</v>
      </c>
      <c r="I21" s="528">
        <v>5132.4000000000005</v>
      </c>
      <c r="J21" s="528">
        <f t="shared" si="3"/>
        <v>30278.850000000002</v>
      </c>
      <c r="K21" s="528">
        <f t="shared" si="4"/>
        <v>2922.6813000000006</v>
      </c>
      <c r="L21" s="528">
        <f t="shared" si="5"/>
        <v>151.39425000000003</v>
      </c>
      <c r="M21" s="528">
        <f t="shared" si="6"/>
        <v>6261.6661800000011</v>
      </c>
      <c r="N21" s="528">
        <f t="shared" si="7"/>
        <v>39614.59173</v>
      </c>
      <c r="O21" s="490"/>
      <c r="P21" s="489" t="s">
        <v>814</v>
      </c>
      <c r="Q21" s="149" t="s">
        <v>86</v>
      </c>
      <c r="R21" s="502">
        <f>G47</f>
        <v>60830.005740000008</v>
      </c>
      <c r="S21" s="691">
        <v>1560</v>
      </c>
      <c r="T21" s="507">
        <f t="shared" si="8"/>
        <v>38.99</v>
      </c>
      <c r="U21" s="503">
        <v>0.3</v>
      </c>
      <c r="V21" s="503">
        <v>0.6</v>
      </c>
    </row>
    <row r="22" spans="1:22">
      <c r="A22" s="522">
        <v>4</v>
      </c>
      <c r="B22" s="510" t="s">
        <v>817</v>
      </c>
      <c r="C22" s="728">
        <v>27596.100000000002</v>
      </c>
      <c r="D22" s="489">
        <f t="shared" si="9"/>
        <v>2552.4618000000005</v>
      </c>
      <c r="E22" s="511">
        <f t="shared" si="0"/>
        <v>137.98050000000001</v>
      </c>
      <c r="F22" s="489">
        <f t="shared" si="1"/>
        <v>5706.8734800000011</v>
      </c>
      <c r="G22" s="512">
        <f t="shared" si="10"/>
        <v>35993.415780000003</v>
      </c>
      <c r="H22" s="527">
        <f t="shared" si="2"/>
        <v>27596.100000000002</v>
      </c>
      <c r="I22" s="528">
        <v>5519.2200000000012</v>
      </c>
      <c r="J22" s="528">
        <f t="shared" si="3"/>
        <v>33115.320000000007</v>
      </c>
      <c r="K22" s="528">
        <f t="shared" si="4"/>
        <v>3314.1141600000014</v>
      </c>
      <c r="L22" s="528">
        <f t="shared" si="5"/>
        <v>165.57660000000004</v>
      </c>
      <c r="M22" s="528">
        <f t="shared" si="6"/>
        <v>6848.2481760000019</v>
      </c>
      <c r="N22" s="528">
        <f t="shared" si="7"/>
        <v>43443.258936000013</v>
      </c>
      <c r="O22" s="490"/>
      <c r="P22" s="489" t="s">
        <v>814</v>
      </c>
      <c r="Q22" s="149" t="s">
        <v>818</v>
      </c>
      <c r="R22" s="502">
        <f>G51</f>
        <v>66309.248879999999</v>
      </c>
      <c r="S22" s="691">
        <v>1560</v>
      </c>
      <c r="T22" s="507">
        <f t="shared" si="8"/>
        <v>42.51</v>
      </c>
      <c r="U22" s="503">
        <v>0.3</v>
      </c>
      <c r="V22" s="503">
        <v>0.6</v>
      </c>
    </row>
    <row r="23" spans="1:22">
      <c r="A23" s="522">
        <v>4</v>
      </c>
      <c r="B23" s="510" t="s">
        <v>819</v>
      </c>
      <c r="C23" s="728">
        <v>27596.100000000002</v>
      </c>
      <c r="D23" s="489">
        <f t="shared" si="9"/>
        <v>2552.4618000000005</v>
      </c>
      <c r="E23" s="511">
        <f t="shared" si="0"/>
        <v>137.98050000000001</v>
      </c>
      <c r="F23" s="489">
        <f t="shared" si="1"/>
        <v>5706.8734800000011</v>
      </c>
      <c r="G23" s="512">
        <f t="shared" si="10"/>
        <v>35993.415780000003</v>
      </c>
      <c r="H23" s="527">
        <f t="shared" si="2"/>
        <v>27596.100000000002</v>
      </c>
      <c r="I23" s="528">
        <v>5519.2200000000012</v>
      </c>
      <c r="J23" s="528">
        <f t="shared" si="3"/>
        <v>33115.320000000007</v>
      </c>
      <c r="K23" s="528">
        <f t="shared" si="4"/>
        <v>3314.1141600000014</v>
      </c>
      <c r="L23" s="528">
        <f t="shared" si="5"/>
        <v>165.57660000000004</v>
      </c>
      <c r="M23" s="528">
        <f t="shared" si="6"/>
        <v>6848.2481760000019</v>
      </c>
      <c r="N23" s="528">
        <f t="shared" si="7"/>
        <v>43443.258936000013</v>
      </c>
      <c r="O23" s="490"/>
      <c r="P23" s="489" t="s">
        <v>820</v>
      </c>
      <c r="Q23" s="149" t="s">
        <v>821</v>
      </c>
      <c r="R23" s="502">
        <f>G52</f>
        <v>67519.61454000001</v>
      </c>
      <c r="S23" s="691">
        <v>1560</v>
      </c>
      <c r="T23" s="507">
        <f t="shared" si="8"/>
        <v>43.28</v>
      </c>
      <c r="U23" s="503">
        <v>0.3</v>
      </c>
      <c r="V23" s="503">
        <v>0.6</v>
      </c>
    </row>
    <row r="24" spans="1:22">
      <c r="A24" s="522">
        <v>4</v>
      </c>
      <c r="B24" s="510" t="s">
        <v>822</v>
      </c>
      <c r="C24" s="728">
        <v>27596.100000000002</v>
      </c>
      <c r="D24" s="489">
        <f t="shared" si="9"/>
        <v>2552.4618000000005</v>
      </c>
      <c r="E24" s="511">
        <f t="shared" si="0"/>
        <v>137.98050000000001</v>
      </c>
      <c r="F24" s="489">
        <f t="shared" si="1"/>
        <v>5706.8734800000011</v>
      </c>
      <c r="G24" s="512">
        <f t="shared" si="10"/>
        <v>35993.415780000003</v>
      </c>
      <c r="H24" s="527">
        <f t="shared" si="2"/>
        <v>27596.100000000002</v>
      </c>
      <c r="I24" s="528">
        <v>5519.2200000000012</v>
      </c>
      <c r="J24" s="528">
        <f t="shared" si="3"/>
        <v>33115.320000000007</v>
      </c>
      <c r="K24" s="528">
        <f t="shared" si="4"/>
        <v>3314.1141600000014</v>
      </c>
      <c r="L24" s="528">
        <f t="shared" si="5"/>
        <v>165.57660000000004</v>
      </c>
      <c r="M24" s="528">
        <f t="shared" si="6"/>
        <v>6848.2481760000019</v>
      </c>
      <c r="N24" s="528">
        <f t="shared" si="7"/>
        <v>43443.258936000013</v>
      </c>
      <c r="O24" s="490"/>
      <c r="P24" s="489" t="s">
        <v>820</v>
      </c>
      <c r="Q24" s="149" t="s">
        <v>95</v>
      </c>
      <c r="R24" s="502">
        <f>G54</f>
        <v>67519.61454000001</v>
      </c>
      <c r="S24" s="691">
        <v>1560</v>
      </c>
      <c r="T24" s="507">
        <f t="shared" si="8"/>
        <v>43.28</v>
      </c>
      <c r="U24" s="503">
        <v>0.3</v>
      </c>
      <c r="V24" s="503">
        <v>0.6</v>
      </c>
    </row>
    <row r="25" spans="1:22">
      <c r="A25" s="522">
        <v>4</v>
      </c>
      <c r="B25" s="510" t="s">
        <v>823</v>
      </c>
      <c r="C25" s="728">
        <v>27596.100000000002</v>
      </c>
      <c r="D25" s="489">
        <f t="shared" si="9"/>
        <v>2552.4618000000005</v>
      </c>
      <c r="E25" s="511">
        <f t="shared" si="0"/>
        <v>137.98050000000001</v>
      </c>
      <c r="F25" s="489">
        <f t="shared" si="1"/>
        <v>5706.8734800000011</v>
      </c>
      <c r="G25" s="512">
        <f t="shared" si="10"/>
        <v>35993.415780000003</v>
      </c>
      <c r="H25" s="527">
        <f t="shared" si="2"/>
        <v>27596.100000000002</v>
      </c>
      <c r="I25" s="528">
        <v>5519.2200000000012</v>
      </c>
      <c r="J25" s="528">
        <f t="shared" si="3"/>
        <v>33115.320000000007</v>
      </c>
      <c r="K25" s="528">
        <f t="shared" si="4"/>
        <v>3314.1141600000014</v>
      </c>
      <c r="L25" s="528">
        <f t="shared" si="5"/>
        <v>165.57660000000004</v>
      </c>
      <c r="M25" s="528">
        <f t="shared" si="6"/>
        <v>6848.2481760000019</v>
      </c>
      <c r="N25" s="528">
        <f t="shared" si="7"/>
        <v>43443.258936000013</v>
      </c>
      <c r="O25" s="490"/>
      <c r="P25" s="489" t="s">
        <v>820</v>
      </c>
      <c r="Q25" s="149" t="s">
        <v>824</v>
      </c>
      <c r="R25" s="502">
        <f>G57</f>
        <v>76155.162510000009</v>
      </c>
      <c r="S25" s="691">
        <v>1560</v>
      </c>
      <c r="T25" s="507">
        <f t="shared" si="8"/>
        <v>48.82</v>
      </c>
      <c r="U25" s="503">
        <v>0.3</v>
      </c>
      <c r="V25" s="503">
        <v>0.6</v>
      </c>
    </row>
    <row r="26" spans="1:22">
      <c r="A26" s="522">
        <v>5</v>
      </c>
      <c r="B26" s="510" t="s">
        <v>825</v>
      </c>
      <c r="C26" s="728">
        <v>28407.75</v>
      </c>
      <c r="D26" s="489">
        <f t="shared" si="9"/>
        <v>2664.4695000000002</v>
      </c>
      <c r="E26" s="511">
        <f t="shared" si="0"/>
        <v>142.03874999999999</v>
      </c>
      <c r="F26" s="489">
        <f t="shared" si="1"/>
        <v>5874.7227000000003</v>
      </c>
      <c r="G26" s="512">
        <f t="shared" si="10"/>
        <v>37088.980949999997</v>
      </c>
      <c r="H26" s="527">
        <f t="shared" si="2"/>
        <v>28407.75</v>
      </c>
      <c r="I26" s="528">
        <v>5681.55</v>
      </c>
      <c r="J26" s="528">
        <f t="shared" si="3"/>
        <v>34089.300000000003</v>
      </c>
      <c r="K26" s="528">
        <f t="shared" si="4"/>
        <v>3448.5234000000005</v>
      </c>
      <c r="L26" s="528">
        <f t="shared" si="5"/>
        <v>170.44650000000001</v>
      </c>
      <c r="M26" s="528">
        <f t="shared" si="6"/>
        <v>7049.6672400000007</v>
      </c>
      <c r="N26" s="528">
        <f t="shared" si="7"/>
        <v>44757.937140000002</v>
      </c>
      <c r="O26" s="490"/>
      <c r="P26" s="489" t="s">
        <v>826</v>
      </c>
      <c r="Q26" s="149" t="s">
        <v>827</v>
      </c>
      <c r="R26" s="502">
        <f>G58</f>
        <v>78344.875560000015</v>
      </c>
      <c r="S26" s="691">
        <v>1560</v>
      </c>
      <c r="T26" s="507">
        <f t="shared" si="8"/>
        <v>50.22</v>
      </c>
      <c r="U26" s="503">
        <v>0.3</v>
      </c>
      <c r="V26" s="503">
        <v>0.6</v>
      </c>
    </row>
    <row r="27" spans="1:22">
      <c r="A27" s="522">
        <v>5</v>
      </c>
      <c r="B27" s="510" t="s">
        <v>828</v>
      </c>
      <c r="C27" s="728">
        <v>28407.75</v>
      </c>
      <c r="D27" s="489">
        <f t="shared" si="9"/>
        <v>2664.4695000000002</v>
      </c>
      <c r="E27" s="511">
        <f t="shared" si="0"/>
        <v>142.03874999999999</v>
      </c>
      <c r="F27" s="489">
        <f t="shared" si="1"/>
        <v>5874.7227000000003</v>
      </c>
      <c r="G27" s="512">
        <f t="shared" si="10"/>
        <v>37088.980949999997</v>
      </c>
      <c r="H27" s="527">
        <f t="shared" si="2"/>
        <v>28407.75</v>
      </c>
      <c r="I27" s="528">
        <v>5681.55</v>
      </c>
      <c r="J27" s="528">
        <f t="shared" si="3"/>
        <v>34089.300000000003</v>
      </c>
      <c r="K27" s="528">
        <f t="shared" si="4"/>
        <v>3448.5234000000005</v>
      </c>
      <c r="L27" s="528">
        <f t="shared" si="5"/>
        <v>170.44650000000001</v>
      </c>
      <c r="M27" s="528">
        <f t="shared" si="6"/>
        <v>7049.6672400000007</v>
      </c>
      <c r="N27" s="528">
        <f t="shared" si="7"/>
        <v>44757.937140000002</v>
      </c>
      <c r="O27" s="490"/>
      <c r="P27" s="489" t="s">
        <v>826</v>
      </c>
      <c r="Q27" s="149" t="s">
        <v>829</v>
      </c>
      <c r="R27" s="502">
        <f>G60</f>
        <v>78344.875560000015</v>
      </c>
      <c r="S27" s="691">
        <v>1560</v>
      </c>
      <c r="T27" s="507">
        <f t="shared" si="8"/>
        <v>50.22</v>
      </c>
      <c r="U27" s="503">
        <v>0.3</v>
      </c>
      <c r="V27" s="503">
        <v>0.6</v>
      </c>
    </row>
    <row r="28" spans="1:22">
      <c r="A28" s="522">
        <v>5</v>
      </c>
      <c r="B28" s="510" t="s">
        <v>830</v>
      </c>
      <c r="C28" s="728">
        <v>30639</v>
      </c>
      <c r="D28" s="489">
        <f t="shared" si="9"/>
        <v>2972.3820000000001</v>
      </c>
      <c r="E28" s="511">
        <f t="shared" si="0"/>
        <v>153.19499999999999</v>
      </c>
      <c r="F28" s="489">
        <f t="shared" si="1"/>
        <v>6336.1451999999999</v>
      </c>
      <c r="G28" s="512">
        <f t="shared" si="10"/>
        <v>40100.722199999997</v>
      </c>
      <c r="H28" s="527">
        <f t="shared" si="2"/>
        <v>30639</v>
      </c>
      <c r="I28" s="528">
        <v>6127.8</v>
      </c>
      <c r="J28" s="528">
        <f t="shared" si="3"/>
        <v>36766.800000000003</v>
      </c>
      <c r="K28" s="528">
        <f t="shared" si="4"/>
        <v>3818.0184000000008</v>
      </c>
      <c r="L28" s="528">
        <f t="shared" si="5"/>
        <v>183.83400000000003</v>
      </c>
      <c r="M28" s="528">
        <f t="shared" si="6"/>
        <v>7603.374240000001</v>
      </c>
      <c r="N28" s="528">
        <f t="shared" si="7"/>
        <v>48372.026640000011</v>
      </c>
      <c r="O28" s="490"/>
      <c r="P28" s="489" t="s">
        <v>826</v>
      </c>
      <c r="Q28" s="149" t="s">
        <v>831</v>
      </c>
      <c r="R28" s="502">
        <f>G63</f>
        <v>91239.379980000012</v>
      </c>
      <c r="S28" s="691">
        <v>1560</v>
      </c>
      <c r="T28" s="507">
        <f t="shared" si="8"/>
        <v>58.49</v>
      </c>
      <c r="U28" s="503">
        <v>0.3</v>
      </c>
      <c r="V28" s="503">
        <v>0.6</v>
      </c>
    </row>
    <row r="29" spans="1:22">
      <c r="A29" s="522">
        <v>5</v>
      </c>
      <c r="B29" s="510" t="s">
        <v>832</v>
      </c>
      <c r="C29" s="728">
        <v>30639</v>
      </c>
      <c r="D29" s="489">
        <f t="shared" si="9"/>
        <v>2972.3820000000001</v>
      </c>
      <c r="E29" s="511">
        <f t="shared" si="0"/>
        <v>153.19499999999999</v>
      </c>
      <c r="F29" s="489">
        <f t="shared" si="1"/>
        <v>6336.1451999999999</v>
      </c>
      <c r="G29" s="512">
        <f t="shared" si="10"/>
        <v>40100.722199999997</v>
      </c>
      <c r="H29" s="527">
        <f t="shared" si="2"/>
        <v>30639</v>
      </c>
      <c r="I29" s="528">
        <v>6127.8</v>
      </c>
      <c r="J29" s="528">
        <f t="shared" si="3"/>
        <v>36766.800000000003</v>
      </c>
      <c r="K29" s="528">
        <f t="shared" si="4"/>
        <v>3818.0184000000008</v>
      </c>
      <c r="L29" s="528">
        <f t="shared" si="5"/>
        <v>183.83400000000003</v>
      </c>
      <c r="M29" s="528">
        <f t="shared" si="6"/>
        <v>7603.374240000001</v>
      </c>
      <c r="N29" s="528">
        <f t="shared" si="7"/>
        <v>48372.026640000011</v>
      </c>
      <c r="O29" s="490"/>
      <c r="P29" s="489" t="s">
        <v>833</v>
      </c>
      <c r="Q29" s="149" t="s">
        <v>834</v>
      </c>
      <c r="R29" s="502">
        <f>G64</f>
        <v>93793.336559999996</v>
      </c>
      <c r="S29" s="691">
        <v>1560</v>
      </c>
      <c r="T29" s="507">
        <f t="shared" si="8"/>
        <v>60.12</v>
      </c>
      <c r="U29" s="503">
        <v>0.3</v>
      </c>
      <c r="V29" s="503">
        <v>0.6</v>
      </c>
    </row>
    <row r="30" spans="1:22">
      <c r="A30" s="522">
        <v>5</v>
      </c>
      <c r="B30" s="510" t="s">
        <v>835</v>
      </c>
      <c r="C30" s="728">
        <v>34580.700000000004</v>
      </c>
      <c r="D30" s="489">
        <f t="shared" si="9"/>
        <v>3516.336600000001</v>
      </c>
      <c r="E30" s="511">
        <f t="shared" si="0"/>
        <v>172.90350000000004</v>
      </c>
      <c r="F30" s="489">
        <f t="shared" si="1"/>
        <v>7151.2887600000013</v>
      </c>
      <c r="G30" s="512">
        <f t="shared" si="10"/>
        <v>45421.22886000001</v>
      </c>
      <c r="H30" s="527">
        <f t="shared" si="2"/>
        <v>34580.700000000004</v>
      </c>
      <c r="I30" s="528">
        <v>6916.14</v>
      </c>
      <c r="J30" s="528">
        <f t="shared" si="3"/>
        <v>41496.840000000004</v>
      </c>
      <c r="K30" s="528">
        <f t="shared" si="4"/>
        <v>4470.7639200000012</v>
      </c>
      <c r="L30" s="528">
        <f t="shared" si="5"/>
        <v>207.48420000000002</v>
      </c>
      <c r="M30" s="528">
        <f t="shared" si="6"/>
        <v>8581.5465120000008</v>
      </c>
      <c r="N30" s="528">
        <f t="shared" si="7"/>
        <v>54756.634632000008</v>
      </c>
      <c r="O30" s="490"/>
      <c r="P30" s="489" t="s">
        <v>833</v>
      </c>
      <c r="Q30" s="149" t="s">
        <v>836</v>
      </c>
      <c r="R30" s="502">
        <f>G66</f>
        <v>93793.336559999996</v>
      </c>
      <c r="S30" s="691">
        <v>1560</v>
      </c>
      <c r="T30" s="507">
        <f t="shared" si="8"/>
        <v>60.12</v>
      </c>
      <c r="U30" s="503">
        <v>0.3</v>
      </c>
      <c r="V30" s="503">
        <v>0.6</v>
      </c>
    </row>
    <row r="31" spans="1:22">
      <c r="A31" s="522">
        <v>5</v>
      </c>
      <c r="B31" s="510" t="s">
        <v>837</v>
      </c>
      <c r="C31" s="728">
        <v>34580.700000000004</v>
      </c>
      <c r="D31" s="489">
        <f t="shared" si="9"/>
        <v>3516.336600000001</v>
      </c>
      <c r="E31" s="511">
        <f t="shared" si="0"/>
        <v>172.90350000000004</v>
      </c>
      <c r="F31" s="489">
        <f t="shared" si="1"/>
        <v>7151.2887600000013</v>
      </c>
      <c r="G31" s="512">
        <f t="shared" si="10"/>
        <v>45421.22886000001</v>
      </c>
      <c r="H31" s="527">
        <f t="shared" si="2"/>
        <v>34580.700000000004</v>
      </c>
      <c r="I31" s="528">
        <v>6916.14</v>
      </c>
      <c r="J31" s="528">
        <f t="shared" si="3"/>
        <v>41496.840000000004</v>
      </c>
      <c r="K31" s="528">
        <f t="shared" si="4"/>
        <v>4470.7639200000012</v>
      </c>
      <c r="L31" s="528">
        <f t="shared" si="5"/>
        <v>207.48420000000002</v>
      </c>
      <c r="M31" s="528">
        <f t="shared" si="6"/>
        <v>8581.5465120000008</v>
      </c>
      <c r="N31" s="528">
        <f t="shared" si="7"/>
        <v>54756.634632000008</v>
      </c>
      <c r="O31" s="490"/>
      <c r="P31" s="489" t="s">
        <v>833</v>
      </c>
      <c r="Q31" s="149" t="s">
        <v>838</v>
      </c>
      <c r="R31" s="502">
        <f>G69</f>
        <v>108263.86746000001</v>
      </c>
      <c r="S31" s="691">
        <v>1560</v>
      </c>
      <c r="T31" s="507">
        <f t="shared" si="8"/>
        <v>69.400000000000006</v>
      </c>
      <c r="U31" s="503">
        <v>0.3</v>
      </c>
      <c r="V31" s="503">
        <v>0.6</v>
      </c>
    </row>
    <row r="32" spans="1:22">
      <c r="A32" s="522">
        <v>5</v>
      </c>
      <c r="B32" s="510" t="s">
        <v>839</v>
      </c>
      <c r="C32" s="728">
        <v>34580.700000000004</v>
      </c>
      <c r="D32" s="489">
        <f t="shared" si="9"/>
        <v>3516.336600000001</v>
      </c>
      <c r="E32" s="511">
        <f t="shared" si="0"/>
        <v>172.90350000000004</v>
      </c>
      <c r="F32" s="489">
        <f t="shared" si="1"/>
        <v>7151.2887600000013</v>
      </c>
      <c r="G32" s="512">
        <f t="shared" si="10"/>
        <v>45421.22886000001</v>
      </c>
      <c r="H32" s="527">
        <f t="shared" si="2"/>
        <v>34580.700000000004</v>
      </c>
      <c r="I32" s="528">
        <v>6916.14</v>
      </c>
      <c r="J32" s="528">
        <f t="shared" si="3"/>
        <v>41496.840000000004</v>
      </c>
      <c r="K32" s="528">
        <f t="shared" si="4"/>
        <v>4470.7639200000012</v>
      </c>
      <c r="L32" s="528">
        <f t="shared" si="5"/>
        <v>207.48420000000002</v>
      </c>
      <c r="M32" s="528">
        <f t="shared" si="6"/>
        <v>8581.5465120000008</v>
      </c>
      <c r="N32" s="528">
        <f t="shared" si="7"/>
        <v>54756.634632000008</v>
      </c>
      <c r="O32" s="490"/>
      <c r="P32" s="489" t="s">
        <v>840</v>
      </c>
      <c r="Q32" s="149" t="s">
        <v>841</v>
      </c>
      <c r="R32" s="502">
        <f>G70</f>
        <v>111549.14568</v>
      </c>
      <c r="S32" s="691">
        <v>1560</v>
      </c>
      <c r="T32" s="507">
        <f t="shared" si="8"/>
        <v>71.510000000000005</v>
      </c>
      <c r="U32" s="503">
        <v>0.3</v>
      </c>
      <c r="V32" s="503">
        <v>0.6</v>
      </c>
    </row>
    <row r="33" spans="1:23">
      <c r="A33" s="522">
        <v>5</v>
      </c>
      <c r="B33" s="510" t="s">
        <v>842</v>
      </c>
      <c r="C33" s="728">
        <v>34580.700000000004</v>
      </c>
      <c r="D33" s="489">
        <f t="shared" si="9"/>
        <v>3516.336600000001</v>
      </c>
      <c r="E33" s="511">
        <f t="shared" si="0"/>
        <v>172.90350000000004</v>
      </c>
      <c r="F33" s="489">
        <f t="shared" si="1"/>
        <v>7151.2887600000013</v>
      </c>
      <c r="G33" s="512">
        <f t="shared" si="10"/>
        <v>45421.22886000001</v>
      </c>
      <c r="H33" s="527">
        <f t="shared" si="2"/>
        <v>34580.700000000004</v>
      </c>
      <c r="I33" s="528">
        <v>6916.14</v>
      </c>
      <c r="J33" s="528">
        <f t="shared" si="3"/>
        <v>41496.840000000004</v>
      </c>
      <c r="K33" s="528">
        <f t="shared" si="4"/>
        <v>4470.7639200000012</v>
      </c>
      <c r="L33" s="528">
        <f t="shared" si="5"/>
        <v>207.48420000000002</v>
      </c>
      <c r="M33" s="528">
        <f t="shared" si="6"/>
        <v>8581.5465120000008</v>
      </c>
      <c r="N33" s="528">
        <f t="shared" si="7"/>
        <v>54756.634632000008</v>
      </c>
      <c r="O33" s="490"/>
      <c r="P33" s="489" t="s">
        <v>840</v>
      </c>
      <c r="Q33" s="149" t="s">
        <v>843</v>
      </c>
      <c r="R33" s="502">
        <f>G72</f>
        <v>111549.14568</v>
      </c>
      <c r="S33" s="691">
        <v>1560</v>
      </c>
      <c r="T33" s="507">
        <f t="shared" si="8"/>
        <v>71.510000000000005</v>
      </c>
      <c r="U33" s="503">
        <v>0.3</v>
      </c>
      <c r="V33" s="503">
        <v>0.6</v>
      </c>
    </row>
    <row r="34" spans="1:23">
      <c r="A34" s="522">
        <v>6</v>
      </c>
      <c r="B34" s="510" t="s">
        <v>844</v>
      </c>
      <c r="C34" s="728">
        <v>35391.300000000003</v>
      </c>
      <c r="D34" s="489">
        <f t="shared" si="9"/>
        <v>3628.1994000000009</v>
      </c>
      <c r="E34" s="511">
        <f t="shared" si="0"/>
        <v>176.95650000000001</v>
      </c>
      <c r="F34" s="489">
        <f t="shared" si="1"/>
        <v>7318.9208400000007</v>
      </c>
      <c r="G34" s="512">
        <f t="shared" si="10"/>
        <v>46515.37674</v>
      </c>
      <c r="H34" s="527">
        <f t="shared" si="2"/>
        <v>35391.300000000003</v>
      </c>
      <c r="I34" s="528">
        <v>7078.2600000000011</v>
      </c>
      <c r="J34" s="528">
        <f t="shared" si="3"/>
        <v>42469.560000000005</v>
      </c>
      <c r="K34" s="528">
        <f t="shared" si="4"/>
        <v>4604.9992800000009</v>
      </c>
      <c r="L34" s="528">
        <f t="shared" si="5"/>
        <v>212.34780000000003</v>
      </c>
      <c r="M34" s="528">
        <f t="shared" si="6"/>
        <v>8782.7050080000008</v>
      </c>
      <c r="N34" s="528">
        <f t="shared" si="7"/>
        <v>56069.612088000009</v>
      </c>
      <c r="O34" s="490"/>
      <c r="P34" s="489" t="s">
        <v>840</v>
      </c>
      <c r="Q34" s="149" t="s">
        <v>845</v>
      </c>
      <c r="R34" s="502">
        <f>G75</f>
        <v>128832.99723000001</v>
      </c>
      <c r="S34" s="691">
        <v>1560</v>
      </c>
      <c r="T34" s="507">
        <f t="shared" si="8"/>
        <v>82.59</v>
      </c>
      <c r="U34" s="503">
        <v>0.3</v>
      </c>
      <c r="V34" s="503">
        <v>0.6</v>
      </c>
    </row>
    <row r="35" spans="1:23">
      <c r="A35" s="522">
        <v>6</v>
      </c>
      <c r="B35" s="510" t="s">
        <v>846</v>
      </c>
      <c r="C35" s="728">
        <v>35391.300000000003</v>
      </c>
      <c r="D35" s="489">
        <f t="shared" si="9"/>
        <v>3628.1994000000009</v>
      </c>
      <c r="E35" s="511">
        <f t="shared" si="0"/>
        <v>176.95650000000001</v>
      </c>
      <c r="F35" s="489">
        <f t="shared" si="1"/>
        <v>7318.9208400000007</v>
      </c>
      <c r="G35" s="512">
        <f t="shared" si="10"/>
        <v>46515.37674</v>
      </c>
      <c r="H35" s="527">
        <f t="shared" si="2"/>
        <v>35391.300000000003</v>
      </c>
      <c r="I35" s="528">
        <v>7078.2600000000011</v>
      </c>
      <c r="J35" s="528">
        <f t="shared" si="3"/>
        <v>42469.560000000005</v>
      </c>
      <c r="K35" s="528">
        <f t="shared" si="4"/>
        <v>4604.9992800000009</v>
      </c>
      <c r="L35" s="528">
        <f t="shared" si="5"/>
        <v>212.34780000000003</v>
      </c>
      <c r="M35" s="528">
        <f t="shared" si="6"/>
        <v>8782.7050080000008</v>
      </c>
      <c r="N35" s="528">
        <f t="shared" si="7"/>
        <v>56069.612088000009</v>
      </c>
      <c r="O35" s="490"/>
      <c r="P35" s="489" t="s">
        <v>847</v>
      </c>
      <c r="Q35" s="149" t="s">
        <v>848</v>
      </c>
      <c r="R35" s="502">
        <f>G76</f>
        <v>133578.08415000001</v>
      </c>
      <c r="S35" s="691">
        <v>1560</v>
      </c>
      <c r="T35" s="507">
        <f t="shared" si="8"/>
        <v>85.63</v>
      </c>
      <c r="U35" s="503">
        <v>0.3</v>
      </c>
      <c r="V35" s="503">
        <v>0.6</v>
      </c>
    </row>
    <row r="36" spans="1:23">
      <c r="A36" s="522">
        <v>6</v>
      </c>
      <c r="B36" s="510" t="s">
        <v>849</v>
      </c>
      <c r="C36" s="728">
        <v>37350.6</v>
      </c>
      <c r="D36" s="489">
        <f t="shared" si="9"/>
        <v>3898.5828000000001</v>
      </c>
      <c r="E36" s="511">
        <f t="shared" si="0"/>
        <v>186.75299999999999</v>
      </c>
      <c r="F36" s="489">
        <f t="shared" si="1"/>
        <v>7724.1040800000001</v>
      </c>
      <c r="G36" s="512">
        <f t="shared" si="10"/>
        <v>49160.039879999989</v>
      </c>
      <c r="H36" s="527">
        <f t="shared" si="2"/>
        <v>37350.6</v>
      </c>
      <c r="I36" s="528">
        <v>7470.1200000000008</v>
      </c>
      <c r="J36" s="528">
        <f t="shared" si="3"/>
        <v>44820.72</v>
      </c>
      <c r="K36" s="528">
        <f t="shared" si="4"/>
        <v>4929.4593600000007</v>
      </c>
      <c r="L36" s="528">
        <f t="shared" si="5"/>
        <v>224.1036</v>
      </c>
      <c r="M36" s="528">
        <f t="shared" si="6"/>
        <v>9268.9248960000004</v>
      </c>
      <c r="N36" s="528">
        <f t="shared" si="7"/>
        <v>59243.207856000008</v>
      </c>
      <c r="O36" s="490"/>
      <c r="P36" s="489" t="s">
        <v>847</v>
      </c>
      <c r="Q36" s="149" t="s">
        <v>850</v>
      </c>
      <c r="R36" s="502">
        <f>G78</f>
        <v>133578.08415000001</v>
      </c>
      <c r="S36" s="691">
        <v>1560</v>
      </c>
      <c r="T36" s="507">
        <f t="shared" si="8"/>
        <v>85.63</v>
      </c>
      <c r="U36" s="503">
        <v>0.3</v>
      </c>
      <c r="V36" s="503">
        <v>0.6</v>
      </c>
    </row>
    <row r="37" spans="1:23">
      <c r="A37" s="522">
        <v>6</v>
      </c>
      <c r="B37" s="510" t="s">
        <v>851</v>
      </c>
      <c r="C37" s="728">
        <v>37350.6</v>
      </c>
      <c r="D37" s="489">
        <f t="shared" ref="D37:D68" si="11">(C37-$B$104)*0.138</f>
        <v>3898.5828000000001</v>
      </c>
      <c r="E37" s="511">
        <f t="shared" si="0"/>
        <v>186.75299999999999</v>
      </c>
      <c r="F37" s="489">
        <f t="shared" si="1"/>
        <v>7724.1040800000001</v>
      </c>
      <c r="G37" s="512">
        <f t="shared" si="10"/>
        <v>49160.039879999989</v>
      </c>
      <c r="H37" s="527">
        <f t="shared" si="2"/>
        <v>37350.6</v>
      </c>
      <c r="I37" s="528">
        <v>7470.1200000000008</v>
      </c>
      <c r="J37" s="528">
        <f t="shared" si="3"/>
        <v>44820.72</v>
      </c>
      <c r="K37" s="528">
        <f t="shared" ref="K37:K68" si="12">(J37-$B$104)*0.138</f>
        <v>4929.4593600000007</v>
      </c>
      <c r="L37" s="528">
        <f t="shared" si="5"/>
        <v>224.1036</v>
      </c>
      <c r="M37" s="528">
        <f t="shared" si="6"/>
        <v>9268.9248960000004</v>
      </c>
      <c r="N37" s="528">
        <f t="shared" si="7"/>
        <v>59243.207856000008</v>
      </c>
      <c r="O37" s="490"/>
      <c r="P37" s="489" t="s">
        <v>847</v>
      </c>
      <c r="Q37" s="149" t="s">
        <v>852</v>
      </c>
      <c r="R37" s="502">
        <f>G81</f>
        <v>153902.02275</v>
      </c>
      <c r="S37" s="691">
        <v>1560</v>
      </c>
      <c r="T37" s="507">
        <f t="shared" si="8"/>
        <v>98.66</v>
      </c>
      <c r="U37" s="503">
        <v>0.3</v>
      </c>
      <c r="V37" s="503">
        <v>0.6</v>
      </c>
    </row>
    <row r="38" spans="1:23">
      <c r="A38" s="522">
        <v>6</v>
      </c>
      <c r="B38" s="510" t="s">
        <v>853</v>
      </c>
      <c r="C38" s="728">
        <v>37350.6</v>
      </c>
      <c r="D38" s="489">
        <f t="shared" si="11"/>
        <v>3898.5828000000001</v>
      </c>
      <c r="E38" s="511">
        <f t="shared" si="0"/>
        <v>186.75299999999999</v>
      </c>
      <c r="F38" s="489">
        <f t="shared" si="1"/>
        <v>7724.1040800000001</v>
      </c>
      <c r="G38" s="512">
        <f t="shared" si="10"/>
        <v>49160.039879999989</v>
      </c>
      <c r="H38" s="527">
        <f t="shared" si="2"/>
        <v>37350.6</v>
      </c>
      <c r="I38" s="528">
        <v>7470.1200000000008</v>
      </c>
      <c r="J38" s="528">
        <f t="shared" si="3"/>
        <v>44820.72</v>
      </c>
      <c r="K38" s="528">
        <f t="shared" si="12"/>
        <v>4929.4593600000007</v>
      </c>
      <c r="L38" s="528">
        <f t="shared" si="5"/>
        <v>224.1036</v>
      </c>
      <c r="M38" s="528">
        <f t="shared" si="6"/>
        <v>9268.9248960000004</v>
      </c>
      <c r="N38" s="528">
        <f t="shared" si="7"/>
        <v>59243.207856000008</v>
      </c>
      <c r="O38" s="490"/>
      <c r="P38" s="489" t="s">
        <v>854</v>
      </c>
      <c r="Q38" s="149" t="s">
        <v>855</v>
      </c>
      <c r="R38" s="502">
        <f>G82</f>
        <v>118017.92720000001</v>
      </c>
      <c r="S38" s="691">
        <v>1376</v>
      </c>
      <c r="T38" s="507">
        <f t="shared" si="8"/>
        <v>85.77</v>
      </c>
      <c r="U38" s="504">
        <v>0</v>
      </c>
      <c r="V38" s="504">
        <v>0</v>
      </c>
    </row>
    <row r="39" spans="1:23">
      <c r="A39" s="522">
        <v>6</v>
      </c>
      <c r="B39" s="510" t="s">
        <v>856</v>
      </c>
      <c r="C39" s="728">
        <v>42617.4</v>
      </c>
      <c r="D39" s="489">
        <f t="shared" si="11"/>
        <v>4625.4012000000002</v>
      </c>
      <c r="E39" s="511">
        <f t="shared" si="0"/>
        <v>213.08700000000002</v>
      </c>
      <c r="F39" s="489">
        <f t="shared" si="1"/>
        <v>8813.2783200000013</v>
      </c>
      <c r="G39" s="512">
        <f t="shared" si="10"/>
        <v>56269.166519999999</v>
      </c>
      <c r="H39" s="527">
        <f t="shared" si="2"/>
        <v>42617.4</v>
      </c>
      <c r="I39" s="528">
        <v>7745.85</v>
      </c>
      <c r="J39" s="528">
        <f t="shared" si="3"/>
        <v>50363.25</v>
      </c>
      <c r="K39" s="528">
        <f t="shared" si="12"/>
        <v>5694.3285000000005</v>
      </c>
      <c r="L39" s="528">
        <f t="shared" si="5"/>
        <v>251.81625</v>
      </c>
      <c r="M39" s="528">
        <f t="shared" si="6"/>
        <v>10415.1201</v>
      </c>
      <c r="N39" s="528">
        <f t="shared" si="7"/>
        <v>66724.514850000007</v>
      </c>
      <c r="O39" s="490"/>
      <c r="P39" s="489" t="s">
        <v>854</v>
      </c>
      <c r="Q39" s="149" t="s">
        <v>96</v>
      </c>
      <c r="R39" s="502">
        <f>G91</f>
        <v>141817.60079999999</v>
      </c>
      <c r="S39" s="691">
        <v>1376</v>
      </c>
      <c r="T39" s="507">
        <f t="shared" si="8"/>
        <v>103.07</v>
      </c>
      <c r="U39" s="504">
        <v>0</v>
      </c>
      <c r="V39" s="504">
        <v>0</v>
      </c>
    </row>
    <row r="40" spans="1:23">
      <c r="A40" s="522">
        <v>6</v>
      </c>
      <c r="B40" s="510" t="s">
        <v>857</v>
      </c>
      <c r="C40" s="728">
        <v>42617.4</v>
      </c>
      <c r="D40" s="489">
        <f t="shared" si="11"/>
        <v>4625.4012000000002</v>
      </c>
      <c r="E40" s="511">
        <f t="shared" si="0"/>
        <v>213.08700000000002</v>
      </c>
      <c r="F40" s="489">
        <f t="shared" si="1"/>
        <v>8813.2783200000013</v>
      </c>
      <c r="G40" s="512">
        <f t="shared" si="10"/>
        <v>56269.166519999999</v>
      </c>
      <c r="H40" s="527">
        <f t="shared" si="2"/>
        <v>42617.4</v>
      </c>
      <c r="I40" s="528">
        <v>7745.85</v>
      </c>
      <c r="J40" s="528">
        <f t="shared" si="3"/>
        <v>50363.25</v>
      </c>
      <c r="K40" s="528">
        <f t="shared" si="12"/>
        <v>5694.3285000000005</v>
      </c>
      <c r="L40" s="528">
        <f t="shared" si="5"/>
        <v>251.81625</v>
      </c>
      <c r="M40" s="528">
        <f t="shared" si="6"/>
        <v>10415.1201</v>
      </c>
      <c r="N40" s="528">
        <f t="shared" si="7"/>
        <v>66724.514850000007</v>
      </c>
      <c r="O40" s="490"/>
      <c r="P40" s="489" t="s">
        <v>854</v>
      </c>
      <c r="Q40" s="149" t="s">
        <v>858</v>
      </c>
      <c r="R40" s="502">
        <f>G100</f>
        <v>159549.92340000003</v>
      </c>
      <c r="S40" s="691">
        <v>1376</v>
      </c>
      <c r="T40" s="507">
        <f t="shared" si="8"/>
        <v>115.95</v>
      </c>
      <c r="U40" s="504">
        <v>0</v>
      </c>
      <c r="V40" s="504">
        <v>0</v>
      </c>
    </row>
    <row r="41" spans="1:23">
      <c r="A41" s="522">
        <v>6</v>
      </c>
      <c r="B41" s="510" t="s">
        <v>859</v>
      </c>
      <c r="C41" s="728">
        <v>42617.4</v>
      </c>
      <c r="D41" s="489">
        <f t="shared" si="11"/>
        <v>4625.4012000000002</v>
      </c>
      <c r="E41" s="511">
        <f t="shared" si="0"/>
        <v>213.08700000000002</v>
      </c>
      <c r="F41" s="489">
        <f t="shared" si="1"/>
        <v>8813.2783200000013</v>
      </c>
      <c r="G41" s="512">
        <f t="shared" si="10"/>
        <v>56269.166519999999</v>
      </c>
      <c r="H41" s="527">
        <f t="shared" si="2"/>
        <v>42617.4</v>
      </c>
      <c r="I41" s="528">
        <v>7745.85</v>
      </c>
      <c r="J41" s="528">
        <f t="shared" si="3"/>
        <v>50363.25</v>
      </c>
      <c r="K41" s="528">
        <f t="shared" si="12"/>
        <v>5694.3285000000005</v>
      </c>
      <c r="L41" s="528">
        <f t="shared" si="5"/>
        <v>251.81625</v>
      </c>
      <c r="M41" s="528">
        <f t="shared" si="6"/>
        <v>10415.1201</v>
      </c>
      <c r="N41" s="528">
        <f t="shared" si="7"/>
        <v>66724.514850000007</v>
      </c>
      <c r="O41" s="490"/>
      <c r="P41" s="489" t="s">
        <v>860</v>
      </c>
      <c r="Q41" s="149" t="s">
        <v>861</v>
      </c>
      <c r="R41" s="778">
        <f>P75</f>
        <v>153400</v>
      </c>
      <c r="S41" s="691">
        <v>1287</v>
      </c>
      <c r="T41" s="507">
        <f t="shared" si="8"/>
        <v>119.19</v>
      </c>
      <c r="U41" s="504">
        <v>0</v>
      </c>
      <c r="V41" s="504">
        <v>0</v>
      </c>
    </row>
    <row r="42" spans="1:23">
      <c r="A42" s="522">
        <v>6</v>
      </c>
      <c r="B42" s="510" t="s">
        <v>862</v>
      </c>
      <c r="C42" s="728">
        <v>42617.4</v>
      </c>
      <c r="D42" s="489">
        <f t="shared" si="11"/>
        <v>4625.4012000000002</v>
      </c>
      <c r="E42" s="511">
        <f t="shared" si="0"/>
        <v>213.08700000000002</v>
      </c>
      <c r="F42" s="489">
        <f t="shared" si="1"/>
        <v>8813.2783200000013</v>
      </c>
      <c r="G42" s="512">
        <f t="shared" si="10"/>
        <v>56269.166519999999</v>
      </c>
      <c r="H42" s="527">
        <f t="shared" si="2"/>
        <v>42617.4</v>
      </c>
      <c r="I42" s="528">
        <v>7745.85</v>
      </c>
      <c r="J42" s="528">
        <f t="shared" si="3"/>
        <v>50363.25</v>
      </c>
      <c r="K42" s="528">
        <f t="shared" si="12"/>
        <v>5694.3285000000005</v>
      </c>
      <c r="L42" s="528">
        <f t="shared" si="5"/>
        <v>251.81625</v>
      </c>
      <c r="M42" s="528">
        <f t="shared" si="6"/>
        <v>10415.1201</v>
      </c>
      <c r="N42" s="528">
        <f t="shared" si="7"/>
        <v>66724.514850000007</v>
      </c>
      <c r="O42" s="490"/>
      <c r="P42" s="191"/>
      <c r="R42"/>
    </row>
    <row r="43" spans="1:23">
      <c r="A43" s="522">
        <v>7</v>
      </c>
      <c r="B43" s="510" t="s">
        <v>863</v>
      </c>
      <c r="C43" s="728">
        <v>43741.950000000004</v>
      </c>
      <c r="D43" s="489">
        <f t="shared" si="11"/>
        <v>4780.5891000000011</v>
      </c>
      <c r="E43" s="511">
        <f t="shared" si="0"/>
        <v>218.70975000000001</v>
      </c>
      <c r="F43" s="489">
        <f t="shared" si="1"/>
        <v>9045.8352600000017</v>
      </c>
      <c r="G43" s="512">
        <f t="shared" si="10"/>
        <v>57787.084110000011</v>
      </c>
      <c r="H43" s="527">
        <f t="shared" si="2"/>
        <v>43741.950000000004</v>
      </c>
      <c r="I43" s="528">
        <v>7745.85</v>
      </c>
      <c r="J43" s="528">
        <f t="shared" si="3"/>
        <v>51487.8</v>
      </c>
      <c r="K43" s="528">
        <f t="shared" si="12"/>
        <v>5849.5164000000013</v>
      </c>
      <c r="L43" s="528">
        <f t="shared" si="5"/>
        <v>257.43900000000002</v>
      </c>
      <c r="M43" s="528">
        <f>J43*0.2068</f>
        <v>10647.67704</v>
      </c>
      <c r="N43" s="528">
        <f t="shared" si="7"/>
        <v>68242.432440000004</v>
      </c>
      <c r="O43" s="490"/>
      <c r="P43" s="191"/>
      <c r="R43"/>
    </row>
    <row r="44" spans="1:23">
      <c r="A44" s="522">
        <v>7</v>
      </c>
      <c r="B44" s="510" t="s">
        <v>864</v>
      </c>
      <c r="C44" s="728">
        <v>43741.950000000004</v>
      </c>
      <c r="D44" s="489">
        <f t="shared" si="11"/>
        <v>4780.5891000000011</v>
      </c>
      <c r="E44" s="511">
        <f t="shared" si="0"/>
        <v>218.70975000000001</v>
      </c>
      <c r="F44" s="489">
        <f t="shared" si="1"/>
        <v>9045.8352600000017</v>
      </c>
      <c r="G44" s="512">
        <f t="shared" si="10"/>
        <v>57787.084110000011</v>
      </c>
      <c r="H44" s="527">
        <f t="shared" si="2"/>
        <v>43741.950000000004</v>
      </c>
      <c r="I44" s="528">
        <v>7745.85</v>
      </c>
      <c r="J44" s="528">
        <f t="shared" si="3"/>
        <v>51487.8</v>
      </c>
      <c r="K44" s="528">
        <f t="shared" si="12"/>
        <v>5849.5164000000013</v>
      </c>
      <c r="L44" s="528">
        <f t="shared" si="5"/>
        <v>257.43900000000002</v>
      </c>
      <c r="M44" s="528">
        <f t="shared" si="6"/>
        <v>10647.67704</v>
      </c>
      <c r="N44" s="528">
        <f t="shared" si="7"/>
        <v>68242.432440000004</v>
      </c>
      <c r="O44" s="490"/>
      <c r="P44" s="172"/>
      <c r="Q44" s="331"/>
      <c r="R44" s="577"/>
      <c r="S44" s="331"/>
      <c r="T44" s="331"/>
      <c r="U44" s="331"/>
      <c r="V44" s="157"/>
    </row>
    <row r="45" spans="1:23">
      <c r="A45" s="522">
        <v>7</v>
      </c>
      <c r="B45" s="510" t="s">
        <v>865</v>
      </c>
      <c r="C45" s="728">
        <v>45996.3</v>
      </c>
      <c r="D45" s="489">
        <f t="shared" si="11"/>
        <v>5091.6894000000011</v>
      </c>
      <c r="E45" s="511">
        <f t="shared" si="0"/>
        <v>229.98150000000001</v>
      </c>
      <c r="F45" s="489">
        <f t="shared" si="1"/>
        <v>9512.0348400000003</v>
      </c>
      <c r="G45" s="512">
        <f t="shared" si="10"/>
        <v>60830.005740000008</v>
      </c>
      <c r="H45" s="527">
        <f t="shared" si="2"/>
        <v>45996.3</v>
      </c>
      <c r="I45" s="528">
        <v>7745.85</v>
      </c>
      <c r="J45" s="528">
        <f t="shared" si="3"/>
        <v>53742.15</v>
      </c>
      <c r="K45" s="528">
        <f t="shared" si="12"/>
        <v>6160.6167000000005</v>
      </c>
      <c r="L45" s="528">
        <f t="shared" si="5"/>
        <v>268.71075000000002</v>
      </c>
      <c r="M45" s="528">
        <f t="shared" si="6"/>
        <v>11113.876620000001</v>
      </c>
      <c r="N45" s="528">
        <f t="shared" si="7"/>
        <v>71285.354070000001</v>
      </c>
      <c r="O45" s="490"/>
      <c r="P45" s="160" t="s">
        <v>930</v>
      </c>
      <c r="W45" s="160"/>
    </row>
    <row r="46" spans="1:23">
      <c r="A46" s="522">
        <v>7</v>
      </c>
      <c r="B46" s="510" t="s">
        <v>866</v>
      </c>
      <c r="C46" s="728">
        <v>45996.3</v>
      </c>
      <c r="D46" s="489">
        <f t="shared" si="11"/>
        <v>5091.6894000000011</v>
      </c>
      <c r="E46" s="511">
        <f t="shared" si="0"/>
        <v>229.98150000000001</v>
      </c>
      <c r="F46" s="489">
        <f t="shared" si="1"/>
        <v>9512.0348400000003</v>
      </c>
      <c r="G46" s="512">
        <f t="shared" si="10"/>
        <v>60830.005740000008</v>
      </c>
      <c r="H46" s="527">
        <f t="shared" si="2"/>
        <v>45996.3</v>
      </c>
      <c r="I46" s="528">
        <v>7745.85</v>
      </c>
      <c r="J46" s="528">
        <f t="shared" si="3"/>
        <v>53742.15</v>
      </c>
      <c r="K46" s="528">
        <f t="shared" si="12"/>
        <v>6160.6167000000005</v>
      </c>
      <c r="L46" s="528">
        <f t="shared" si="5"/>
        <v>268.71075000000002</v>
      </c>
      <c r="M46" s="528">
        <f t="shared" si="6"/>
        <v>11113.876620000001</v>
      </c>
      <c r="N46" s="528">
        <f t="shared" si="7"/>
        <v>71285.354070000001</v>
      </c>
      <c r="O46" s="490"/>
      <c r="P46" s="160"/>
      <c r="W46" s="160"/>
    </row>
    <row r="47" spans="1:23">
      <c r="A47" s="522">
        <v>7</v>
      </c>
      <c r="B47" s="510" t="s">
        <v>867</v>
      </c>
      <c r="C47" s="728">
        <v>45996.3</v>
      </c>
      <c r="D47" s="489">
        <f t="shared" si="11"/>
        <v>5091.6894000000011</v>
      </c>
      <c r="E47" s="511">
        <f t="shared" si="0"/>
        <v>229.98150000000001</v>
      </c>
      <c r="F47" s="489">
        <f t="shared" si="1"/>
        <v>9512.0348400000003</v>
      </c>
      <c r="G47" s="512">
        <f t="shared" si="10"/>
        <v>60830.005740000008</v>
      </c>
      <c r="H47" s="527">
        <f t="shared" si="2"/>
        <v>45996.3</v>
      </c>
      <c r="I47" s="528">
        <v>7745.85</v>
      </c>
      <c r="J47" s="528">
        <f t="shared" si="3"/>
        <v>53742.15</v>
      </c>
      <c r="K47" s="528">
        <f t="shared" si="12"/>
        <v>6160.6167000000005</v>
      </c>
      <c r="L47" s="528">
        <f t="shared" si="5"/>
        <v>268.71075000000002</v>
      </c>
      <c r="M47" s="528">
        <f t="shared" si="6"/>
        <v>11113.876620000001</v>
      </c>
      <c r="N47" s="528">
        <f t="shared" si="7"/>
        <v>71285.354070000001</v>
      </c>
      <c r="O47" s="490"/>
      <c r="P47" s="578" t="s">
        <v>915</v>
      </c>
      <c r="V47" s="159"/>
    </row>
    <row r="48" spans="1:23">
      <c r="A48" s="522">
        <v>7</v>
      </c>
      <c r="B48" s="510" t="s">
        <v>868</v>
      </c>
      <c r="C48" s="728">
        <v>50055.6</v>
      </c>
      <c r="D48" s="489">
        <f t="shared" si="11"/>
        <v>5651.8728000000001</v>
      </c>
      <c r="E48" s="511">
        <f t="shared" si="0"/>
        <v>250.27799999999999</v>
      </c>
      <c r="F48" s="489">
        <f t="shared" si="1"/>
        <v>10351.498079999999</v>
      </c>
      <c r="G48" s="512">
        <f t="shared" si="10"/>
        <v>66309.248879999999</v>
      </c>
      <c r="H48" s="527">
        <f t="shared" si="2"/>
        <v>50055.6</v>
      </c>
      <c r="I48" s="528">
        <v>7745.85</v>
      </c>
      <c r="J48" s="528">
        <f t="shared" si="3"/>
        <v>57801.45</v>
      </c>
      <c r="K48" s="528">
        <f t="shared" si="12"/>
        <v>6720.8001000000004</v>
      </c>
      <c r="L48" s="528">
        <f t="shared" si="5"/>
        <v>289.00725</v>
      </c>
      <c r="M48" s="528">
        <f t="shared" si="6"/>
        <v>11953.33986</v>
      </c>
      <c r="N48" s="528">
        <f t="shared" si="7"/>
        <v>76764.597210000007</v>
      </c>
      <c r="O48" s="490"/>
      <c r="P48" s="579" t="s">
        <v>916</v>
      </c>
      <c r="U48">
        <v>260</v>
      </c>
      <c r="V48" s="159"/>
    </row>
    <row r="49" spans="1:22">
      <c r="A49" s="522">
        <v>7</v>
      </c>
      <c r="B49" s="510" t="s">
        <v>869</v>
      </c>
      <c r="C49" s="728">
        <v>50055.6</v>
      </c>
      <c r="D49" s="489">
        <f t="shared" si="11"/>
        <v>5651.8728000000001</v>
      </c>
      <c r="E49" s="511">
        <f t="shared" si="0"/>
        <v>250.27799999999999</v>
      </c>
      <c r="F49" s="489">
        <f t="shared" si="1"/>
        <v>10351.498079999999</v>
      </c>
      <c r="G49" s="512">
        <f t="shared" si="10"/>
        <v>66309.248879999999</v>
      </c>
      <c r="H49" s="527">
        <f t="shared" si="2"/>
        <v>50055.6</v>
      </c>
      <c r="I49" s="528">
        <v>7745.85</v>
      </c>
      <c r="J49" s="528">
        <f t="shared" si="3"/>
        <v>57801.45</v>
      </c>
      <c r="K49" s="528">
        <f t="shared" si="12"/>
        <v>6720.8001000000004</v>
      </c>
      <c r="L49" s="528">
        <f t="shared" si="5"/>
        <v>289.00725</v>
      </c>
      <c r="M49" s="528">
        <f t="shared" si="6"/>
        <v>11953.33986</v>
      </c>
      <c r="N49" s="528">
        <f t="shared" si="7"/>
        <v>76764.597210000007</v>
      </c>
      <c r="O49" s="490"/>
      <c r="P49" s="579" t="s">
        <v>917</v>
      </c>
      <c r="U49">
        <v>-40</v>
      </c>
      <c r="V49" s="159"/>
    </row>
    <row r="50" spans="1:22">
      <c r="A50" s="522">
        <v>7</v>
      </c>
      <c r="B50" s="510" t="s">
        <v>870</v>
      </c>
      <c r="C50" s="728">
        <v>50055.6</v>
      </c>
      <c r="D50" s="489">
        <f t="shared" si="11"/>
        <v>5651.8728000000001</v>
      </c>
      <c r="E50" s="511">
        <f t="shared" si="0"/>
        <v>250.27799999999999</v>
      </c>
      <c r="F50" s="489">
        <f t="shared" si="1"/>
        <v>10351.498079999999</v>
      </c>
      <c r="G50" s="512">
        <f t="shared" si="10"/>
        <v>66309.248879999999</v>
      </c>
      <c r="H50" s="527">
        <f t="shared" si="2"/>
        <v>50055.6</v>
      </c>
      <c r="I50" s="528">
        <v>7745.85</v>
      </c>
      <c r="J50" s="528">
        <f t="shared" si="3"/>
        <v>57801.45</v>
      </c>
      <c r="K50" s="528">
        <f t="shared" si="12"/>
        <v>6720.8001000000004</v>
      </c>
      <c r="L50" s="528">
        <f t="shared" si="5"/>
        <v>289.00725</v>
      </c>
      <c r="M50" s="528">
        <f t="shared" si="6"/>
        <v>11953.33986</v>
      </c>
      <c r="N50" s="528">
        <f t="shared" si="7"/>
        <v>76764.597210000007</v>
      </c>
      <c r="O50" s="490"/>
      <c r="P50" s="579" t="s">
        <v>918</v>
      </c>
      <c r="U50">
        <v>-2</v>
      </c>
      <c r="V50" s="159"/>
    </row>
    <row r="51" spans="1:22">
      <c r="A51" s="522">
        <v>7</v>
      </c>
      <c r="B51" s="510" t="s">
        <v>871</v>
      </c>
      <c r="C51" s="728">
        <v>50055.6</v>
      </c>
      <c r="D51" s="489">
        <f t="shared" si="11"/>
        <v>5651.8728000000001</v>
      </c>
      <c r="E51" s="511">
        <f t="shared" si="0"/>
        <v>250.27799999999999</v>
      </c>
      <c r="F51" s="489">
        <f t="shared" si="1"/>
        <v>10351.498079999999</v>
      </c>
      <c r="G51" s="512">
        <f t="shared" si="10"/>
        <v>66309.248879999999</v>
      </c>
      <c r="H51" s="527">
        <f t="shared" si="2"/>
        <v>50055.6</v>
      </c>
      <c r="I51" s="528">
        <v>7745.85</v>
      </c>
      <c r="J51" s="528">
        <f t="shared" si="3"/>
        <v>57801.45</v>
      </c>
      <c r="K51" s="528">
        <f t="shared" si="12"/>
        <v>6720.8001000000004</v>
      </c>
      <c r="L51" s="528">
        <f t="shared" si="5"/>
        <v>289.00725</v>
      </c>
      <c r="M51" s="528">
        <f t="shared" si="6"/>
        <v>11953.33986</v>
      </c>
      <c r="N51" s="528">
        <f t="shared" si="7"/>
        <v>76764.597210000007</v>
      </c>
      <c r="O51" s="490"/>
      <c r="P51" s="579" t="s">
        <v>919</v>
      </c>
      <c r="U51">
        <v>-10</v>
      </c>
      <c r="V51" s="159"/>
    </row>
    <row r="52" spans="1:22">
      <c r="A52" s="522" t="s">
        <v>872</v>
      </c>
      <c r="B52" s="510" t="s">
        <v>873</v>
      </c>
      <c r="C52" s="728">
        <v>50952.3</v>
      </c>
      <c r="D52" s="489">
        <f t="shared" si="11"/>
        <v>5775.617400000001</v>
      </c>
      <c r="E52" s="511">
        <f t="shared" si="0"/>
        <v>254.76150000000001</v>
      </c>
      <c r="F52" s="489">
        <f t="shared" si="1"/>
        <v>10536.935640000002</v>
      </c>
      <c r="G52" s="512">
        <f t="shared" si="10"/>
        <v>67519.61454000001</v>
      </c>
      <c r="H52" s="527">
        <f t="shared" si="2"/>
        <v>50952.3</v>
      </c>
      <c r="I52" s="528">
        <v>7745.85</v>
      </c>
      <c r="J52" s="528">
        <f t="shared" si="3"/>
        <v>58698.15</v>
      </c>
      <c r="K52" s="528">
        <f t="shared" si="12"/>
        <v>6844.5447000000004</v>
      </c>
      <c r="L52" s="528">
        <f t="shared" si="5"/>
        <v>293.49074999999999</v>
      </c>
      <c r="M52" s="528">
        <f t="shared" si="6"/>
        <v>12138.77742</v>
      </c>
      <c r="N52" s="528">
        <f t="shared" si="7"/>
        <v>77974.962870000003</v>
      </c>
      <c r="O52" s="490"/>
      <c r="P52" s="579"/>
      <c r="U52" s="331">
        <v>208</v>
      </c>
      <c r="V52" s="159"/>
    </row>
    <row r="53" spans="1:22">
      <c r="A53" s="522" t="s">
        <v>872</v>
      </c>
      <c r="B53" s="510" t="s">
        <v>874</v>
      </c>
      <c r="C53" s="728">
        <v>50952.3</v>
      </c>
      <c r="D53" s="489">
        <f t="shared" si="11"/>
        <v>5775.617400000001</v>
      </c>
      <c r="E53" s="511">
        <f t="shared" si="0"/>
        <v>254.76150000000001</v>
      </c>
      <c r="F53" s="489">
        <f t="shared" si="1"/>
        <v>10536.935640000002</v>
      </c>
      <c r="G53" s="512">
        <f t="shared" si="10"/>
        <v>67519.61454000001</v>
      </c>
      <c r="H53" s="527">
        <f t="shared" si="2"/>
        <v>50952.3</v>
      </c>
      <c r="I53" s="528">
        <v>7745.85</v>
      </c>
      <c r="J53" s="528">
        <f t="shared" si="3"/>
        <v>58698.15</v>
      </c>
      <c r="K53" s="528">
        <f t="shared" si="12"/>
        <v>6844.5447000000004</v>
      </c>
      <c r="L53" s="528">
        <f t="shared" si="5"/>
        <v>293.49074999999999</v>
      </c>
      <c r="M53" s="528">
        <f t="shared" si="6"/>
        <v>12138.77742</v>
      </c>
      <c r="N53" s="528">
        <f t="shared" si="7"/>
        <v>77974.962870000003</v>
      </c>
      <c r="O53" s="490"/>
      <c r="P53" s="579" t="s">
        <v>920</v>
      </c>
      <c r="U53" s="361">
        <f>7.5*U52</f>
        <v>1560</v>
      </c>
      <c r="V53" s="159"/>
    </row>
    <row r="54" spans="1:22">
      <c r="A54" s="522" t="s">
        <v>872</v>
      </c>
      <c r="B54" s="510" t="s">
        <v>875</v>
      </c>
      <c r="C54" s="728">
        <v>50952.3</v>
      </c>
      <c r="D54" s="489">
        <f t="shared" si="11"/>
        <v>5775.617400000001</v>
      </c>
      <c r="E54" s="511">
        <f t="shared" si="0"/>
        <v>254.76150000000001</v>
      </c>
      <c r="F54" s="489">
        <f t="shared" si="1"/>
        <v>10536.935640000002</v>
      </c>
      <c r="G54" s="512">
        <f t="shared" si="10"/>
        <v>67519.61454000001</v>
      </c>
      <c r="H54" s="527">
        <f t="shared" si="2"/>
        <v>50952.3</v>
      </c>
      <c r="I54" s="528">
        <v>7745.85</v>
      </c>
      <c r="J54" s="528">
        <f t="shared" si="3"/>
        <v>58698.15</v>
      </c>
      <c r="K54" s="528">
        <f t="shared" si="12"/>
        <v>6844.5447000000004</v>
      </c>
      <c r="L54" s="528">
        <f t="shared" si="5"/>
        <v>293.49074999999999</v>
      </c>
      <c r="M54" s="528">
        <f t="shared" si="6"/>
        <v>12138.77742</v>
      </c>
      <c r="N54" s="528">
        <f t="shared" si="7"/>
        <v>77974.962870000003</v>
      </c>
      <c r="O54" s="490"/>
      <c r="P54" s="160"/>
      <c r="V54" s="159"/>
    </row>
    <row r="55" spans="1:22">
      <c r="A55" s="522" t="s">
        <v>872</v>
      </c>
      <c r="B55" s="510" t="s">
        <v>876</v>
      </c>
      <c r="C55" s="728">
        <v>50952.3</v>
      </c>
      <c r="D55" s="489">
        <f t="shared" si="11"/>
        <v>5775.617400000001</v>
      </c>
      <c r="E55" s="511">
        <f t="shared" si="0"/>
        <v>254.76150000000001</v>
      </c>
      <c r="F55" s="489">
        <f t="shared" si="1"/>
        <v>10536.935640000002</v>
      </c>
      <c r="G55" s="512">
        <f t="shared" si="10"/>
        <v>67519.61454000001</v>
      </c>
      <c r="H55" s="527">
        <f t="shared" si="2"/>
        <v>50952.3</v>
      </c>
      <c r="I55" s="528">
        <v>7745.85</v>
      </c>
      <c r="J55" s="528">
        <f t="shared" si="3"/>
        <v>58698.15</v>
      </c>
      <c r="K55" s="528">
        <f t="shared" si="12"/>
        <v>6844.5447000000004</v>
      </c>
      <c r="L55" s="528">
        <f t="shared" si="5"/>
        <v>293.49074999999999</v>
      </c>
      <c r="M55" s="528">
        <f t="shared" si="6"/>
        <v>12138.77742</v>
      </c>
      <c r="N55" s="528">
        <f t="shared" si="7"/>
        <v>77974.962870000003</v>
      </c>
      <c r="O55" s="490"/>
      <c r="P55" s="579"/>
      <c r="V55" s="159"/>
    </row>
    <row r="56" spans="1:22">
      <c r="A56" s="522" t="s">
        <v>872</v>
      </c>
      <c r="B56" s="510" t="s">
        <v>877</v>
      </c>
      <c r="C56" s="728">
        <v>50952.3</v>
      </c>
      <c r="D56" s="489">
        <f t="shared" si="11"/>
        <v>5775.617400000001</v>
      </c>
      <c r="E56" s="511">
        <f t="shared" si="0"/>
        <v>254.76150000000001</v>
      </c>
      <c r="F56" s="489">
        <f t="shared" si="1"/>
        <v>10536.935640000002</v>
      </c>
      <c r="G56" s="512">
        <f t="shared" si="10"/>
        <v>67519.61454000001</v>
      </c>
      <c r="H56" s="527">
        <f t="shared" si="2"/>
        <v>50952.3</v>
      </c>
      <c r="I56" s="528">
        <v>7745.85</v>
      </c>
      <c r="J56" s="528">
        <f t="shared" si="3"/>
        <v>58698.15</v>
      </c>
      <c r="K56" s="528">
        <f t="shared" si="12"/>
        <v>6844.5447000000004</v>
      </c>
      <c r="L56" s="528">
        <f t="shared" si="5"/>
        <v>293.49074999999999</v>
      </c>
      <c r="M56" s="528">
        <f t="shared" si="6"/>
        <v>12138.77742</v>
      </c>
      <c r="N56" s="528">
        <f t="shared" si="7"/>
        <v>77974.962870000003</v>
      </c>
      <c r="O56" s="490"/>
      <c r="P56" s="578" t="s">
        <v>854</v>
      </c>
      <c r="V56" s="159"/>
    </row>
    <row r="57" spans="1:22">
      <c r="A57" s="522" t="s">
        <v>872</v>
      </c>
      <c r="B57" s="510" t="s">
        <v>878</v>
      </c>
      <c r="C57" s="728">
        <v>57349.950000000004</v>
      </c>
      <c r="D57" s="489">
        <f t="shared" si="11"/>
        <v>6658.4931000000015</v>
      </c>
      <c r="E57" s="511">
        <f t="shared" si="0"/>
        <v>286.74975000000001</v>
      </c>
      <c r="F57" s="489">
        <f t="shared" si="1"/>
        <v>11859.969660000002</v>
      </c>
      <c r="G57" s="512">
        <f t="shared" si="10"/>
        <v>76155.162510000009</v>
      </c>
      <c r="H57" s="527">
        <f t="shared" si="2"/>
        <v>57349.950000000004</v>
      </c>
      <c r="I57" s="528">
        <v>7745.85</v>
      </c>
      <c r="J57" s="528">
        <f t="shared" si="3"/>
        <v>65095.8</v>
      </c>
      <c r="K57" s="528">
        <f t="shared" si="12"/>
        <v>7727.4204000000009</v>
      </c>
      <c r="L57" s="528">
        <f t="shared" si="5"/>
        <v>325.47900000000004</v>
      </c>
      <c r="M57" s="528">
        <f t="shared" si="6"/>
        <v>13461.811440000001</v>
      </c>
      <c r="N57" s="528">
        <f t="shared" si="7"/>
        <v>86610.510840000017</v>
      </c>
      <c r="O57" s="490"/>
      <c r="P57" s="579" t="s">
        <v>924</v>
      </c>
      <c r="U57">
        <v>43</v>
      </c>
      <c r="V57" s="159"/>
    </row>
    <row r="58" spans="1:22">
      <c r="A58" s="522" t="s">
        <v>879</v>
      </c>
      <c r="B58" s="510" t="s">
        <v>880</v>
      </c>
      <c r="C58" s="728">
        <v>58972.200000000004</v>
      </c>
      <c r="D58" s="489">
        <f t="shared" si="11"/>
        <v>6882.3636000000015</v>
      </c>
      <c r="E58" s="511">
        <f t="shared" si="0"/>
        <v>294.86100000000005</v>
      </c>
      <c r="F58" s="489">
        <f t="shared" si="1"/>
        <v>12195.450960000002</v>
      </c>
      <c r="G58" s="512">
        <f t="shared" si="10"/>
        <v>78344.875560000015</v>
      </c>
      <c r="H58" s="527">
        <f t="shared" si="2"/>
        <v>58972.200000000004</v>
      </c>
      <c r="I58" s="528">
        <v>7745.85</v>
      </c>
      <c r="J58" s="528">
        <f t="shared" si="3"/>
        <v>66718.05</v>
      </c>
      <c r="K58" s="528">
        <f t="shared" si="12"/>
        <v>7951.2909000000009</v>
      </c>
      <c r="L58" s="528">
        <f t="shared" si="5"/>
        <v>333.59025000000003</v>
      </c>
      <c r="M58" s="528">
        <f t="shared" si="6"/>
        <v>13797.292740000001</v>
      </c>
      <c r="N58" s="528">
        <f t="shared" si="7"/>
        <v>88800.223890000008</v>
      </c>
      <c r="O58" s="490"/>
      <c r="P58" s="579"/>
      <c r="V58" s="159"/>
    </row>
    <row r="59" spans="1:22">
      <c r="A59" s="522" t="s">
        <v>879</v>
      </c>
      <c r="B59" s="510" t="s">
        <v>881</v>
      </c>
      <c r="C59" s="728">
        <v>58972.200000000004</v>
      </c>
      <c r="D59" s="489">
        <f t="shared" si="11"/>
        <v>6882.3636000000015</v>
      </c>
      <c r="E59" s="511">
        <f t="shared" si="0"/>
        <v>294.86100000000005</v>
      </c>
      <c r="F59" s="489">
        <f t="shared" si="1"/>
        <v>12195.450960000002</v>
      </c>
      <c r="G59" s="512">
        <f t="shared" si="10"/>
        <v>78344.875560000015</v>
      </c>
      <c r="H59" s="527">
        <f t="shared" si="2"/>
        <v>58972.200000000004</v>
      </c>
      <c r="I59" s="528">
        <v>7745.85</v>
      </c>
      <c r="J59" s="528">
        <f t="shared" si="3"/>
        <v>66718.05</v>
      </c>
      <c r="K59" s="528">
        <f t="shared" si="12"/>
        <v>7951.2909000000009</v>
      </c>
      <c r="L59" s="528">
        <f t="shared" si="5"/>
        <v>333.59025000000003</v>
      </c>
      <c r="M59" s="528">
        <f t="shared" si="6"/>
        <v>13797.292740000001</v>
      </c>
      <c r="N59" s="528">
        <f t="shared" si="7"/>
        <v>88800.223890000008</v>
      </c>
      <c r="O59" s="490"/>
      <c r="P59" s="579" t="s">
        <v>921</v>
      </c>
      <c r="U59">
        <v>10</v>
      </c>
      <c r="V59" s="159"/>
    </row>
    <row r="60" spans="1:22">
      <c r="A60" s="522" t="s">
        <v>879</v>
      </c>
      <c r="B60" s="510" t="s">
        <v>882</v>
      </c>
      <c r="C60" s="728">
        <v>58972.200000000004</v>
      </c>
      <c r="D60" s="489">
        <f t="shared" si="11"/>
        <v>6882.3636000000015</v>
      </c>
      <c r="E60" s="511">
        <f t="shared" si="0"/>
        <v>294.86100000000005</v>
      </c>
      <c r="F60" s="489">
        <f t="shared" si="1"/>
        <v>12195.450960000002</v>
      </c>
      <c r="G60" s="512">
        <f t="shared" si="10"/>
        <v>78344.875560000015</v>
      </c>
      <c r="H60" s="527">
        <f t="shared" si="2"/>
        <v>58972.200000000004</v>
      </c>
      <c r="I60" s="528">
        <v>7745.85</v>
      </c>
      <c r="J60" s="528">
        <f t="shared" si="3"/>
        <v>66718.05</v>
      </c>
      <c r="K60" s="528">
        <f t="shared" si="12"/>
        <v>7951.2909000000009</v>
      </c>
      <c r="L60" s="528">
        <f t="shared" si="5"/>
        <v>333.59025000000003</v>
      </c>
      <c r="M60" s="528">
        <f t="shared" si="6"/>
        <v>13797.292740000001</v>
      </c>
      <c r="N60" s="528">
        <f t="shared" si="7"/>
        <v>88800.223890000008</v>
      </c>
      <c r="O60" s="490"/>
      <c r="P60" s="579" t="s">
        <v>922</v>
      </c>
      <c r="U60">
        <v>-2</v>
      </c>
      <c r="V60" s="159"/>
    </row>
    <row r="61" spans="1:22">
      <c r="A61" s="522" t="s">
        <v>879</v>
      </c>
      <c r="B61" s="510" t="s">
        <v>883</v>
      </c>
      <c r="C61" s="728">
        <v>58972.200000000004</v>
      </c>
      <c r="D61" s="489">
        <f t="shared" si="11"/>
        <v>6882.3636000000015</v>
      </c>
      <c r="E61" s="511">
        <f t="shared" si="0"/>
        <v>294.86100000000005</v>
      </c>
      <c r="F61" s="489">
        <f t="shared" si="1"/>
        <v>12195.450960000002</v>
      </c>
      <c r="G61" s="512">
        <f t="shared" si="10"/>
        <v>78344.875560000015</v>
      </c>
      <c r="H61" s="527">
        <f t="shared" si="2"/>
        <v>58972.200000000004</v>
      </c>
      <c r="I61" s="528">
        <v>7745.85</v>
      </c>
      <c r="J61" s="528">
        <f t="shared" si="3"/>
        <v>66718.05</v>
      </c>
      <c r="K61" s="528">
        <f t="shared" si="12"/>
        <v>7951.2909000000009</v>
      </c>
      <c r="L61" s="528">
        <f t="shared" si="5"/>
        <v>333.59025000000003</v>
      </c>
      <c r="M61" s="528">
        <f t="shared" si="6"/>
        <v>13797.292740000001</v>
      </c>
      <c r="N61" s="528">
        <f t="shared" si="7"/>
        <v>88800.223890000008</v>
      </c>
      <c r="O61" s="490"/>
      <c r="P61" s="579"/>
      <c r="U61" s="331">
        <v>8</v>
      </c>
      <c r="V61" s="159"/>
    </row>
    <row r="62" spans="1:22">
      <c r="A62" s="522" t="s">
        <v>879</v>
      </c>
      <c r="B62" s="510" t="s">
        <v>884</v>
      </c>
      <c r="C62" s="728">
        <v>58972.200000000004</v>
      </c>
      <c r="D62" s="489">
        <f t="shared" si="11"/>
        <v>6882.3636000000015</v>
      </c>
      <c r="E62" s="511">
        <f t="shared" si="0"/>
        <v>294.86100000000005</v>
      </c>
      <c r="F62" s="489">
        <f t="shared" si="1"/>
        <v>12195.450960000002</v>
      </c>
      <c r="G62" s="512">
        <f t="shared" si="10"/>
        <v>78344.875560000015</v>
      </c>
      <c r="H62" s="527">
        <f t="shared" si="2"/>
        <v>58972.200000000004</v>
      </c>
      <c r="I62" s="528">
        <v>7745.85</v>
      </c>
      <c r="J62" s="528">
        <f t="shared" si="3"/>
        <v>66718.05</v>
      </c>
      <c r="K62" s="528">
        <f t="shared" si="12"/>
        <v>7951.2909000000009</v>
      </c>
      <c r="L62" s="528">
        <f t="shared" si="5"/>
        <v>333.59025000000003</v>
      </c>
      <c r="M62" s="528">
        <f t="shared" si="6"/>
        <v>13797.292740000001</v>
      </c>
      <c r="N62" s="528">
        <f t="shared" si="7"/>
        <v>88800.223890000008</v>
      </c>
      <c r="O62" s="490"/>
      <c r="P62" s="579" t="s">
        <v>923</v>
      </c>
      <c r="U62" s="361">
        <f>U61*4*U57</f>
        <v>1376</v>
      </c>
      <c r="V62" s="159"/>
    </row>
    <row r="63" spans="1:22">
      <c r="A63" s="522" t="s">
        <v>879</v>
      </c>
      <c r="B63" s="510" t="s">
        <v>885</v>
      </c>
      <c r="C63" s="728">
        <v>68525.100000000006</v>
      </c>
      <c r="D63" s="489">
        <f t="shared" si="11"/>
        <v>8200.6638000000021</v>
      </c>
      <c r="E63" s="511">
        <f t="shared" si="0"/>
        <v>342.62550000000005</v>
      </c>
      <c r="F63" s="489">
        <f t="shared" si="1"/>
        <v>14170.990680000003</v>
      </c>
      <c r="G63" s="512">
        <f t="shared" si="10"/>
        <v>91239.379980000012</v>
      </c>
      <c r="H63" s="527">
        <f t="shared" si="2"/>
        <v>68525.100000000006</v>
      </c>
      <c r="I63" s="528">
        <v>7745.85</v>
      </c>
      <c r="J63" s="528">
        <f t="shared" si="3"/>
        <v>76270.950000000012</v>
      </c>
      <c r="K63" s="528">
        <f t="shared" si="12"/>
        <v>9269.5911000000033</v>
      </c>
      <c r="L63" s="528">
        <f t="shared" si="5"/>
        <v>381.35475000000008</v>
      </c>
      <c r="M63" s="528">
        <f t="shared" si="6"/>
        <v>15772.832460000003</v>
      </c>
      <c r="N63" s="528">
        <f t="shared" si="7"/>
        <v>101694.72831000002</v>
      </c>
      <c r="O63" s="490"/>
      <c r="P63" s="160"/>
      <c r="V63" s="159"/>
    </row>
    <row r="64" spans="1:22">
      <c r="A64" s="522" t="s">
        <v>886</v>
      </c>
      <c r="B64" s="510" t="s">
        <v>887</v>
      </c>
      <c r="C64" s="728">
        <v>70417.2</v>
      </c>
      <c r="D64" s="489">
        <f t="shared" si="11"/>
        <v>8461.7736000000004</v>
      </c>
      <c r="E64" s="511">
        <f t="shared" si="0"/>
        <v>352.08600000000001</v>
      </c>
      <c r="F64" s="489">
        <f t="shared" si="1"/>
        <v>14562.276960000001</v>
      </c>
      <c r="G64" s="512">
        <f t="shared" si="10"/>
        <v>93793.336559999996</v>
      </c>
      <c r="H64" s="527">
        <f t="shared" si="2"/>
        <v>70417.2</v>
      </c>
      <c r="I64" s="528">
        <v>7745.85</v>
      </c>
      <c r="J64" s="528">
        <f t="shared" si="3"/>
        <v>78163.05</v>
      </c>
      <c r="K64" s="528">
        <f t="shared" si="12"/>
        <v>9530.7009000000016</v>
      </c>
      <c r="L64" s="528">
        <f t="shared" si="5"/>
        <v>390.81525000000005</v>
      </c>
      <c r="M64" s="528">
        <f t="shared" si="6"/>
        <v>16164.118740000002</v>
      </c>
      <c r="N64" s="528">
        <f t="shared" si="7"/>
        <v>104248.68489</v>
      </c>
      <c r="O64" s="490"/>
      <c r="P64" s="579"/>
      <c r="V64" s="159"/>
    </row>
    <row r="65" spans="1:31">
      <c r="A65" s="522" t="s">
        <v>886</v>
      </c>
      <c r="B65" s="510" t="s">
        <v>888</v>
      </c>
      <c r="C65" s="728">
        <v>70417.2</v>
      </c>
      <c r="D65" s="489">
        <f t="shared" si="11"/>
        <v>8461.7736000000004</v>
      </c>
      <c r="E65" s="511">
        <f t="shared" si="0"/>
        <v>352.08600000000001</v>
      </c>
      <c r="F65" s="489">
        <f t="shared" si="1"/>
        <v>14562.276960000001</v>
      </c>
      <c r="G65" s="512">
        <f t="shared" si="10"/>
        <v>93793.336559999996</v>
      </c>
      <c r="H65" s="527">
        <f t="shared" si="2"/>
        <v>70417.2</v>
      </c>
      <c r="I65" s="528">
        <v>7745.85</v>
      </c>
      <c r="J65" s="528">
        <f t="shared" si="3"/>
        <v>78163.05</v>
      </c>
      <c r="K65" s="528">
        <f t="shared" si="12"/>
        <v>9530.7009000000016</v>
      </c>
      <c r="L65" s="528">
        <f t="shared" si="5"/>
        <v>390.81525000000005</v>
      </c>
      <c r="M65" s="528">
        <f t="shared" si="6"/>
        <v>16164.118740000002</v>
      </c>
      <c r="N65" s="528">
        <f t="shared" si="7"/>
        <v>104248.68489</v>
      </c>
      <c r="O65" s="490"/>
      <c r="P65" s="578" t="s">
        <v>860</v>
      </c>
      <c r="V65" s="159"/>
    </row>
    <row r="66" spans="1:31">
      <c r="A66" s="522" t="s">
        <v>886</v>
      </c>
      <c r="B66" s="510" t="s">
        <v>889</v>
      </c>
      <c r="C66" s="728">
        <v>70417.2</v>
      </c>
      <c r="D66" s="489">
        <f t="shared" si="11"/>
        <v>8461.7736000000004</v>
      </c>
      <c r="E66" s="511">
        <f t="shared" si="0"/>
        <v>352.08600000000001</v>
      </c>
      <c r="F66" s="489">
        <f t="shared" si="1"/>
        <v>14562.276960000001</v>
      </c>
      <c r="G66" s="512">
        <f t="shared" si="10"/>
        <v>93793.336559999996</v>
      </c>
      <c r="H66" s="527">
        <f t="shared" si="2"/>
        <v>70417.2</v>
      </c>
      <c r="I66" s="528">
        <v>7745.85</v>
      </c>
      <c r="J66" s="528">
        <f t="shared" si="3"/>
        <v>78163.05</v>
      </c>
      <c r="K66" s="528">
        <f t="shared" si="12"/>
        <v>9530.7009000000016</v>
      </c>
      <c r="L66" s="528">
        <f t="shared" si="5"/>
        <v>390.81525000000005</v>
      </c>
      <c r="M66" s="528">
        <f t="shared" si="6"/>
        <v>16164.118740000002</v>
      </c>
      <c r="N66" s="528">
        <f t="shared" si="7"/>
        <v>104248.68489</v>
      </c>
      <c r="O66" s="490"/>
      <c r="P66" s="579" t="s">
        <v>925</v>
      </c>
      <c r="U66">
        <v>44.7</v>
      </c>
      <c r="V66" s="159"/>
    </row>
    <row r="67" spans="1:31">
      <c r="A67" s="522" t="s">
        <v>886</v>
      </c>
      <c r="B67" s="510" t="s">
        <v>890</v>
      </c>
      <c r="C67" s="728">
        <v>70417.2</v>
      </c>
      <c r="D67" s="489">
        <f t="shared" si="11"/>
        <v>8461.7736000000004</v>
      </c>
      <c r="E67" s="511">
        <f t="shared" si="0"/>
        <v>352.08600000000001</v>
      </c>
      <c r="F67" s="489">
        <f t="shared" si="1"/>
        <v>14562.276960000001</v>
      </c>
      <c r="G67" s="512">
        <f t="shared" si="10"/>
        <v>93793.336559999996</v>
      </c>
      <c r="H67" s="527">
        <f t="shared" si="2"/>
        <v>70417.2</v>
      </c>
      <c r="I67" s="528">
        <v>7745.85</v>
      </c>
      <c r="J67" s="528">
        <f t="shared" si="3"/>
        <v>78163.05</v>
      </c>
      <c r="K67" s="528">
        <f t="shared" si="12"/>
        <v>9530.7009000000016</v>
      </c>
      <c r="L67" s="528">
        <f t="shared" si="5"/>
        <v>390.81525000000005</v>
      </c>
      <c r="M67" s="528">
        <f t="shared" si="6"/>
        <v>16164.118740000002</v>
      </c>
      <c r="N67" s="528">
        <f t="shared" si="7"/>
        <v>104248.68489</v>
      </c>
      <c r="O67" s="490"/>
      <c r="P67" s="579" t="s">
        <v>926</v>
      </c>
      <c r="U67">
        <v>48</v>
      </c>
      <c r="V67" s="159"/>
    </row>
    <row r="68" spans="1:31">
      <c r="A68" s="522" t="s">
        <v>886</v>
      </c>
      <c r="B68" s="510" t="s">
        <v>891</v>
      </c>
      <c r="C68" s="728">
        <v>70417.2</v>
      </c>
      <c r="D68" s="489">
        <f t="shared" si="11"/>
        <v>8461.7736000000004</v>
      </c>
      <c r="E68" s="511">
        <f t="shared" si="0"/>
        <v>352.08600000000001</v>
      </c>
      <c r="F68" s="489">
        <f t="shared" si="1"/>
        <v>14562.276960000001</v>
      </c>
      <c r="G68" s="512">
        <f t="shared" si="10"/>
        <v>93793.336559999996</v>
      </c>
      <c r="H68" s="527">
        <f t="shared" si="2"/>
        <v>70417.2</v>
      </c>
      <c r="I68" s="528">
        <v>7745.85</v>
      </c>
      <c r="J68" s="528">
        <f t="shared" si="3"/>
        <v>78163.05</v>
      </c>
      <c r="K68" s="528">
        <f t="shared" si="12"/>
        <v>9530.7009000000016</v>
      </c>
      <c r="L68" s="528">
        <f t="shared" si="5"/>
        <v>390.81525000000005</v>
      </c>
      <c r="M68" s="528">
        <f t="shared" si="6"/>
        <v>16164.118740000002</v>
      </c>
      <c r="N68" s="528">
        <f t="shared" si="7"/>
        <v>104248.68489</v>
      </c>
      <c r="O68" s="490"/>
      <c r="P68" s="579" t="s">
        <v>927</v>
      </c>
      <c r="U68">
        <v>2145.6</v>
      </c>
      <c r="V68" s="159"/>
    </row>
    <row r="69" spans="1:31">
      <c r="A69" s="522" t="s">
        <v>886</v>
      </c>
      <c r="B69" s="510" t="s">
        <v>892</v>
      </c>
      <c r="C69" s="728">
        <v>81137.7</v>
      </c>
      <c r="D69" s="489">
        <f t="shared" ref="D69:D100" si="13">(C69-$B$104)*0.138</f>
        <v>9941.2026000000005</v>
      </c>
      <c r="E69" s="511">
        <f t="shared" ref="E69:E100" si="14">C69*0.005</f>
        <v>405.68849999999998</v>
      </c>
      <c r="F69" s="489">
        <f t="shared" ref="F69:F100" si="15">C69*0.2068</f>
        <v>16779.27636</v>
      </c>
      <c r="G69" s="512">
        <f t="shared" ref="G69:G100" si="16">SUM(C69:F69)</f>
        <v>108263.86746000001</v>
      </c>
      <c r="H69" s="527">
        <f t="shared" ref="H69:H81" si="17">C69</f>
        <v>81137.7</v>
      </c>
      <c r="I69" s="528">
        <v>7745.85</v>
      </c>
      <c r="J69" s="528">
        <f t="shared" ref="J69:J81" si="18">C69+I69</f>
        <v>88883.55</v>
      </c>
      <c r="K69" s="528">
        <f t="shared" ref="K69:K81" si="19">(J69-$B$104)*0.138</f>
        <v>11010.129900000002</v>
      </c>
      <c r="L69" s="528">
        <f t="shared" ref="L69:L81" si="20">J69*0.005</f>
        <v>444.41775000000001</v>
      </c>
      <c r="M69" s="528">
        <f t="shared" ref="M69:M81" si="21">J69*0.2068</f>
        <v>18381.118140000002</v>
      </c>
      <c r="N69" s="528">
        <f t="shared" ref="N69:N81" si="22">SUM(J69:M69)</f>
        <v>118719.21579</v>
      </c>
      <c r="O69" s="490"/>
      <c r="P69" s="579" t="s">
        <v>928</v>
      </c>
      <c r="U69" s="580">
        <v>0.6</v>
      </c>
      <c r="V69" s="159"/>
    </row>
    <row r="70" spans="1:31">
      <c r="A70" s="522" t="s">
        <v>893</v>
      </c>
      <c r="B70" s="510" t="s">
        <v>894</v>
      </c>
      <c r="C70" s="728">
        <v>83571.600000000006</v>
      </c>
      <c r="D70" s="489">
        <f t="shared" si="13"/>
        <v>10277.080800000002</v>
      </c>
      <c r="E70" s="511">
        <f t="shared" si="14"/>
        <v>417.85800000000006</v>
      </c>
      <c r="F70" s="489">
        <f t="shared" si="15"/>
        <v>17282.606880000003</v>
      </c>
      <c r="G70" s="512">
        <f t="shared" si="16"/>
        <v>111549.14568</v>
      </c>
      <c r="H70" s="527">
        <f t="shared" si="17"/>
        <v>83571.600000000006</v>
      </c>
      <c r="I70" s="528">
        <v>7745.85</v>
      </c>
      <c r="J70" s="528">
        <f t="shared" si="18"/>
        <v>91317.450000000012</v>
      </c>
      <c r="K70" s="528">
        <f t="shared" si="19"/>
        <v>11346.008100000003</v>
      </c>
      <c r="L70" s="528">
        <f t="shared" si="20"/>
        <v>456.58725000000004</v>
      </c>
      <c r="M70" s="528">
        <f t="shared" si="21"/>
        <v>18884.448660000002</v>
      </c>
      <c r="N70" s="528">
        <f t="shared" si="22"/>
        <v>122004.49401000002</v>
      </c>
      <c r="O70" s="490"/>
      <c r="P70" s="579" t="s">
        <v>929</v>
      </c>
      <c r="U70" s="576">
        <f>ROUND(U69*U68,0)</f>
        <v>1287</v>
      </c>
      <c r="V70" s="159"/>
    </row>
    <row r="71" spans="1:31">
      <c r="A71" s="522" t="s">
        <v>893</v>
      </c>
      <c r="B71" s="510" t="s">
        <v>895</v>
      </c>
      <c r="C71" s="728">
        <v>83571.600000000006</v>
      </c>
      <c r="D71" s="489">
        <f t="shared" si="13"/>
        <v>10277.080800000002</v>
      </c>
      <c r="E71" s="511">
        <f t="shared" si="14"/>
        <v>417.85800000000006</v>
      </c>
      <c r="F71" s="489">
        <f t="shared" si="15"/>
        <v>17282.606880000003</v>
      </c>
      <c r="G71" s="512">
        <f t="shared" si="16"/>
        <v>111549.14568</v>
      </c>
      <c r="H71" s="527">
        <f t="shared" si="17"/>
        <v>83571.600000000006</v>
      </c>
      <c r="I71" s="528">
        <v>7745.85</v>
      </c>
      <c r="J71" s="528">
        <f t="shared" si="18"/>
        <v>91317.450000000012</v>
      </c>
      <c r="K71" s="528">
        <f t="shared" si="19"/>
        <v>11346.008100000003</v>
      </c>
      <c r="L71" s="528">
        <f t="shared" si="20"/>
        <v>456.58725000000004</v>
      </c>
      <c r="M71" s="528">
        <f t="shared" si="21"/>
        <v>18884.448660000002</v>
      </c>
      <c r="N71" s="528">
        <f t="shared" si="22"/>
        <v>122004.49401000002</v>
      </c>
      <c r="O71" s="490"/>
      <c r="P71" s="161"/>
      <c r="Q71" s="162"/>
      <c r="R71" s="581"/>
      <c r="S71" s="162"/>
      <c r="T71" s="162"/>
      <c r="U71" s="162"/>
      <c r="V71" s="163"/>
    </row>
    <row r="72" spans="1:31">
      <c r="A72" s="522" t="s">
        <v>893</v>
      </c>
      <c r="B72" s="510" t="s">
        <v>896</v>
      </c>
      <c r="C72" s="728">
        <v>83571.600000000006</v>
      </c>
      <c r="D72" s="489">
        <f t="shared" si="13"/>
        <v>10277.080800000002</v>
      </c>
      <c r="E72" s="511">
        <f t="shared" si="14"/>
        <v>417.85800000000006</v>
      </c>
      <c r="F72" s="489">
        <f t="shared" si="15"/>
        <v>17282.606880000003</v>
      </c>
      <c r="G72" s="512">
        <f t="shared" si="16"/>
        <v>111549.14568</v>
      </c>
      <c r="H72" s="527">
        <f t="shared" si="17"/>
        <v>83571.600000000006</v>
      </c>
      <c r="I72" s="528">
        <v>7745.85</v>
      </c>
      <c r="J72" s="528">
        <f t="shared" si="18"/>
        <v>91317.450000000012</v>
      </c>
      <c r="K72" s="528">
        <f t="shared" si="19"/>
        <v>11346.008100000003</v>
      </c>
      <c r="L72" s="528">
        <f t="shared" si="20"/>
        <v>456.58725000000004</v>
      </c>
      <c r="M72" s="528">
        <f t="shared" si="21"/>
        <v>18884.448660000002</v>
      </c>
      <c r="N72" s="528">
        <f t="shared" si="22"/>
        <v>122004.49401000002</v>
      </c>
      <c r="O72" s="490"/>
      <c r="P72" s="490"/>
    </row>
    <row r="73" spans="1:31">
      <c r="A73" s="522" t="s">
        <v>893</v>
      </c>
      <c r="B73" s="510" t="s">
        <v>897</v>
      </c>
      <c r="C73" s="728">
        <v>83571.600000000006</v>
      </c>
      <c r="D73" s="489">
        <f t="shared" si="13"/>
        <v>10277.080800000002</v>
      </c>
      <c r="E73" s="511">
        <f t="shared" si="14"/>
        <v>417.85800000000006</v>
      </c>
      <c r="F73" s="489">
        <f t="shared" si="15"/>
        <v>17282.606880000003</v>
      </c>
      <c r="G73" s="512">
        <f t="shared" si="16"/>
        <v>111549.14568</v>
      </c>
      <c r="H73" s="527">
        <f t="shared" si="17"/>
        <v>83571.600000000006</v>
      </c>
      <c r="I73" s="528">
        <v>7745.85</v>
      </c>
      <c r="J73" s="528">
        <f t="shared" si="18"/>
        <v>91317.450000000012</v>
      </c>
      <c r="K73" s="528">
        <f t="shared" si="19"/>
        <v>11346.008100000003</v>
      </c>
      <c r="L73" s="528">
        <f t="shared" si="20"/>
        <v>456.58725000000004</v>
      </c>
      <c r="M73" s="528">
        <f t="shared" si="21"/>
        <v>18884.448660000002</v>
      </c>
      <c r="N73" s="528">
        <f t="shared" si="22"/>
        <v>122004.49401000002</v>
      </c>
      <c r="O73" s="490"/>
      <c r="P73" s="494" t="s">
        <v>906</v>
      </c>
      <c r="Q73" s="250"/>
      <c r="R73" s="250"/>
      <c r="S73" s="250"/>
      <c r="T73" s="250"/>
      <c r="U73" s="250"/>
      <c r="V73" s="250"/>
      <c r="W73" s="5"/>
      <c r="X73" s="5"/>
      <c r="Y73" s="5"/>
      <c r="Z73" s="5"/>
      <c r="AB73" s="5"/>
      <c r="AC73" s="5"/>
      <c r="AD73" s="5"/>
      <c r="AE73" s="5"/>
    </row>
    <row r="74" spans="1:31">
      <c r="A74" s="522" t="s">
        <v>893</v>
      </c>
      <c r="B74" s="510" t="s">
        <v>898</v>
      </c>
      <c r="C74" s="728">
        <v>83571.600000000006</v>
      </c>
      <c r="D74" s="489">
        <f t="shared" si="13"/>
        <v>10277.080800000002</v>
      </c>
      <c r="E74" s="511">
        <f t="shared" si="14"/>
        <v>417.85800000000006</v>
      </c>
      <c r="F74" s="489">
        <f t="shared" si="15"/>
        <v>17282.606880000003</v>
      </c>
      <c r="G74" s="512">
        <f t="shared" si="16"/>
        <v>111549.14568</v>
      </c>
      <c r="H74" s="527">
        <f t="shared" si="17"/>
        <v>83571.600000000006</v>
      </c>
      <c r="I74" s="528">
        <v>7745.85</v>
      </c>
      <c r="J74" s="528">
        <f t="shared" si="18"/>
        <v>91317.450000000012</v>
      </c>
      <c r="K74" s="528">
        <f t="shared" si="19"/>
        <v>11346.008100000003</v>
      </c>
      <c r="L74" s="528">
        <f t="shared" si="20"/>
        <v>456.58725000000004</v>
      </c>
      <c r="M74" s="528">
        <f t="shared" si="21"/>
        <v>18884.448660000002</v>
      </c>
      <c r="N74" s="528">
        <f t="shared" si="22"/>
        <v>122004.49401000002</v>
      </c>
      <c r="O74" s="490"/>
      <c r="P74" s="777" t="s">
        <v>907</v>
      </c>
      <c r="R74" s="5"/>
      <c r="S74" s="5"/>
      <c r="T74" s="5"/>
      <c r="U74" s="5"/>
      <c r="V74" s="5"/>
      <c r="W74" s="5"/>
      <c r="Y74" s="5"/>
    </row>
    <row r="75" spans="1:31">
      <c r="A75" s="522" t="s">
        <v>893</v>
      </c>
      <c r="B75" s="510" t="s">
        <v>899</v>
      </c>
      <c r="C75" s="728">
        <v>96376.35</v>
      </c>
      <c r="D75" s="489">
        <f t="shared" si="13"/>
        <v>12044.136300000002</v>
      </c>
      <c r="E75" s="511">
        <f t="shared" si="14"/>
        <v>481.88175000000001</v>
      </c>
      <c r="F75" s="489">
        <f t="shared" si="15"/>
        <v>19930.629180000004</v>
      </c>
      <c r="G75" s="512">
        <f t="shared" si="16"/>
        <v>128832.99723000001</v>
      </c>
      <c r="H75" s="527">
        <f t="shared" si="17"/>
        <v>96376.35</v>
      </c>
      <c r="I75" s="528">
        <v>7745.85</v>
      </c>
      <c r="J75" s="528">
        <f t="shared" si="18"/>
        <v>104122.20000000001</v>
      </c>
      <c r="K75" s="528">
        <f t="shared" si="19"/>
        <v>13113.063600000003</v>
      </c>
      <c r="L75" s="528">
        <f t="shared" si="20"/>
        <v>520.6110000000001</v>
      </c>
      <c r="M75" s="528">
        <f t="shared" si="21"/>
        <v>21532.470960000002</v>
      </c>
      <c r="N75" s="528">
        <f t="shared" si="22"/>
        <v>139288.34556000002</v>
      </c>
      <c r="O75" s="490"/>
      <c r="P75" s="516">
        <v>153400</v>
      </c>
      <c r="Q75" s="250"/>
      <c r="R75" s="5"/>
      <c r="S75" s="5"/>
      <c r="T75" s="5"/>
      <c r="U75" s="5"/>
      <c r="V75" s="5"/>
      <c r="W75" s="5"/>
      <c r="Y75" s="5"/>
    </row>
    <row r="76" spans="1:31">
      <c r="A76" s="522">
        <v>9</v>
      </c>
      <c r="B76" s="510" t="s">
        <v>900</v>
      </c>
      <c r="C76" s="728">
        <v>99891.75</v>
      </c>
      <c r="D76" s="489">
        <f t="shared" si="13"/>
        <v>12529.261500000001</v>
      </c>
      <c r="E76" s="511">
        <f t="shared" si="14"/>
        <v>499.45875000000001</v>
      </c>
      <c r="F76" s="489">
        <f t="shared" si="15"/>
        <v>20657.6139</v>
      </c>
      <c r="G76" s="512">
        <f t="shared" si="16"/>
        <v>133578.08415000001</v>
      </c>
      <c r="H76" s="527">
        <f t="shared" si="17"/>
        <v>99891.75</v>
      </c>
      <c r="I76" s="528">
        <v>7745.85</v>
      </c>
      <c r="J76" s="528">
        <f t="shared" si="18"/>
        <v>107637.6</v>
      </c>
      <c r="K76" s="528">
        <f t="shared" si="19"/>
        <v>13598.188800000002</v>
      </c>
      <c r="L76" s="528">
        <f t="shared" si="20"/>
        <v>538.18799999999999</v>
      </c>
      <c r="M76" s="528">
        <f t="shared" si="21"/>
        <v>22259.455680000003</v>
      </c>
      <c r="N76" s="528">
        <f t="shared" si="22"/>
        <v>144033.43248000002</v>
      </c>
      <c r="O76" s="490"/>
      <c r="P76" t="s">
        <v>908</v>
      </c>
      <c r="R76"/>
      <c r="T76" s="485"/>
      <c r="U76" s="357" t="s">
        <v>909</v>
      </c>
    </row>
    <row r="77" spans="1:31">
      <c r="A77" s="522">
        <v>9</v>
      </c>
      <c r="B77" s="510" t="s">
        <v>901</v>
      </c>
      <c r="C77" s="728">
        <v>99891.75</v>
      </c>
      <c r="D77" s="489">
        <f t="shared" si="13"/>
        <v>12529.261500000001</v>
      </c>
      <c r="E77" s="511">
        <f t="shared" si="14"/>
        <v>499.45875000000001</v>
      </c>
      <c r="F77" s="489">
        <f t="shared" si="15"/>
        <v>20657.6139</v>
      </c>
      <c r="G77" s="512">
        <f t="shared" si="16"/>
        <v>133578.08415000001</v>
      </c>
      <c r="H77" s="527">
        <f t="shared" si="17"/>
        <v>99891.75</v>
      </c>
      <c r="I77" s="528">
        <v>7745.85</v>
      </c>
      <c r="J77" s="528">
        <f t="shared" si="18"/>
        <v>107637.6</v>
      </c>
      <c r="K77" s="528">
        <f t="shared" si="19"/>
        <v>13598.188800000002</v>
      </c>
      <c r="L77" s="528">
        <f t="shared" si="20"/>
        <v>538.18799999999999</v>
      </c>
      <c r="M77" s="528">
        <f t="shared" si="21"/>
        <v>22259.455680000003</v>
      </c>
      <c r="N77" s="528">
        <f t="shared" si="22"/>
        <v>144033.43248000002</v>
      </c>
      <c r="O77" s="490"/>
      <c r="P77" s="490"/>
    </row>
    <row r="78" spans="1:31">
      <c r="A78" s="522">
        <v>9</v>
      </c>
      <c r="B78" s="510" t="s">
        <v>902</v>
      </c>
      <c r="C78" s="728">
        <v>99891.75</v>
      </c>
      <c r="D78" s="489">
        <f t="shared" si="13"/>
        <v>12529.261500000001</v>
      </c>
      <c r="E78" s="511">
        <f t="shared" si="14"/>
        <v>499.45875000000001</v>
      </c>
      <c r="F78" s="489">
        <f t="shared" si="15"/>
        <v>20657.6139</v>
      </c>
      <c r="G78" s="512">
        <f t="shared" si="16"/>
        <v>133578.08415000001</v>
      </c>
      <c r="H78" s="527">
        <f t="shared" si="17"/>
        <v>99891.75</v>
      </c>
      <c r="I78" s="528">
        <v>7745.85</v>
      </c>
      <c r="J78" s="528">
        <f t="shared" si="18"/>
        <v>107637.6</v>
      </c>
      <c r="K78" s="528">
        <f t="shared" si="19"/>
        <v>13598.188800000002</v>
      </c>
      <c r="L78" s="528">
        <f t="shared" si="20"/>
        <v>538.18799999999999</v>
      </c>
      <c r="M78" s="528">
        <f t="shared" si="21"/>
        <v>22259.455680000003</v>
      </c>
      <c r="N78" s="528">
        <f t="shared" si="22"/>
        <v>144033.43248000002</v>
      </c>
      <c r="O78" s="490"/>
      <c r="P78" s="490"/>
    </row>
    <row r="79" spans="1:31">
      <c r="A79" s="522">
        <v>9</v>
      </c>
      <c r="B79" s="510" t="s">
        <v>903</v>
      </c>
      <c r="C79" s="728">
        <v>99891.75</v>
      </c>
      <c r="D79" s="489">
        <f t="shared" si="13"/>
        <v>12529.261500000001</v>
      </c>
      <c r="E79" s="511">
        <f t="shared" si="14"/>
        <v>499.45875000000001</v>
      </c>
      <c r="F79" s="489">
        <f t="shared" si="15"/>
        <v>20657.6139</v>
      </c>
      <c r="G79" s="512">
        <f t="shared" si="16"/>
        <v>133578.08415000001</v>
      </c>
      <c r="H79" s="527">
        <f t="shared" si="17"/>
        <v>99891.75</v>
      </c>
      <c r="I79" s="528">
        <v>7745.85</v>
      </c>
      <c r="J79" s="528">
        <f t="shared" si="18"/>
        <v>107637.6</v>
      </c>
      <c r="K79" s="528">
        <f t="shared" si="19"/>
        <v>13598.188800000002</v>
      </c>
      <c r="L79" s="528">
        <f t="shared" si="20"/>
        <v>538.18799999999999</v>
      </c>
      <c r="M79" s="528">
        <f t="shared" si="21"/>
        <v>22259.455680000003</v>
      </c>
      <c r="N79" s="528">
        <f t="shared" si="22"/>
        <v>144033.43248000002</v>
      </c>
      <c r="O79" s="490"/>
      <c r="P79" s="490"/>
    </row>
    <row r="80" spans="1:31">
      <c r="A80" s="522">
        <v>9</v>
      </c>
      <c r="B80" s="510" t="s">
        <v>904</v>
      </c>
      <c r="C80" s="728">
        <v>99891.75</v>
      </c>
      <c r="D80" s="489">
        <f t="shared" si="13"/>
        <v>12529.261500000001</v>
      </c>
      <c r="E80" s="511">
        <f t="shared" si="14"/>
        <v>499.45875000000001</v>
      </c>
      <c r="F80" s="489">
        <f t="shared" si="15"/>
        <v>20657.6139</v>
      </c>
      <c r="G80" s="512">
        <f t="shared" si="16"/>
        <v>133578.08415000001</v>
      </c>
      <c r="H80" s="527">
        <f t="shared" si="17"/>
        <v>99891.75</v>
      </c>
      <c r="I80" s="528">
        <v>7745.85</v>
      </c>
      <c r="J80" s="528">
        <f t="shared" si="18"/>
        <v>107637.6</v>
      </c>
      <c r="K80" s="528">
        <f t="shared" si="19"/>
        <v>13598.188800000002</v>
      </c>
      <c r="L80" s="528">
        <f t="shared" si="20"/>
        <v>538.18799999999999</v>
      </c>
      <c r="M80" s="528">
        <f t="shared" si="21"/>
        <v>22259.455680000003</v>
      </c>
      <c r="N80" s="528">
        <f t="shared" si="22"/>
        <v>144033.43248000002</v>
      </c>
      <c r="O80" s="490"/>
      <c r="P80" s="490"/>
    </row>
    <row r="81" spans="1:16">
      <c r="A81" s="522">
        <v>9</v>
      </c>
      <c r="B81" s="510" t="s">
        <v>905</v>
      </c>
      <c r="C81" s="728">
        <v>114948.75</v>
      </c>
      <c r="D81" s="489">
        <f t="shared" si="13"/>
        <v>14607.127500000001</v>
      </c>
      <c r="E81" s="511">
        <f t="shared" si="14"/>
        <v>574.74374999999998</v>
      </c>
      <c r="F81" s="489">
        <f t="shared" si="15"/>
        <v>23771.4015</v>
      </c>
      <c r="G81" s="512">
        <f t="shared" si="16"/>
        <v>153902.02275</v>
      </c>
      <c r="H81" s="586">
        <f t="shared" si="17"/>
        <v>114948.75</v>
      </c>
      <c r="I81" s="528">
        <v>7745.85</v>
      </c>
      <c r="J81" s="528">
        <f t="shared" si="18"/>
        <v>122694.6</v>
      </c>
      <c r="K81" s="528">
        <f t="shared" si="19"/>
        <v>15676.054800000002</v>
      </c>
      <c r="L81" s="528">
        <f t="shared" si="20"/>
        <v>613.47300000000007</v>
      </c>
      <c r="M81" s="528">
        <f t="shared" si="21"/>
        <v>25373.243280000002</v>
      </c>
      <c r="N81" s="528">
        <f t="shared" si="22"/>
        <v>164357.37108000001</v>
      </c>
      <c r="O81" s="490"/>
      <c r="P81" s="490"/>
    </row>
    <row r="82" spans="1:16">
      <c r="A82" s="522" t="s">
        <v>854</v>
      </c>
      <c r="B82" s="149">
        <v>1</v>
      </c>
      <c r="C82" s="728">
        <v>88364</v>
      </c>
      <c r="D82" s="489">
        <f t="shared" si="13"/>
        <v>10938.432000000001</v>
      </c>
      <c r="E82" s="354">
        <f t="shared" si="14"/>
        <v>441.82</v>
      </c>
      <c r="F82" s="489">
        <f t="shared" si="15"/>
        <v>18273.675200000001</v>
      </c>
      <c r="G82" s="585">
        <f t="shared" si="16"/>
        <v>118017.92720000001</v>
      </c>
      <c r="H82" s="587"/>
    </row>
    <row r="83" spans="1:16">
      <c r="A83" s="522" t="s">
        <v>854</v>
      </c>
      <c r="B83" s="149">
        <v>2</v>
      </c>
      <c r="C83" s="728">
        <v>91131</v>
      </c>
      <c r="D83" s="489">
        <f t="shared" si="13"/>
        <v>11320.278</v>
      </c>
      <c r="E83" s="354">
        <f t="shared" si="14"/>
        <v>455.65500000000003</v>
      </c>
      <c r="F83" s="489">
        <f t="shared" si="15"/>
        <v>18845.890800000001</v>
      </c>
      <c r="G83" s="512">
        <f t="shared" si="16"/>
        <v>121752.82380000001</v>
      </c>
    </row>
    <row r="84" spans="1:16">
      <c r="A84" s="522" t="s">
        <v>854</v>
      </c>
      <c r="B84" s="149">
        <v>3</v>
      </c>
      <c r="C84" s="728">
        <v>93898</v>
      </c>
      <c r="D84" s="489">
        <f t="shared" si="13"/>
        <v>11702.124000000002</v>
      </c>
      <c r="E84" s="354">
        <f t="shared" si="14"/>
        <v>469.49</v>
      </c>
      <c r="F84" s="489">
        <f t="shared" si="15"/>
        <v>19418.106400000001</v>
      </c>
      <c r="G84" s="512">
        <f t="shared" si="16"/>
        <v>125487.72040000001</v>
      </c>
    </row>
    <row r="85" spans="1:16">
      <c r="A85" s="522" t="s">
        <v>854</v>
      </c>
      <c r="B85" s="149">
        <v>4</v>
      </c>
      <c r="C85" s="728">
        <v>96665</v>
      </c>
      <c r="D85" s="489">
        <f t="shared" si="13"/>
        <v>12083.970000000001</v>
      </c>
      <c r="E85" s="354">
        <f t="shared" si="14"/>
        <v>483.32499999999999</v>
      </c>
      <c r="F85" s="489">
        <f t="shared" si="15"/>
        <v>19990.322</v>
      </c>
      <c r="G85" s="512">
        <f t="shared" si="16"/>
        <v>129222.617</v>
      </c>
    </row>
    <row r="86" spans="1:16">
      <c r="A86" s="522" t="s">
        <v>854</v>
      </c>
      <c r="B86" s="149">
        <v>5</v>
      </c>
      <c r="C86" s="728">
        <v>99425</v>
      </c>
      <c r="D86" s="489">
        <f t="shared" si="13"/>
        <v>12464.85</v>
      </c>
      <c r="E86" s="354">
        <f t="shared" si="14"/>
        <v>497.125</v>
      </c>
      <c r="F86" s="489">
        <f t="shared" si="15"/>
        <v>20561.09</v>
      </c>
      <c r="G86" s="512">
        <f t="shared" si="16"/>
        <v>132948.065</v>
      </c>
    </row>
    <row r="87" spans="1:16">
      <c r="A87" s="522" t="s">
        <v>854</v>
      </c>
      <c r="B87" s="149">
        <v>6</v>
      </c>
      <c r="C87" s="728">
        <v>99425</v>
      </c>
      <c r="D87" s="489">
        <f t="shared" si="13"/>
        <v>12464.85</v>
      </c>
      <c r="E87" s="354">
        <f t="shared" si="14"/>
        <v>497.125</v>
      </c>
      <c r="F87" s="489">
        <f t="shared" si="15"/>
        <v>20561.09</v>
      </c>
      <c r="G87" s="512">
        <f t="shared" si="16"/>
        <v>132948.065</v>
      </c>
    </row>
    <row r="88" spans="1:16">
      <c r="A88" s="522" t="s">
        <v>854</v>
      </c>
      <c r="B88" s="149">
        <v>7</v>
      </c>
      <c r="C88" s="728">
        <v>99425</v>
      </c>
      <c r="D88" s="489">
        <f t="shared" si="13"/>
        <v>12464.85</v>
      </c>
      <c r="E88" s="354">
        <f t="shared" si="14"/>
        <v>497.125</v>
      </c>
      <c r="F88" s="489">
        <f t="shared" si="15"/>
        <v>20561.09</v>
      </c>
      <c r="G88" s="512">
        <f t="shared" si="16"/>
        <v>132948.065</v>
      </c>
    </row>
    <row r="89" spans="1:16">
      <c r="A89" s="522" t="s">
        <v>854</v>
      </c>
      <c r="B89" s="149">
        <v>8</v>
      </c>
      <c r="C89" s="728">
        <v>99425</v>
      </c>
      <c r="D89" s="489">
        <f t="shared" si="13"/>
        <v>12464.85</v>
      </c>
      <c r="E89" s="354">
        <f t="shared" si="14"/>
        <v>497.125</v>
      </c>
      <c r="F89" s="489">
        <f t="shared" si="15"/>
        <v>20561.09</v>
      </c>
      <c r="G89" s="512">
        <f t="shared" si="16"/>
        <v>132948.065</v>
      </c>
    </row>
    <row r="90" spans="1:16">
      <c r="A90" s="522" t="s">
        <v>854</v>
      </c>
      <c r="B90" s="149">
        <v>9</v>
      </c>
      <c r="C90" s="728">
        <v>105996</v>
      </c>
      <c r="D90" s="489">
        <f t="shared" si="13"/>
        <v>13371.648000000001</v>
      </c>
      <c r="E90" s="354">
        <f t="shared" si="14"/>
        <v>529.98</v>
      </c>
      <c r="F90" s="489">
        <f t="shared" si="15"/>
        <v>21919.9728</v>
      </c>
      <c r="G90" s="512">
        <f t="shared" si="16"/>
        <v>141817.60079999999</v>
      </c>
    </row>
    <row r="91" spans="1:16">
      <c r="A91" s="522" t="s">
        <v>854</v>
      </c>
      <c r="B91" s="149">
        <v>10</v>
      </c>
      <c r="C91" s="728">
        <v>105996</v>
      </c>
      <c r="D91" s="489">
        <f t="shared" si="13"/>
        <v>13371.648000000001</v>
      </c>
      <c r="E91" s="354">
        <f t="shared" si="14"/>
        <v>529.98</v>
      </c>
      <c r="F91" s="489">
        <f t="shared" si="15"/>
        <v>21919.9728</v>
      </c>
      <c r="G91" s="512">
        <f t="shared" si="16"/>
        <v>141817.60079999999</v>
      </c>
    </row>
    <row r="92" spans="1:16">
      <c r="A92" s="522" t="s">
        <v>854</v>
      </c>
      <c r="B92" s="149">
        <v>11</v>
      </c>
      <c r="C92" s="728">
        <v>105996</v>
      </c>
      <c r="D92" s="489">
        <f t="shared" si="13"/>
        <v>13371.648000000001</v>
      </c>
      <c r="E92" s="354">
        <f t="shared" si="14"/>
        <v>529.98</v>
      </c>
      <c r="F92" s="489">
        <f t="shared" si="15"/>
        <v>21919.9728</v>
      </c>
      <c r="G92" s="512">
        <f t="shared" si="16"/>
        <v>141817.60079999999</v>
      </c>
    </row>
    <row r="93" spans="1:16">
      <c r="A93" s="522" t="s">
        <v>854</v>
      </c>
      <c r="B93" s="149">
        <v>12</v>
      </c>
      <c r="C93" s="728">
        <v>105996</v>
      </c>
      <c r="D93" s="489">
        <f t="shared" si="13"/>
        <v>13371.648000000001</v>
      </c>
      <c r="E93" s="354">
        <f t="shared" si="14"/>
        <v>529.98</v>
      </c>
      <c r="F93" s="489">
        <f t="shared" si="15"/>
        <v>21919.9728</v>
      </c>
      <c r="G93" s="512">
        <f t="shared" si="16"/>
        <v>141817.60079999999</v>
      </c>
    </row>
    <row r="94" spans="1:16">
      <c r="A94" s="522" t="s">
        <v>854</v>
      </c>
      <c r="B94" s="149">
        <v>13</v>
      </c>
      <c r="C94" s="728">
        <v>105996</v>
      </c>
      <c r="D94" s="489">
        <f t="shared" si="13"/>
        <v>13371.648000000001</v>
      </c>
      <c r="E94" s="354">
        <f t="shared" si="14"/>
        <v>529.98</v>
      </c>
      <c r="F94" s="489">
        <f t="shared" si="15"/>
        <v>21919.9728</v>
      </c>
      <c r="G94" s="512">
        <f t="shared" si="16"/>
        <v>141817.60079999999</v>
      </c>
    </row>
    <row r="95" spans="1:16">
      <c r="A95" s="522" t="s">
        <v>854</v>
      </c>
      <c r="B95" s="149">
        <v>14</v>
      </c>
      <c r="C95" s="728">
        <v>112569</v>
      </c>
      <c r="D95" s="489">
        <f t="shared" si="13"/>
        <v>14278.722000000002</v>
      </c>
      <c r="E95" s="354">
        <f t="shared" si="14"/>
        <v>562.84500000000003</v>
      </c>
      <c r="F95" s="489">
        <f t="shared" si="15"/>
        <v>23279.269200000002</v>
      </c>
      <c r="G95" s="512">
        <f t="shared" si="16"/>
        <v>150689.83620000002</v>
      </c>
    </row>
    <row r="96" spans="1:16">
      <c r="A96" s="522" t="s">
        <v>854</v>
      </c>
      <c r="B96" s="149">
        <v>15</v>
      </c>
      <c r="C96" s="728">
        <v>112569</v>
      </c>
      <c r="D96" s="489">
        <f t="shared" si="13"/>
        <v>14278.722000000002</v>
      </c>
      <c r="E96" s="354">
        <f t="shared" si="14"/>
        <v>562.84500000000003</v>
      </c>
      <c r="F96" s="489">
        <f t="shared" si="15"/>
        <v>23279.269200000002</v>
      </c>
      <c r="G96" s="512">
        <f t="shared" si="16"/>
        <v>150689.83620000002</v>
      </c>
    </row>
    <row r="97" spans="1:229">
      <c r="A97" s="522" t="s">
        <v>854</v>
      </c>
      <c r="B97" s="149">
        <v>16</v>
      </c>
      <c r="C97" s="728">
        <v>112569</v>
      </c>
      <c r="D97" s="489">
        <f t="shared" si="13"/>
        <v>14278.722000000002</v>
      </c>
      <c r="E97" s="354">
        <f t="shared" si="14"/>
        <v>562.84500000000003</v>
      </c>
      <c r="F97" s="489">
        <f t="shared" si="15"/>
        <v>23279.269200000002</v>
      </c>
      <c r="G97" s="512">
        <f t="shared" si="16"/>
        <v>150689.83620000002</v>
      </c>
    </row>
    <row r="98" spans="1:229">
      <c r="A98" s="522" t="s">
        <v>854</v>
      </c>
      <c r="B98" s="149">
        <v>17</v>
      </c>
      <c r="C98" s="728">
        <v>112569</v>
      </c>
      <c r="D98" s="489">
        <f t="shared" si="13"/>
        <v>14278.722000000002</v>
      </c>
      <c r="E98" s="354">
        <f t="shared" si="14"/>
        <v>562.84500000000003</v>
      </c>
      <c r="F98" s="489">
        <f t="shared" si="15"/>
        <v>23279.269200000002</v>
      </c>
      <c r="G98" s="512">
        <f t="shared" si="16"/>
        <v>150689.83620000002</v>
      </c>
    </row>
    <row r="99" spans="1:229">
      <c r="A99" s="522" t="s">
        <v>854</v>
      </c>
      <c r="B99" s="149">
        <v>18</v>
      </c>
      <c r="C99" s="728">
        <v>112569</v>
      </c>
      <c r="D99" s="584">
        <f t="shared" si="13"/>
        <v>14278.722000000002</v>
      </c>
      <c r="E99" s="354">
        <f t="shared" si="14"/>
        <v>562.84500000000003</v>
      </c>
      <c r="F99" s="489">
        <f t="shared" si="15"/>
        <v>23279.269200000002</v>
      </c>
      <c r="G99" s="512">
        <f t="shared" si="16"/>
        <v>150689.83620000002</v>
      </c>
    </row>
    <row r="100" spans="1:229" ht="15" thickBot="1">
      <c r="A100" s="523" t="s">
        <v>854</v>
      </c>
      <c r="B100" s="513">
        <v>19</v>
      </c>
      <c r="C100" s="729">
        <v>119133</v>
      </c>
      <c r="D100" s="514">
        <f t="shared" si="13"/>
        <v>15184.554000000002</v>
      </c>
      <c r="E100" s="583">
        <f t="shared" si="14"/>
        <v>595.66499999999996</v>
      </c>
      <c r="F100" s="514">
        <f t="shared" si="15"/>
        <v>24636.704400000002</v>
      </c>
      <c r="G100" s="515">
        <f t="shared" si="16"/>
        <v>159549.92340000003</v>
      </c>
    </row>
    <row r="101" spans="1:229" ht="23.5" customHeight="1">
      <c r="A101" s="491"/>
      <c r="B101" s="491"/>
      <c r="C101" s="492"/>
      <c r="D101" s="492"/>
      <c r="E101" s="493"/>
      <c r="F101" s="492"/>
      <c r="G101" s="492"/>
    </row>
    <row r="102" spans="1:229" s="4" customFormat="1">
      <c r="A102" s="5"/>
      <c r="B102" s="5"/>
      <c r="C102" s="495"/>
      <c r="D102" s="49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</row>
    <row r="103" spans="1:229">
      <c r="A103" s="500" t="s">
        <v>910</v>
      </c>
      <c r="B103" s="500"/>
      <c r="C103" s="500"/>
      <c r="R103"/>
    </row>
    <row r="104" spans="1:229" ht="43.5">
      <c r="A104" s="496" t="s">
        <v>911</v>
      </c>
      <c r="B104" s="497">
        <v>9100</v>
      </c>
      <c r="C104" s="498">
        <v>0</v>
      </c>
      <c r="R104"/>
    </row>
    <row r="105" spans="1:229" ht="43.5">
      <c r="A105" s="496" t="s">
        <v>912</v>
      </c>
      <c r="B105" s="499" t="s">
        <v>913</v>
      </c>
      <c r="C105" s="501">
        <v>0.13800000000000001</v>
      </c>
      <c r="R105"/>
    </row>
    <row r="107" spans="1:229">
      <c r="A107" t="s">
        <v>914</v>
      </c>
    </row>
  </sheetData>
  <sheetProtection algorithmName="SHA-512" hashValue="g36xzLGdhMD+m9HlG4MfHmcLB9NDkDvtigDkSteAMhEFA4SLo6hi03YDJVh0D5rw0elXTgUtmq+OZXujVo2sHw==" saltValue="kRFXWANBveGBBFyPKIxTtw==" spinCount="100000" sheet="1" objects="1" scenarios="1"/>
  <mergeCells count="2">
    <mergeCell ref="B3:G3"/>
    <mergeCell ref="H3:N3"/>
  </mergeCells>
  <hyperlinks>
    <hyperlink ref="U7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</SharedWithUsers>
    <geb11f8ce9d940728585fae6d5409a45 xmlns="acaf4567-dc07-471f-892c-2bcb86ef35ae">
      <Terms xmlns="http://schemas.microsoft.com/office/infopath/2007/PartnerControls"/>
    </geb11f8ce9d940728585fae6d5409a45>
    <lcf76f155ced4ddcb4097134ff3c332f xmlns="acaf4567-dc07-471f-892c-2bcb86ef35ae">
      <Terms xmlns="http://schemas.microsoft.com/office/infopath/2007/PartnerControls"/>
    </lcf76f155ced4ddcb4097134ff3c332f>
    <TaxCatchAll xmlns="0eb656aa-4e79-4e95-9076-bc119a23e0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E150E4-69A4-44CE-A0CA-1E8E4D872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024C17-9003-4474-A67F-56162B9CF558}">
  <ds:schemaRefs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1f338ac-e338-414f-952c-f74dcc6d59e1"/>
    <ds:schemaRef ds:uri="0eb656aa-4e79-4e95-9076-bc119a23e0cc"/>
    <ds:schemaRef ds:uri="acaf4567-dc07-471f-892c-2bcb86ef35a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22</vt:i4>
      </vt:variant>
    </vt:vector>
  </HeadingPairs>
  <TitlesOfParts>
    <vt:vector size="32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TA995 Relugolix for treating hormone-sensitive prostate cancer: resource impact template 20240828</dc:title>
  <dc:subject/>
  <dc:creator/>
  <cp:keywords/>
  <dc:description/>
  <cp:lastModifiedBy/>
  <cp:revision/>
  <dcterms:created xsi:type="dcterms:W3CDTF">2022-07-27T12:38:28Z</dcterms:created>
  <dcterms:modified xsi:type="dcterms:W3CDTF">2024-08-28T10:00:44Z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